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showInkAnnotation="0" defaultThemeVersion="124226"/>
  <mc:AlternateContent xmlns:mc="http://schemas.openxmlformats.org/markup-compatibility/2006">
    <mc:Choice Requires="x15">
      <x15ac:absPath xmlns:x15ac="http://schemas.microsoft.com/office/spreadsheetml/2010/11/ac" url="/Users/Mira/Desktop/IE/THESIS/EEIOA-modelling/external_data/240212_Marinova_2020_MatIntensity_Residential/"/>
    </mc:Choice>
  </mc:AlternateContent>
  <xr:revisionPtr revIDLastSave="0" documentId="13_ncr:1_{6B65DDC3-8C71-0D49-AFFA-0CAED5079953}" xr6:coauthVersionLast="47" xr6:coauthVersionMax="47" xr10:uidLastSave="{00000000-0000-0000-0000-000000000000}"/>
  <bookViews>
    <workbookView xWindow="0" yWindow="500" windowWidth="25600" windowHeight="15500" tabRatio="842" firstSheet="6" activeTab="14" xr2:uid="{00000000-000D-0000-FFFF-FFFF00000000}"/>
  </bookViews>
  <sheets>
    <sheet name="Description" sheetId="55" r:id="rId1"/>
    <sheet name="Housing types" sheetId="9" r:id="rId2"/>
    <sheet name="Materials" sheetId="8" r:id="rId3"/>
    <sheet name="Region 1" sheetId="10" r:id="rId4"/>
    <sheet name="Region 2" sheetId="62" r:id="rId5"/>
    <sheet name="Region 3" sheetId="12" r:id="rId6"/>
    <sheet name="Region 4" sheetId="13" r:id="rId7"/>
    <sheet name="Region 5" sheetId="44" r:id="rId8"/>
    <sheet name="Region 6" sheetId="63" r:id="rId9"/>
    <sheet name="Region 7" sheetId="16" r:id="rId10"/>
    <sheet name="Region 8" sheetId="45" r:id="rId11"/>
    <sheet name="Region 9" sheetId="18" r:id="rId12"/>
    <sheet name="Region 10" sheetId="19" r:id="rId13"/>
    <sheet name="Region 11" sheetId="61" r:id="rId14"/>
    <sheet name="Region 12" sheetId="21" r:id="rId15"/>
    <sheet name="Region 13" sheetId="51" r:id="rId16"/>
    <sheet name="Region 14" sheetId="23" r:id="rId17"/>
    <sheet name="Region 15" sheetId="24" r:id="rId18"/>
    <sheet name="Region 16" sheetId="25" r:id="rId19"/>
    <sheet name="Region 17" sheetId="46" r:id="rId20"/>
    <sheet name="Region 18" sheetId="47" r:id="rId21"/>
    <sheet name="Region 19" sheetId="28" r:id="rId22"/>
    <sheet name="Region 20" sheetId="48" r:id="rId23"/>
    <sheet name="Region 21" sheetId="30" r:id="rId24"/>
    <sheet name="Region 22" sheetId="31" r:id="rId25"/>
    <sheet name="Region 23" sheetId="49" r:id="rId26"/>
    <sheet name="Region 24" sheetId="52" r:id="rId27"/>
    <sheet name="Region 25" sheetId="34" r:id="rId28"/>
    <sheet name="Region 26" sheetId="35" r:id="rId29"/>
  </sheets>
  <definedNames>
    <definedName name="_xlnm._FilterDatabase" localSheetId="3" hidden="1">'Region 1'!$A$1:$AA$16</definedName>
    <definedName name="_xlnm._FilterDatabase" localSheetId="13" hidden="1">'Region 11'!$A$1:$AB$96</definedName>
    <definedName name="_xlnm._FilterDatabase" localSheetId="14" hidden="1">'Region 12'!$A$1:$AB$96</definedName>
    <definedName name="_xlnm._FilterDatabase" localSheetId="20" hidden="1">'Region 18'!$A$1:$AA$52</definedName>
    <definedName name="_xlnm._FilterDatabase" localSheetId="21" hidden="1">'Region 19'!$A$1:$AB$26</definedName>
    <definedName name="_xlnm._FilterDatabase" localSheetId="4" hidden="1">'Region 2'!$A$1:$AA$16</definedName>
    <definedName name="_xlnm._FilterDatabase" localSheetId="22" hidden="1">'Region 20'!$A$1:$AA$45</definedName>
    <definedName name="_xlnm._FilterDatabase" localSheetId="23" hidden="1">'Region 21'!$A$1:$AA$14</definedName>
    <definedName name="_xlnm._FilterDatabase" localSheetId="25" hidden="1">'Region 23'!$S:$S</definedName>
    <definedName name="_xlnm._FilterDatabase" localSheetId="26" hidden="1">'Region 24'!$A$1:$AA$69</definedName>
    <definedName name="_xlnm._FilterDatabase" localSheetId="7" hidden="1">'Region 5'!$A$1:$AB$17</definedName>
    <definedName name="_xlnm._FilterDatabase" localSheetId="8" hidden="1">'Region 6'!$A$1:$AB$17</definedName>
    <definedName name="_xlnm._FilterDatabase" localSheetId="10" hidden="1">'Region 8'!$A$1:$AA$13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20" i="63" l="1"/>
  <c r="R20" i="63"/>
  <c r="W19" i="63"/>
  <c r="R19" i="63"/>
  <c r="W18" i="63"/>
  <c r="R18" i="63"/>
  <c r="W17" i="63"/>
  <c r="R17" i="63"/>
  <c r="W16" i="63"/>
  <c r="R16" i="63"/>
  <c r="W15" i="63"/>
  <c r="R15" i="63"/>
  <c r="W14" i="63"/>
  <c r="R14" i="63"/>
  <c r="W13" i="63"/>
  <c r="R13" i="63"/>
  <c r="P12" i="63"/>
  <c r="Q12" i="63" s="1"/>
  <c r="P11" i="63"/>
  <c r="Q11" i="63" s="1"/>
  <c r="W10" i="63"/>
  <c r="U10" i="63"/>
  <c r="P10" i="63"/>
  <c r="Q10" i="63" s="1"/>
  <c r="AB9" i="63"/>
  <c r="W9" i="63"/>
  <c r="U9" i="63"/>
  <c r="P9" i="63"/>
  <c r="Q9" i="63" s="1"/>
  <c r="P8" i="63"/>
  <c r="Q8" i="63" s="1"/>
  <c r="M8" i="63"/>
  <c r="W7" i="63"/>
  <c r="U7" i="63"/>
  <c r="P7" i="63"/>
  <c r="Q7" i="63" s="1"/>
  <c r="M7" i="63"/>
  <c r="AB6" i="63"/>
  <c r="P6" i="63"/>
  <c r="Q6" i="63" s="1"/>
  <c r="M6" i="63"/>
  <c r="P5" i="63"/>
  <c r="Q5" i="63" s="1"/>
  <c r="M5" i="63"/>
  <c r="P4" i="63"/>
  <c r="Q4" i="63" s="1"/>
  <c r="M4" i="63"/>
  <c r="W3" i="63"/>
  <c r="U3" i="63"/>
  <c r="P3" i="63"/>
  <c r="Q3" i="63" s="1"/>
  <c r="M3" i="63"/>
  <c r="AB2" i="63"/>
  <c r="W2" i="63"/>
  <c r="U2" i="63"/>
  <c r="P2" i="63"/>
  <c r="Q2" i="63" s="1"/>
  <c r="M2" i="63"/>
  <c r="U29" i="62" l="1"/>
  <c r="N29" i="62"/>
  <c r="P29" i="62" s="1"/>
  <c r="Q29" i="62" s="1"/>
  <c r="U28" i="62"/>
  <c r="N28" i="62"/>
  <c r="P28" i="62" s="1"/>
  <c r="Q28" i="62" s="1"/>
  <c r="U27" i="62"/>
  <c r="N27" i="62"/>
  <c r="P27" i="62" s="1"/>
  <c r="Q27" i="62" s="1"/>
  <c r="U26" i="62"/>
  <c r="N26" i="62"/>
  <c r="P26" i="62" s="1"/>
  <c r="Q26" i="62" s="1"/>
  <c r="U25" i="62"/>
  <c r="N25" i="62"/>
  <c r="P25" i="62" s="1"/>
  <c r="Q25" i="62" s="1"/>
  <c r="U24" i="62"/>
  <c r="N24" i="62"/>
  <c r="P24" i="62" s="1"/>
  <c r="Q24" i="62" s="1"/>
  <c r="U23" i="62"/>
  <c r="N23" i="62"/>
  <c r="P23" i="62" s="1"/>
  <c r="Q23" i="62" s="1"/>
  <c r="U22" i="62"/>
  <c r="N22" i="62"/>
  <c r="P22" i="62" s="1"/>
  <c r="Q22" i="62" s="1"/>
  <c r="U21" i="62"/>
  <c r="N21" i="62"/>
  <c r="P21" i="62" s="1"/>
  <c r="Q21" i="62" s="1"/>
  <c r="U20" i="62"/>
  <c r="P20" i="62"/>
  <c r="Q20" i="62" s="1"/>
  <c r="R20" i="62" s="1"/>
  <c r="U19" i="62"/>
  <c r="P19" i="62"/>
  <c r="Q19" i="62" s="1"/>
  <c r="R19" i="62" s="1"/>
  <c r="U18" i="62"/>
  <c r="P18" i="62"/>
  <c r="Q18" i="62" s="1"/>
  <c r="R18" i="62" s="1"/>
  <c r="U17" i="62"/>
  <c r="Y17" i="62" s="1"/>
  <c r="P17" i="62"/>
  <c r="Q17" i="62" s="1"/>
  <c r="R17" i="62" s="1"/>
  <c r="U16" i="62"/>
  <c r="P16" i="62"/>
  <c r="Q16" i="62" s="1"/>
  <c r="R16" i="62" s="1"/>
  <c r="U15" i="62"/>
  <c r="P15" i="62"/>
  <c r="Q15" i="62" s="1"/>
  <c r="R15" i="62" s="1"/>
  <c r="U14" i="62"/>
  <c r="P14" i="62"/>
  <c r="Q14" i="62" s="1"/>
  <c r="R14" i="62" s="1"/>
  <c r="U13" i="62"/>
  <c r="P13" i="62"/>
  <c r="Q13" i="62" s="1"/>
  <c r="R13" i="62" s="1"/>
  <c r="Y12" i="62"/>
  <c r="W12" i="62"/>
  <c r="R12" i="62"/>
  <c r="Y11" i="62"/>
  <c r="W11" i="62"/>
  <c r="R11" i="62"/>
  <c r="Y10" i="62"/>
  <c r="W10" i="62"/>
  <c r="R10" i="62"/>
  <c r="Y9" i="62"/>
  <c r="W9" i="62"/>
  <c r="R9" i="62"/>
  <c r="U8" i="62"/>
  <c r="W8" i="62" s="1"/>
  <c r="R8" i="62"/>
  <c r="Y7" i="62"/>
  <c r="W7" i="62"/>
  <c r="R7" i="62"/>
  <c r="Y6" i="62"/>
  <c r="W6" i="62"/>
  <c r="R6" i="62"/>
  <c r="Y5" i="62"/>
  <c r="W5" i="62"/>
  <c r="R5" i="62"/>
  <c r="U4" i="62"/>
  <c r="Y4" i="62" s="1"/>
  <c r="R4" i="62"/>
  <c r="U3" i="62"/>
  <c r="Y3" i="62" s="1"/>
  <c r="R3" i="62"/>
  <c r="Y2" i="62"/>
  <c r="W2" i="62"/>
  <c r="R2" i="62"/>
  <c r="W16" i="62" l="1"/>
  <c r="W20" i="62"/>
  <c r="Y8" i="62"/>
  <c r="Y16" i="62"/>
  <c r="Y20" i="62"/>
  <c r="W14" i="62"/>
  <c r="W18" i="62"/>
  <c r="Y14" i="62"/>
  <c r="Y18" i="62"/>
  <c r="W13" i="62"/>
  <c r="W21" i="62"/>
  <c r="W23" i="62"/>
  <c r="W27" i="62"/>
  <c r="W29" i="62"/>
  <c r="W15" i="62"/>
  <c r="W19" i="62"/>
  <c r="W22" i="62"/>
  <c r="W24" i="62"/>
  <c r="W26" i="62"/>
  <c r="W28" i="62"/>
  <c r="W25" i="62"/>
  <c r="W17" i="62"/>
  <c r="W3" i="62"/>
  <c r="W4" i="62"/>
  <c r="Y13" i="62"/>
  <c r="Y15" i="62"/>
  <c r="Y19" i="62"/>
  <c r="O21" i="62"/>
  <c r="Y21" i="62" s="1"/>
  <c r="O22" i="62"/>
  <c r="Y22" i="62" s="1"/>
  <c r="O23" i="62"/>
  <c r="Y23" i="62" s="1"/>
  <c r="O24" i="62"/>
  <c r="Y24" i="62" s="1"/>
  <c r="O25" i="62"/>
  <c r="Y25" i="62" s="1"/>
  <c r="O26" i="62"/>
  <c r="Y26" i="62" s="1"/>
  <c r="O27" i="62"/>
  <c r="Y27" i="62" s="1"/>
  <c r="O28" i="62"/>
  <c r="Y28" i="62" s="1"/>
  <c r="O29" i="62"/>
  <c r="Y29" i="62" s="1"/>
  <c r="W274" i="61"/>
  <c r="W270" i="61"/>
  <c r="W266" i="61"/>
  <c r="W262" i="61"/>
  <c r="W258" i="61"/>
  <c r="W254" i="61"/>
  <c r="W250" i="61"/>
  <c r="W246" i="61"/>
  <c r="W242" i="61"/>
  <c r="W238" i="61"/>
  <c r="W231" i="61"/>
  <c r="W230" i="61"/>
  <c r="W226" i="61"/>
  <c r="W222" i="61"/>
  <c r="W218" i="61"/>
  <c r="W214" i="61"/>
  <c r="W213" i="61"/>
  <c r="W202" i="61"/>
  <c r="W198" i="61"/>
  <c r="W194" i="61"/>
  <c r="W190" i="61"/>
  <c r="W186" i="61"/>
  <c r="W182" i="61"/>
  <c r="W178" i="61"/>
  <c r="W174" i="61"/>
  <c r="W170" i="61"/>
  <c r="W166" i="61"/>
  <c r="W162" i="61"/>
  <c r="W158" i="61"/>
  <c r="W154" i="61"/>
  <c r="W151" i="61"/>
  <c r="W150" i="61"/>
  <c r="R150" i="61"/>
  <c r="W149" i="61"/>
  <c r="R149" i="61"/>
  <c r="W148" i="61"/>
  <c r="R148" i="61"/>
  <c r="W147" i="61"/>
  <c r="R147" i="61"/>
  <c r="W146" i="61"/>
  <c r="R146" i="61"/>
  <c r="W145" i="61"/>
  <c r="R145" i="61"/>
  <c r="W144" i="61"/>
  <c r="R144" i="61"/>
  <c r="W143" i="61"/>
  <c r="R143" i="61"/>
  <c r="W142" i="61"/>
  <c r="U142" i="61"/>
  <c r="R142" i="61"/>
  <c r="U141" i="61"/>
  <c r="W141" i="61" s="1"/>
  <c r="R141" i="61"/>
  <c r="U140" i="61"/>
  <c r="W140" i="61" s="1"/>
  <c r="R140" i="61"/>
  <c r="U139" i="61"/>
  <c r="W139" i="61" s="1"/>
  <c r="R139" i="61"/>
  <c r="U138" i="61"/>
  <c r="W138" i="61" s="1"/>
  <c r="R138" i="61"/>
  <c r="U137" i="61"/>
  <c r="W137" i="61" s="1"/>
  <c r="R137" i="61"/>
  <c r="U136" i="61"/>
  <c r="Q136" i="61"/>
  <c r="R136" i="61" s="1"/>
  <c r="U135" i="61"/>
  <c r="Q135" i="61"/>
  <c r="R135" i="61" s="1"/>
  <c r="U134" i="61"/>
  <c r="Q134" i="61"/>
  <c r="R134" i="61" s="1"/>
  <c r="U133" i="61"/>
  <c r="Q133" i="61"/>
  <c r="R133" i="61" s="1"/>
  <c r="U132" i="61"/>
  <c r="Q132" i="61"/>
  <c r="R132" i="61" s="1"/>
  <c r="U131" i="61"/>
  <c r="Q131" i="61"/>
  <c r="R131" i="61" s="1"/>
  <c r="U130" i="61"/>
  <c r="Q130" i="61"/>
  <c r="R130" i="61" s="1"/>
  <c r="U129" i="61"/>
  <c r="Q129" i="61"/>
  <c r="R129" i="61" s="1"/>
  <c r="Q128" i="61"/>
  <c r="W128" i="61" s="1"/>
  <c r="Q127" i="61"/>
  <c r="R127" i="61" s="1"/>
  <c r="Q126" i="61"/>
  <c r="R126" i="61" s="1"/>
  <c r="Q125" i="61"/>
  <c r="P125" i="61"/>
  <c r="U124" i="61"/>
  <c r="Q124" i="61"/>
  <c r="R124" i="61" s="1"/>
  <c r="P124" i="61"/>
  <c r="Q123" i="61"/>
  <c r="R123" i="61" s="1"/>
  <c r="P123" i="61"/>
  <c r="U122" i="61"/>
  <c r="Q122" i="61"/>
  <c r="R122" i="61" s="1"/>
  <c r="P122" i="61"/>
  <c r="U121" i="61"/>
  <c r="Q121" i="61"/>
  <c r="P121" i="61"/>
  <c r="U120" i="61"/>
  <c r="Q120" i="61"/>
  <c r="R120" i="61" s="1"/>
  <c r="P120" i="61"/>
  <c r="U119" i="61"/>
  <c r="Q119" i="61"/>
  <c r="R119" i="61" s="1"/>
  <c r="P119" i="61"/>
  <c r="U118" i="61"/>
  <c r="Q118" i="61"/>
  <c r="R118" i="61" s="1"/>
  <c r="P118" i="61"/>
  <c r="U117" i="61"/>
  <c r="Q117" i="61"/>
  <c r="P117" i="61"/>
  <c r="U116" i="61"/>
  <c r="Q116" i="61"/>
  <c r="R116" i="61" s="1"/>
  <c r="P116" i="61"/>
  <c r="U115" i="61"/>
  <c r="Q115" i="61"/>
  <c r="R115" i="61" s="1"/>
  <c r="P115" i="61"/>
  <c r="U114" i="61"/>
  <c r="Q114" i="61"/>
  <c r="R114" i="61" s="1"/>
  <c r="P114" i="61"/>
  <c r="U113" i="61"/>
  <c r="Q113" i="61"/>
  <c r="P113" i="61"/>
  <c r="U112" i="61"/>
  <c r="Q112" i="61"/>
  <c r="R112" i="61" s="1"/>
  <c r="P112" i="61"/>
  <c r="Q111" i="61"/>
  <c r="P111" i="61"/>
  <c r="U110" i="61"/>
  <c r="Q110" i="61"/>
  <c r="R110" i="61" s="1"/>
  <c r="P110" i="61"/>
  <c r="U109" i="61"/>
  <c r="Q109" i="61"/>
  <c r="R109" i="61" s="1"/>
  <c r="P109" i="61"/>
  <c r="U108" i="61"/>
  <c r="Q108" i="61"/>
  <c r="P108" i="61"/>
  <c r="U107" i="61"/>
  <c r="Q107" i="61"/>
  <c r="P107" i="61"/>
  <c r="U106" i="61"/>
  <c r="Q106" i="61"/>
  <c r="R106" i="61" s="1"/>
  <c r="P106" i="61"/>
  <c r="U105" i="61"/>
  <c r="Q105" i="61"/>
  <c r="P105" i="61"/>
  <c r="U104" i="61"/>
  <c r="Q104" i="61"/>
  <c r="P104" i="61"/>
  <c r="U103" i="61"/>
  <c r="Q103" i="61"/>
  <c r="P103" i="61"/>
  <c r="U102" i="61"/>
  <c r="Q102" i="61"/>
  <c r="R102" i="61" s="1"/>
  <c r="P102" i="61"/>
  <c r="U101" i="61"/>
  <c r="Q101" i="61"/>
  <c r="R101" i="61" s="1"/>
  <c r="P101" i="61"/>
  <c r="U100" i="61"/>
  <c r="Q100" i="61"/>
  <c r="P100" i="61"/>
  <c r="U99" i="61"/>
  <c r="Q99" i="61"/>
  <c r="P99" i="61"/>
  <c r="U98" i="61"/>
  <c r="Q98" i="61"/>
  <c r="R98" i="61" s="1"/>
  <c r="P98" i="61"/>
  <c r="U97" i="61"/>
  <c r="Q97" i="61"/>
  <c r="P97" i="61"/>
  <c r="U96" i="61"/>
  <c r="Q96" i="61"/>
  <c r="P96" i="61"/>
  <c r="U95" i="61"/>
  <c r="Q95" i="61"/>
  <c r="P95" i="61"/>
  <c r="U94" i="61"/>
  <c r="Q94" i="61"/>
  <c r="R94" i="61" s="1"/>
  <c r="P94" i="61"/>
  <c r="U93" i="61"/>
  <c r="Q93" i="61"/>
  <c r="P93" i="61"/>
  <c r="U92" i="61"/>
  <c r="Q92" i="61"/>
  <c r="P92" i="61"/>
  <c r="U91" i="61"/>
  <c r="Q91" i="61"/>
  <c r="P91" i="61"/>
  <c r="U90" i="61"/>
  <c r="Q90" i="61"/>
  <c r="R90" i="61" s="1"/>
  <c r="P90" i="61"/>
  <c r="U89" i="61"/>
  <c r="Q89" i="61"/>
  <c r="P89" i="61"/>
  <c r="U88" i="61"/>
  <c r="Q88" i="61"/>
  <c r="P88" i="61"/>
  <c r="Q87" i="61"/>
  <c r="W87" i="61" s="1"/>
  <c r="P87" i="61"/>
  <c r="U86" i="61"/>
  <c r="Q86" i="61"/>
  <c r="P86" i="61"/>
  <c r="Q85" i="61"/>
  <c r="W85" i="61" s="1"/>
  <c r="P85" i="61"/>
  <c r="U84" i="61"/>
  <c r="Q84" i="61"/>
  <c r="R84" i="61" s="1"/>
  <c r="P84" i="61"/>
  <c r="U83" i="61"/>
  <c r="Q83" i="61"/>
  <c r="R83" i="61" s="1"/>
  <c r="P83" i="61"/>
  <c r="U82" i="61"/>
  <c r="Q82" i="61"/>
  <c r="P82" i="61"/>
  <c r="Q81" i="61"/>
  <c r="W81" i="61" s="1"/>
  <c r="P81" i="61"/>
  <c r="U80" i="61"/>
  <c r="Q80" i="61"/>
  <c r="R80" i="61" s="1"/>
  <c r="P80" i="61"/>
  <c r="Q79" i="61"/>
  <c r="W79" i="61" s="1"/>
  <c r="P79" i="61"/>
  <c r="U78" i="61"/>
  <c r="Q78" i="61"/>
  <c r="R78" i="61" s="1"/>
  <c r="P78" i="61"/>
  <c r="U77" i="61"/>
  <c r="Q77" i="61"/>
  <c r="R77" i="61" s="1"/>
  <c r="P77" i="61"/>
  <c r="U76" i="61"/>
  <c r="Q76" i="61"/>
  <c r="P76" i="61"/>
  <c r="U75" i="61"/>
  <c r="Q75" i="61"/>
  <c r="P75" i="61"/>
  <c r="U74" i="61"/>
  <c r="Q74" i="61"/>
  <c r="R74" i="61" s="1"/>
  <c r="P74" i="61"/>
  <c r="U73" i="61"/>
  <c r="Q73" i="61"/>
  <c r="R73" i="61" s="1"/>
  <c r="P73" i="61"/>
  <c r="U72" i="61"/>
  <c r="Q72" i="61"/>
  <c r="P72" i="61"/>
  <c r="U71" i="61"/>
  <c r="Q71" i="61"/>
  <c r="P71" i="61"/>
  <c r="U70" i="61"/>
  <c r="Q70" i="61"/>
  <c r="R70" i="61" s="1"/>
  <c r="P70" i="61"/>
  <c r="U69" i="61"/>
  <c r="Q69" i="61"/>
  <c r="R69" i="61" s="1"/>
  <c r="P69" i="61"/>
  <c r="U68" i="61"/>
  <c r="Q68" i="61"/>
  <c r="P68" i="61"/>
  <c r="U67" i="61"/>
  <c r="Q67" i="61"/>
  <c r="R67" i="61" s="1"/>
  <c r="P67" i="61"/>
  <c r="U66" i="61"/>
  <c r="Q66" i="61"/>
  <c r="R66" i="61" s="1"/>
  <c r="P66" i="61"/>
  <c r="U65" i="61"/>
  <c r="Q65" i="61"/>
  <c r="P65" i="61"/>
  <c r="U64" i="61"/>
  <c r="Q64" i="61"/>
  <c r="P64" i="61"/>
  <c r="U63" i="61"/>
  <c r="Q63" i="61"/>
  <c r="P63" i="61"/>
  <c r="U62" i="61"/>
  <c r="Q62" i="61"/>
  <c r="R62" i="61" s="1"/>
  <c r="P62" i="61"/>
  <c r="U61" i="61"/>
  <c r="Q61" i="61"/>
  <c r="R61" i="61" s="1"/>
  <c r="P61" i="61"/>
  <c r="U60" i="61"/>
  <c r="Q60" i="61"/>
  <c r="P60" i="61"/>
  <c r="U59" i="61"/>
  <c r="Q59" i="61"/>
  <c r="R59" i="61" s="1"/>
  <c r="P59" i="61"/>
  <c r="U58" i="61"/>
  <c r="Q58" i="61"/>
  <c r="R58" i="61" s="1"/>
  <c r="P58" i="61"/>
  <c r="U57" i="61"/>
  <c r="Q57" i="61"/>
  <c r="R57" i="61" s="1"/>
  <c r="P57" i="61"/>
  <c r="U56" i="61"/>
  <c r="Q56" i="61"/>
  <c r="P56" i="61"/>
  <c r="U55" i="61"/>
  <c r="Q55" i="61"/>
  <c r="R55" i="61" s="1"/>
  <c r="P55" i="61"/>
  <c r="U54" i="61"/>
  <c r="Q54" i="61"/>
  <c r="R54" i="61" s="1"/>
  <c r="P54" i="61"/>
  <c r="U53" i="61"/>
  <c r="Q53" i="61"/>
  <c r="R53" i="61" s="1"/>
  <c r="P53" i="61"/>
  <c r="U52" i="61"/>
  <c r="Q52" i="61"/>
  <c r="P52" i="61"/>
  <c r="U51" i="61"/>
  <c r="Q51" i="61"/>
  <c r="P51" i="61"/>
  <c r="U50" i="61"/>
  <c r="Q50" i="61"/>
  <c r="R50" i="61" s="1"/>
  <c r="P50" i="61"/>
  <c r="U49" i="61"/>
  <c r="Q49" i="61"/>
  <c r="R49" i="61" s="1"/>
  <c r="P49" i="61"/>
  <c r="U48" i="61"/>
  <c r="Q48" i="61"/>
  <c r="P48" i="61"/>
  <c r="U47" i="61"/>
  <c r="Q47" i="61"/>
  <c r="R47" i="61" s="1"/>
  <c r="P47" i="61"/>
  <c r="U46" i="61"/>
  <c r="Q46" i="61"/>
  <c r="R46" i="61" s="1"/>
  <c r="P46" i="61"/>
  <c r="U45" i="61"/>
  <c r="Q45" i="61"/>
  <c r="R45" i="61" s="1"/>
  <c r="P45" i="61"/>
  <c r="U44" i="61"/>
  <c r="Q44" i="61"/>
  <c r="P44" i="61"/>
  <c r="Q43" i="61"/>
  <c r="W43" i="61" s="1"/>
  <c r="P43" i="61"/>
  <c r="U42" i="61"/>
  <c r="Q42" i="61"/>
  <c r="R42" i="61" s="1"/>
  <c r="P42" i="61"/>
  <c r="Q41" i="61"/>
  <c r="W41" i="61" s="1"/>
  <c r="P41" i="61"/>
  <c r="U40" i="61"/>
  <c r="Q40" i="61"/>
  <c r="R40" i="61" s="1"/>
  <c r="P40" i="61"/>
  <c r="Q39" i="61"/>
  <c r="R39" i="61" s="1"/>
  <c r="P39" i="61"/>
  <c r="U38" i="61"/>
  <c r="Q38" i="61"/>
  <c r="P38" i="61"/>
  <c r="Q37" i="61"/>
  <c r="R37" i="61" s="1"/>
  <c r="P37" i="61"/>
  <c r="U36" i="61"/>
  <c r="Q36" i="61"/>
  <c r="P36" i="61"/>
  <c r="Q35" i="61"/>
  <c r="W35" i="61" s="1"/>
  <c r="P35" i="61"/>
  <c r="U34" i="61"/>
  <c r="Q34" i="61"/>
  <c r="R34" i="61" s="1"/>
  <c r="P34" i="61"/>
  <c r="Q33" i="61"/>
  <c r="W33" i="61" s="1"/>
  <c r="P33" i="61"/>
  <c r="U32" i="61"/>
  <c r="Q32" i="61"/>
  <c r="R32" i="61" s="1"/>
  <c r="P32" i="61"/>
  <c r="Q31" i="61"/>
  <c r="R31" i="61" s="1"/>
  <c r="P31" i="61"/>
  <c r="U30" i="61"/>
  <c r="Q30" i="61"/>
  <c r="R30" i="61" s="1"/>
  <c r="P30" i="61"/>
  <c r="Q29" i="61"/>
  <c r="R29" i="61" s="1"/>
  <c r="P29" i="61"/>
  <c r="U28" i="61"/>
  <c r="Q28" i="61"/>
  <c r="P28" i="61"/>
  <c r="U27" i="61"/>
  <c r="Q27" i="61"/>
  <c r="P27" i="61"/>
  <c r="U26" i="61"/>
  <c r="Q26" i="61"/>
  <c r="R26" i="61" s="1"/>
  <c r="P26" i="61"/>
  <c r="U25" i="61"/>
  <c r="Q25" i="61"/>
  <c r="R25" i="61" s="1"/>
  <c r="P25" i="61"/>
  <c r="U24" i="61"/>
  <c r="Q24" i="61"/>
  <c r="P24" i="61"/>
  <c r="U23" i="61"/>
  <c r="Q23" i="61"/>
  <c r="P23" i="61"/>
  <c r="U22" i="61"/>
  <c r="Q22" i="61"/>
  <c r="R22" i="61" s="1"/>
  <c r="P22" i="61"/>
  <c r="U21" i="61"/>
  <c r="Q21" i="61"/>
  <c r="R21" i="61" s="1"/>
  <c r="P21" i="61"/>
  <c r="U20" i="61"/>
  <c r="Q20" i="61"/>
  <c r="P20" i="61"/>
  <c r="U19" i="61"/>
  <c r="Q19" i="61"/>
  <c r="R19" i="61" s="1"/>
  <c r="P19" i="61"/>
  <c r="U18" i="61"/>
  <c r="Q18" i="61"/>
  <c r="R18" i="61" s="1"/>
  <c r="P18" i="61"/>
  <c r="U17" i="61"/>
  <c r="Q17" i="61"/>
  <c r="R17" i="61" s="1"/>
  <c r="P17" i="61"/>
  <c r="U16" i="61"/>
  <c r="Q16" i="61"/>
  <c r="P16" i="61"/>
  <c r="U15" i="61"/>
  <c r="Q15" i="61"/>
  <c r="W15" i="61" s="1"/>
  <c r="P15" i="61"/>
  <c r="Q14" i="61"/>
  <c r="W14" i="61" s="1"/>
  <c r="P14" i="61"/>
  <c r="U13" i="61"/>
  <c r="Q13" i="61"/>
  <c r="R13" i="61" s="1"/>
  <c r="P13" i="61"/>
  <c r="Q12" i="61"/>
  <c r="W12" i="61" s="1"/>
  <c r="P12" i="61"/>
  <c r="U11" i="61"/>
  <c r="Q11" i="61"/>
  <c r="R11" i="61" s="1"/>
  <c r="P11" i="61"/>
  <c r="U10" i="61"/>
  <c r="Q10" i="61"/>
  <c r="P10" i="61"/>
  <c r="U9" i="61"/>
  <c r="Q9" i="61"/>
  <c r="P9" i="61"/>
  <c r="U8" i="61"/>
  <c r="Q8" i="61"/>
  <c r="R8" i="61" s="1"/>
  <c r="P8" i="61"/>
  <c r="U7" i="61"/>
  <c r="Q7" i="61"/>
  <c r="R7" i="61" s="1"/>
  <c r="P7" i="61"/>
  <c r="U6" i="61"/>
  <c r="Q6" i="61"/>
  <c r="P6" i="61"/>
  <c r="U5" i="61"/>
  <c r="Q5" i="61"/>
  <c r="W5" i="61" s="1"/>
  <c r="P5" i="61"/>
  <c r="U4" i="61"/>
  <c r="Q4" i="61"/>
  <c r="R4" i="61" s="1"/>
  <c r="P4" i="61"/>
  <c r="U3" i="61"/>
  <c r="Q3" i="61"/>
  <c r="R3" i="61" s="1"/>
  <c r="P3" i="61"/>
  <c r="U2" i="61"/>
  <c r="Q2" i="61"/>
  <c r="P2" i="61"/>
  <c r="W38" i="61" l="1"/>
  <c r="W122" i="61"/>
  <c r="W129" i="61"/>
  <c r="W31" i="61"/>
  <c r="W45" i="61"/>
  <c r="W57" i="61"/>
  <c r="W61" i="61"/>
  <c r="W109" i="61"/>
  <c r="W17" i="61"/>
  <c r="W30" i="61"/>
  <c r="W47" i="61"/>
  <c r="W2" i="61"/>
  <c r="W21" i="61"/>
  <c r="W40" i="61"/>
  <c r="W64" i="61"/>
  <c r="W68" i="61"/>
  <c r="W69" i="61"/>
  <c r="W72" i="61"/>
  <c r="W73" i="61"/>
  <c r="W82" i="61"/>
  <c r="W88" i="61"/>
  <c r="W92" i="61"/>
  <c r="W96" i="61"/>
  <c r="W100" i="61"/>
  <c r="W105" i="61"/>
  <c r="W132" i="61"/>
  <c r="W3" i="61"/>
  <c r="W6" i="61"/>
  <c r="W10" i="61"/>
  <c r="W27" i="61"/>
  <c r="W48" i="61"/>
  <c r="W52" i="61"/>
  <c r="W58" i="61"/>
  <c r="W59" i="61"/>
  <c r="W71" i="61"/>
  <c r="W101" i="61"/>
  <c r="W104" i="61"/>
  <c r="W108" i="61"/>
  <c r="W29" i="61"/>
  <c r="W102" i="61"/>
  <c r="W116" i="61"/>
  <c r="W131" i="61"/>
  <c r="W7" i="61"/>
  <c r="W23" i="61"/>
  <c r="R27" i="61"/>
  <c r="W49" i="61"/>
  <c r="W53" i="61"/>
  <c r="W67" i="61"/>
  <c r="W75" i="61"/>
  <c r="W86" i="61"/>
  <c r="W115" i="61"/>
  <c r="W136" i="61"/>
  <c r="R15" i="61"/>
  <c r="W39" i="61"/>
  <c r="W46" i="61"/>
  <c r="W123" i="61"/>
  <c r="W127" i="61"/>
  <c r="R79" i="61"/>
  <c r="W9" i="61"/>
  <c r="W11" i="61"/>
  <c r="W19" i="61"/>
  <c r="R23" i="61"/>
  <c r="W25" i="61"/>
  <c r="W32" i="61"/>
  <c r="W51" i="61"/>
  <c r="W62" i="61"/>
  <c r="W65" i="61"/>
  <c r="W66" i="61"/>
  <c r="R75" i="61"/>
  <c r="W77" i="61"/>
  <c r="W83" i="61"/>
  <c r="R86" i="61"/>
  <c r="W89" i="61"/>
  <c r="W90" i="61"/>
  <c r="W93" i="61"/>
  <c r="W94" i="61"/>
  <c r="W97" i="61"/>
  <c r="W110" i="61"/>
  <c r="W112" i="61"/>
  <c r="W117" i="61"/>
  <c r="W118" i="61"/>
  <c r="W119" i="61"/>
  <c r="W120" i="61"/>
  <c r="R24" i="62"/>
  <c r="W18" i="61"/>
  <c r="W26" i="61"/>
  <c r="R38" i="61"/>
  <c r="R51" i="61"/>
  <c r="W55" i="61"/>
  <c r="W63" i="61"/>
  <c r="R71" i="61"/>
  <c r="W78" i="61"/>
  <c r="R89" i="61"/>
  <c r="W95" i="61"/>
  <c r="R97" i="61"/>
  <c r="W114" i="61"/>
  <c r="W133" i="61"/>
  <c r="W99" i="61"/>
  <c r="R99" i="61"/>
  <c r="W107" i="61"/>
  <c r="R107" i="61"/>
  <c r="W125" i="61"/>
  <c r="R125" i="61"/>
  <c r="R5" i="61"/>
  <c r="R9" i="61"/>
  <c r="R12" i="61"/>
  <c r="R14" i="61"/>
  <c r="W22" i="61"/>
  <c r="W54" i="61"/>
  <c r="R65" i="61"/>
  <c r="W74" i="61"/>
  <c r="R85" i="61"/>
  <c r="W91" i="61"/>
  <c r="R93" i="61"/>
  <c r="R105" i="61"/>
  <c r="W4" i="61"/>
  <c r="W8" i="61"/>
  <c r="W13" i="61"/>
  <c r="R33" i="61"/>
  <c r="W34" i="61"/>
  <c r="W36" i="61"/>
  <c r="W37" i="61"/>
  <c r="R41" i="61"/>
  <c r="W42" i="61"/>
  <c r="W44" i="61"/>
  <c r="W50" i="61"/>
  <c r="W60" i="61"/>
  <c r="R63" i="61"/>
  <c r="W70" i="61"/>
  <c r="W80" i="61"/>
  <c r="W84" i="61"/>
  <c r="R91" i="61"/>
  <c r="R95" i="61"/>
  <c r="W98" i="61"/>
  <c r="W103" i="61"/>
  <c r="R103" i="61"/>
  <c r="W106" i="61"/>
  <c r="W111" i="61"/>
  <c r="R111" i="61"/>
  <c r="W124" i="61"/>
  <c r="W126" i="61"/>
  <c r="W135" i="61"/>
  <c r="W16" i="61"/>
  <c r="W20" i="61"/>
  <c r="W24" i="61"/>
  <c r="W28" i="61"/>
  <c r="W56" i="61"/>
  <c r="W76" i="61"/>
  <c r="W121" i="61"/>
  <c r="W130" i="61"/>
  <c r="W134" i="61"/>
  <c r="R23" i="62"/>
  <c r="R22" i="62"/>
  <c r="W113" i="61"/>
  <c r="R29" i="62"/>
  <c r="R27" i="62"/>
  <c r="R28" i="62"/>
  <c r="R21" i="62"/>
  <c r="R26" i="62"/>
  <c r="R25" i="62"/>
  <c r="R2" i="61"/>
  <c r="R6" i="61"/>
  <c r="R10" i="61"/>
  <c r="R16" i="61"/>
  <c r="R20" i="61"/>
  <c r="R24" i="61"/>
  <c r="R28" i="61"/>
  <c r="R35" i="61"/>
  <c r="R36" i="61"/>
  <c r="R43" i="61"/>
  <c r="R44" i="61"/>
  <c r="R48" i="61"/>
  <c r="R52" i="61"/>
  <c r="R56" i="61"/>
  <c r="R60" i="61"/>
  <c r="R64" i="61"/>
  <c r="R68" i="61"/>
  <c r="R72" i="61"/>
  <c r="R76" i="61"/>
  <c r="R81" i="61"/>
  <c r="R82" i="61"/>
  <c r="R87" i="61"/>
  <c r="R88" i="61"/>
  <c r="R92" i="61"/>
  <c r="R96" i="61"/>
  <c r="R100" i="61"/>
  <c r="R104" i="61"/>
  <c r="R108" i="61"/>
  <c r="R113" i="61"/>
  <c r="R117" i="61"/>
  <c r="R121" i="61"/>
  <c r="R128" i="61"/>
  <c r="Q12" i="45"/>
  <c r="O12" i="45"/>
  <c r="R12" i="45" l="1"/>
  <c r="U25" i="52" l="1"/>
  <c r="R42" i="52" l="1"/>
  <c r="W42" i="52"/>
  <c r="Y42" i="52"/>
  <c r="R49" i="52"/>
  <c r="W49" i="52"/>
  <c r="Y49" i="52"/>
  <c r="U16" i="10" l="1"/>
  <c r="W16" i="10" s="1"/>
  <c r="U15" i="10"/>
  <c r="W15" i="10" s="1"/>
  <c r="U14" i="10"/>
  <c r="W14" i="10" s="1"/>
  <c r="N15" i="10"/>
  <c r="O15" i="10" s="1"/>
  <c r="R15" i="10" s="1"/>
  <c r="N16" i="10"/>
  <c r="O16" i="10" s="1"/>
  <c r="R13" i="10"/>
  <c r="N14" i="10"/>
  <c r="O14" i="10" s="1"/>
  <c r="R14" i="10" s="1"/>
  <c r="U13" i="10"/>
  <c r="W13" i="10" s="1"/>
  <c r="U12" i="10"/>
  <c r="W12" i="10" s="1"/>
  <c r="R12" i="10"/>
  <c r="R11" i="10"/>
  <c r="U11" i="10"/>
  <c r="Y11" i="10" s="1"/>
  <c r="U10" i="10"/>
  <c r="W10" i="10" s="1"/>
  <c r="R10" i="10"/>
  <c r="U6" i="10"/>
  <c r="U4" i="10"/>
  <c r="U7" i="10"/>
  <c r="U5" i="10"/>
  <c r="U3" i="51"/>
  <c r="R4" i="44"/>
  <c r="Y13" i="10" l="1"/>
  <c r="Y10" i="10"/>
  <c r="Y16" i="10"/>
  <c r="R16" i="10"/>
  <c r="Y14" i="10"/>
  <c r="Y15" i="10"/>
  <c r="W11" i="10"/>
  <c r="Y12" i="10"/>
  <c r="W23" i="49" l="1"/>
  <c r="W20" i="49"/>
  <c r="W15" i="49"/>
  <c r="W13" i="49"/>
  <c r="Y96" i="21" l="1"/>
  <c r="Q96" i="21"/>
  <c r="W96" i="21" s="1"/>
  <c r="P96" i="21"/>
  <c r="U95" i="21"/>
  <c r="Y95" i="21" s="1"/>
  <c r="Q95" i="21"/>
  <c r="R95" i="21" s="1"/>
  <c r="P95" i="21"/>
  <c r="Y94" i="21"/>
  <c r="Q94" i="21"/>
  <c r="W94" i="21" s="1"/>
  <c r="P94" i="21"/>
  <c r="U93" i="21"/>
  <c r="Y93" i="21" s="1"/>
  <c r="Q93" i="21"/>
  <c r="R93" i="21" s="1"/>
  <c r="P93" i="21"/>
  <c r="U92" i="21"/>
  <c r="Q92" i="21"/>
  <c r="R92" i="21" s="1"/>
  <c r="P92" i="21"/>
  <c r="U91" i="21"/>
  <c r="Y91" i="21" s="1"/>
  <c r="Q91" i="21"/>
  <c r="R91" i="21" s="1"/>
  <c r="P91" i="21"/>
  <c r="U90" i="21"/>
  <c r="Y90" i="21" s="1"/>
  <c r="Q90" i="21"/>
  <c r="R90" i="21" s="1"/>
  <c r="P90" i="21"/>
  <c r="U89" i="21"/>
  <c r="Q89" i="21"/>
  <c r="R89" i="21" s="1"/>
  <c r="P89" i="21"/>
  <c r="U88" i="21"/>
  <c r="Q88" i="21"/>
  <c r="R88" i="21" s="1"/>
  <c r="P88" i="21"/>
  <c r="U87" i="21"/>
  <c r="Y87" i="21" s="1"/>
  <c r="Q87" i="21"/>
  <c r="R87" i="21" s="1"/>
  <c r="P87" i="21"/>
  <c r="U86" i="21"/>
  <c r="Q86" i="21"/>
  <c r="R86" i="21" s="1"/>
  <c r="P86" i="21"/>
  <c r="U85" i="21"/>
  <c r="Q85" i="21"/>
  <c r="R85" i="21" s="1"/>
  <c r="P85" i="21"/>
  <c r="U84" i="21"/>
  <c r="Q84" i="21"/>
  <c r="R84" i="21" s="1"/>
  <c r="P84" i="21"/>
  <c r="U83" i="21"/>
  <c r="Y83" i="21" s="1"/>
  <c r="Q83" i="21"/>
  <c r="R83" i="21" s="1"/>
  <c r="P83" i="21"/>
  <c r="Y82" i="21"/>
  <c r="Q82" i="21"/>
  <c r="W82" i="21" s="1"/>
  <c r="P82" i="21"/>
  <c r="U81" i="21"/>
  <c r="Y81" i="21" s="1"/>
  <c r="Q81" i="21"/>
  <c r="R81" i="21" s="1"/>
  <c r="P81" i="21"/>
  <c r="U80" i="21"/>
  <c r="Y80" i="21" s="1"/>
  <c r="Q80" i="21"/>
  <c r="R80" i="21" s="1"/>
  <c r="P80" i="21"/>
  <c r="U79" i="21"/>
  <c r="Y79" i="21" s="1"/>
  <c r="Q79" i="21"/>
  <c r="R79" i="21" s="1"/>
  <c r="P79" i="21"/>
  <c r="U78" i="21"/>
  <c r="Q78" i="21"/>
  <c r="R78" i="21" s="1"/>
  <c r="P78" i="21"/>
  <c r="U77" i="21"/>
  <c r="Y77" i="21" s="1"/>
  <c r="Q77" i="21"/>
  <c r="R77" i="21" s="1"/>
  <c r="P77" i="21"/>
  <c r="U76" i="21"/>
  <c r="Q76" i="21"/>
  <c r="R76" i="21" s="1"/>
  <c r="P76" i="21"/>
  <c r="U75" i="21"/>
  <c r="Y75" i="21" s="1"/>
  <c r="Q75" i="21"/>
  <c r="R75" i="21" s="1"/>
  <c r="P75" i="21"/>
  <c r="Y74" i="21"/>
  <c r="Q74" i="21"/>
  <c r="W74" i="21" s="1"/>
  <c r="P74" i="21"/>
  <c r="U73" i="21"/>
  <c r="Y73" i="21" s="1"/>
  <c r="Q73" i="21"/>
  <c r="R73" i="21" s="1"/>
  <c r="P73" i="21"/>
  <c r="U72" i="21"/>
  <c r="Q72" i="21"/>
  <c r="R72" i="21" s="1"/>
  <c r="P72" i="21"/>
  <c r="U71" i="21"/>
  <c r="Y71" i="21" s="1"/>
  <c r="Q71" i="21"/>
  <c r="R71" i="21" s="1"/>
  <c r="P71" i="21"/>
  <c r="U70" i="21"/>
  <c r="Y70" i="21" s="1"/>
  <c r="Q70" i="21"/>
  <c r="R70" i="21" s="1"/>
  <c r="P70" i="21"/>
  <c r="U69" i="21"/>
  <c r="Y69" i="21" s="1"/>
  <c r="Q69" i="21"/>
  <c r="P69" i="21"/>
  <c r="U68" i="21"/>
  <c r="Y68" i="21" s="1"/>
  <c r="Q68" i="21"/>
  <c r="R68" i="21" s="1"/>
  <c r="P68" i="21"/>
  <c r="U67" i="21"/>
  <c r="Q67" i="21"/>
  <c r="R67" i="21" s="1"/>
  <c r="P67" i="21"/>
  <c r="U66" i="21"/>
  <c r="Y66" i="21" s="1"/>
  <c r="Q66" i="21"/>
  <c r="P66" i="21"/>
  <c r="U65" i="21"/>
  <c r="Y65" i="21" s="1"/>
  <c r="Q65" i="21"/>
  <c r="R65" i="21" s="1"/>
  <c r="P65" i="21"/>
  <c r="U64" i="21"/>
  <c r="Q64" i="21"/>
  <c r="R64" i="21" s="1"/>
  <c r="P64" i="21"/>
  <c r="U63" i="21"/>
  <c r="Y63" i="21" s="1"/>
  <c r="Q63" i="21"/>
  <c r="R63" i="21" s="1"/>
  <c r="P63" i="21"/>
  <c r="U62" i="21"/>
  <c r="Y62" i="21" s="1"/>
  <c r="Q62" i="21"/>
  <c r="R62" i="21" s="1"/>
  <c r="P62" i="21"/>
  <c r="U61" i="21"/>
  <c r="Q61" i="21"/>
  <c r="R61" i="21" s="1"/>
  <c r="P61" i="21"/>
  <c r="U60" i="21"/>
  <c r="Y60" i="21" s="1"/>
  <c r="Q60" i="21"/>
  <c r="P60" i="21"/>
  <c r="U59" i="21"/>
  <c r="Y59" i="21" s="1"/>
  <c r="Q59" i="21"/>
  <c r="R59" i="21" s="1"/>
  <c r="P59" i="21"/>
  <c r="U58" i="21"/>
  <c r="Y58" i="21" s="1"/>
  <c r="Q58" i="21"/>
  <c r="P58" i="21"/>
  <c r="U57" i="21"/>
  <c r="Y57" i="21" s="1"/>
  <c r="Q57" i="21"/>
  <c r="R57" i="21" s="1"/>
  <c r="P57" i="21"/>
  <c r="Y56" i="21"/>
  <c r="Q56" i="21"/>
  <c r="W56" i="21" s="1"/>
  <c r="P56" i="21"/>
  <c r="U55" i="21"/>
  <c r="Y55" i="21" s="1"/>
  <c r="Q55" i="21"/>
  <c r="R55" i="21" s="1"/>
  <c r="P55" i="21"/>
  <c r="Y54" i="21"/>
  <c r="Q54" i="21"/>
  <c r="W54" i="21" s="1"/>
  <c r="P54" i="21"/>
  <c r="U53" i="21"/>
  <c r="Y53" i="21" s="1"/>
  <c r="Q53" i="21"/>
  <c r="R53" i="21" s="1"/>
  <c r="P53" i="21"/>
  <c r="U52" i="21"/>
  <c r="Y52" i="21" s="1"/>
  <c r="Q52" i="21"/>
  <c r="R52" i="21" s="1"/>
  <c r="P52" i="21"/>
  <c r="U51" i="21"/>
  <c r="Q51" i="21"/>
  <c r="R51" i="21" s="1"/>
  <c r="P51" i="21"/>
  <c r="Y50" i="21"/>
  <c r="Q50" i="21"/>
  <c r="P50" i="21"/>
  <c r="U49" i="21"/>
  <c r="Q49" i="21"/>
  <c r="R49" i="21" s="1"/>
  <c r="P49" i="21"/>
  <c r="Y48" i="21"/>
  <c r="Q48" i="21"/>
  <c r="P48" i="21"/>
  <c r="U47" i="21"/>
  <c r="Q47" i="21"/>
  <c r="R47" i="21" s="1"/>
  <c r="P47" i="21"/>
  <c r="U46" i="21"/>
  <c r="Y46" i="21" s="1"/>
  <c r="Q46" i="21"/>
  <c r="P46" i="21"/>
  <c r="U45" i="21"/>
  <c r="Y45" i="21" s="1"/>
  <c r="Q45" i="21"/>
  <c r="R45" i="21" s="1"/>
  <c r="P45" i="21"/>
  <c r="U44" i="21"/>
  <c r="Q44" i="21"/>
  <c r="R44" i="21" s="1"/>
  <c r="P44" i="21"/>
  <c r="U43" i="21"/>
  <c r="Y43" i="21" s="1"/>
  <c r="Q43" i="21"/>
  <c r="R43" i="21" s="1"/>
  <c r="P43" i="21"/>
  <c r="U42" i="21"/>
  <c r="Y42" i="21" s="1"/>
  <c r="Q42" i="21"/>
  <c r="R42" i="21" s="1"/>
  <c r="P42" i="21"/>
  <c r="U41" i="21"/>
  <c r="Y41" i="21" s="1"/>
  <c r="Q41" i="21"/>
  <c r="P41" i="21"/>
  <c r="U40" i="21"/>
  <c r="Y40" i="21" s="1"/>
  <c r="Q40" i="21"/>
  <c r="R40" i="21" s="1"/>
  <c r="P40" i="21"/>
  <c r="U39" i="21"/>
  <c r="Q39" i="21"/>
  <c r="R39" i="21" s="1"/>
  <c r="P39" i="21"/>
  <c r="U38" i="21"/>
  <c r="Y38" i="21" s="1"/>
  <c r="Q38" i="21"/>
  <c r="P38" i="21"/>
  <c r="U37" i="21"/>
  <c r="Y37" i="21" s="1"/>
  <c r="Q37" i="21"/>
  <c r="R37" i="21" s="1"/>
  <c r="P37" i="21"/>
  <c r="U36" i="21"/>
  <c r="Q36" i="21"/>
  <c r="R36" i="21" s="1"/>
  <c r="P36" i="21"/>
  <c r="U35" i="21"/>
  <c r="Y35" i="21" s="1"/>
  <c r="Q35" i="21"/>
  <c r="R35" i="21" s="1"/>
  <c r="P35" i="21"/>
  <c r="U34" i="21"/>
  <c r="Y34" i="21" s="1"/>
  <c r="Q34" i="21"/>
  <c r="R34" i="21" s="1"/>
  <c r="P34" i="21"/>
  <c r="U33" i="21"/>
  <c r="Q33" i="21"/>
  <c r="R33" i="21" s="1"/>
  <c r="P33" i="21"/>
  <c r="U32" i="21"/>
  <c r="Y32" i="21" s="1"/>
  <c r="Q32" i="21"/>
  <c r="P32" i="21"/>
  <c r="U31" i="21"/>
  <c r="Y31" i="21" s="1"/>
  <c r="Q31" i="21"/>
  <c r="R31" i="21" s="1"/>
  <c r="P31" i="21"/>
  <c r="U30" i="21"/>
  <c r="Q30" i="21"/>
  <c r="R30" i="21" s="1"/>
  <c r="P30" i="21"/>
  <c r="U29" i="21"/>
  <c r="Y29" i="21" s="1"/>
  <c r="Q29" i="21"/>
  <c r="R29" i="21" s="1"/>
  <c r="P29" i="21"/>
  <c r="U28" i="21"/>
  <c r="Y28" i="21" s="1"/>
  <c r="Q28" i="21"/>
  <c r="P28" i="21"/>
  <c r="U27" i="21"/>
  <c r="Y27" i="21" s="1"/>
  <c r="Q27" i="21"/>
  <c r="R27" i="21" s="1"/>
  <c r="P27" i="21"/>
  <c r="U26" i="21"/>
  <c r="Y26" i="21" s="1"/>
  <c r="Q26" i="21"/>
  <c r="R26" i="21" s="1"/>
  <c r="P26" i="21"/>
  <c r="U25" i="21"/>
  <c r="Q25" i="21"/>
  <c r="R25" i="21" s="1"/>
  <c r="P25" i="21"/>
  <c r="U24" i="21"/>
  <c r="Y24" i="21" s="1"/>
  <c r="Q24" i="21"/>
  <c r="R24" i="21" s="1"/>
  <c r="P24" i="21"/>
  <c r="U23" i="21"/>
  <c r="Y23" i="21" s="1"/>
  <c r="Q23" i="21"/>
  <c r="R23" i="21" s="1"/>
  <c r="P23" i="21"/>
  <c r="U22" i="21"/>
  <c r="Q22" i="21"/>
  <c r="R22" i="21" s="1"/>
  <c r="P22" i="21"/>
  <c r="U21" i="21"/>
  <c r="Y21" i="21" s="1"/>
  <c r="Q21" i="21"/>
  <c r="R21" i="21" s="1"/>
  <c r="P21" i="21"/>
  <c r="U20" i="21"/>
  <c r="Y20" i="21" s="1"/>
  <c r="Q20" i="21"/>
  <c r="R20" i="21" s="1"/>
  <c r="P20" i="21"/>
  <c r="U19" i="21"/>
  <c r="Y19" i="21" s="1"/>
  <c r="Q19" i="21"/>
  <c r="R19" i="21" s="1"/>
  <c r="P19" i="21"/>
  <c r="U18" i="21"/>
  <c r="Y18" i="21" s="1"/>
  <c r="Q18" i="21"/>
  <c r="R18" i="21" s="1"/>
  <c r="P18" i="21"/>
  <c r="U17" i="21"/>
  <c r="Q17" i="21"/>
  <c r="R17" i="21" s="1"/>
  <c r="P17" i="21"/>
  <c r="U16" i="21"/>
  <c r="Y16" i="21" s="1"/>
  <c r="Q16" i="21"/>
  <c r="R16" i="21" s="1"/>
  <c r="P16" i="21"/>
  <c r="U15" i="21"/>
  <c r="Y15" i="21" s="1"/>
  <c r="Q15" i="21"/>
  <c r="R15" i="21" s="1"/>
  <c r="P15" i="21"/>
  <c r="U14" i="21"/>
  <c r="Q14" i="21"/>
  <c r="R14" i="21" s="1"/>
  <c r="P14" i="21"/>
  <c r="W85" i="21" l="1"/>
  <c r="W32" i="21"/>
  <c r="W60" i="21"/>
  <c r="W28" i="21"/>
  <c r="W88" i="21"/>
  <c r="W58" i="21"/>
  <c r="W40" i="21"/>
  <c r="W38" i="21"/>
  <c r="W52" i="21"/>
  <c r="W66" i="21"/>
  <c r="W14" i="21"/>
  <c r="W26" i="21"/>
  <c r="W43" i="21"/>
  <c r="W53" i="21"/>
  <c r="R54" i="21"/>
  <c r="R56" i="21"/>
  <c r="W59" i="21"/>
  <c r="W68" i="21"/>
  <c r="W69" i="21"/>
  <c r="Y85" i="21"/>
  <c r="Y14" i="21"/>
  <c r="R28" i="21"/>
  <c r="W37" i="21"/>
  <c r="W57" i="21"/>
  <c r="W18" i="21"/>
  <c r="W29" i="21"/>
  <c r="W31" i="21"/>
  <c r="W41" i="21"/>
  <c r="W46" i="21"/>
  <c r="W71" i="21"/>
  <c r="W83" i="21"/>
  <c r="W81" i="21"/>
  <c r="Y88" i="21"/>
  <c r="W91" i="21"/>
  <c r="W93" i="21"/>
  <c r="W19" i="21"/>
  <c r="W27" i="21"/>
  <c r="Y33" i="21"/>
  <c r="W33" i="21"/>
  <c r="W34" i="21"/>
  <c r="W35" i="21"/>
  <c r="R38" i="21"/>
  <c r="R41" i="21"/>
  <c r="Y44" i="21"/>
  <c r="W44" i="21"/>
  <c r="W45" i="21"/>
  <c r="W48" i="21"/>
  <c r="R48" i="21"/>
  <c r="W50" i="21"/>
  <c r="R50" i="21"/>
  <c r="W55" i="21"/>
  <c r="Y61" i="21"/>
  <c r="W61" i="21"/>
  <c r="W62" i="21"/>
  <c r="R66" i="21"/>
  <c r="R69" i="21"/>
  <c r="Y72" i="21"/>
  <c r="W72" i="21"/>
  <c r="W73" i="21"/>
  <c r="W75" i="21"/>
  <c r="Y86" i="21"/>
  <c r="W86" i="21"/>
  <c r="Y89" i="21"/>
  <c r="W89" i="21"/>
  <c r="W90" i="21"/>
  <c r="R96" i="21"/>
  <c r="Y17" i="21"/>
  <c r="W17" i="21"/>
  <c r="Y22" i="21"/>
  <c r="W22" i="21"/>
  <c r="Y25" i="21"/>
  <c r="W25" i="21"/>
  <c r="Y47" i="21"/>
  <c r="W47" i="21"/>
  <c r="Y49" i="21"/>
  <c r="W49" i="21"/>
  <c r="Y51" i="21"/>
  <c r="W51" i="21"/>
  <c r="Y64" i="21"/>
  <c r="W64" i="21"/>
  <c r="Y78" i="21"/>
  <c r="W78" i="21"/>
  <c r="W16" i="21"/>
  <c r="Y30" i="21"/>
  <c r="W30" i="21"/>
  <c r="Y39" i="21"/>
  <c r="W39" i="21"/>
  <c r="W42" i="21"/>
  <c r="R46" i="21"/>
  <c r="R58" i="21"/>
  <c r="Y67" i="21"/>
  <c r="W67" i="21"/>
  <c r="W70" i="21"/>
  <c r="R74" i="21"/>
  <c r="Y84" i="21"/>
  <c r="W84" i="21"/>
  <c r="W87" i="21"/>
  <c r="Y92" i="21"/>
  <c r="W92" i="21"/>
  <c r="W15" i="21"/>
  <c r="W20" i="21"/>
  <c r="W21" i="21"/>
  <c r="W23" i="21"/>
  <c r="W24" i="21"/>
  <c r="R32" i="21"/>
  <c r="Y36" i="21"/>
  <c r="W36" i="21"/>
  <c r="R60" i="21"/>
  <c r="W63" i="21"/>
  <c r="W65" i="21"/>
  <c r="Y76" i="21"/>
  <c r="W76" i="21"/>
  <c r="W77" i="21"/>
  <c r="W79" i="21"/>
  <c r="W80" i="21"/>
  <c r="R82" i="21"/>
  <c r="R94" i="21"/>
  <c r="W95" i="21"/>
  <c r="U2" i="34" l="1"/>
  <c r="Y2" i="34" s="1"/>
  <c r="Y45" i="48"/>
  <c r="Y44" i="48"/>
  <c r="U41" i="48"/>
  <c r="U43" i="48"/>
  <c r="Y43" i="48" s="1"/>
  <c r="U42" i="48"/>
  <c r="Y42" i="48" s="1"/>
  <c r="Q45" i="48"/>
  <c r="W45" i="48" s="1"/>
  <c r="Q44" i="48"/>
  <c r="R44" i="48" s="1"/>
  <c r="Q43" i="48"/>
  <c r="R43" i="48" s="1"/>
  <c r="Q42" i="48"/>
  <c r="R42" i="48" s="1"/>
  <c r="Q41" i="48"/>
  <c r="R41" i="48" s="1"/>
  <c r="U40" i="48"/>
  <c r="U39" i="48"/>
  <c r="U38" i="48"/>
  <c r="U36" i="48"/>
  <c r="U37" i="48"/>
  <c r="U35" i="48"/>
  <c r="Q39" i="48"/>
  <c r="Q40" i="48"/>
  <c r="O40" i="48" s="1"/>
  <c r="Q37" i="48"/>
  <c r="O37" i="48" s="1"/>
  <c r="Q38" i="48"/>
  <c r="O38" i="48" s="1"/>
  <c r="Q36" i="48"/>
  <c r="O36" i="48" s="1"/>
  <c r="Q35" i="48"/>
  <c r="O35" i="48" s="1"/>
  <c r="Y36" i="48" l="1"/>
  <c r="Y35" i="48"/>
  <c r="W39" i="48"/>
  <c r="W38" i="48"/>
  <c r="W42" i="48"/>
  <c r="W36" i="48"/>
  <c r="W35" i="48"/>
  <c r="R45" i="48"/>
  <c r="W41" i="48"/>
  <c r="Y37" i="48"/>
  <c r="Y40" i="48"/>
  <c r="W40" i="48"/>
  <c r="W37" i="48"/>
  <c r="W44" i="48"/>
  <c r="O39" i="48"/>
  <c r="Y39" i="48" s="1"/>
  <c r="Y38" i="48"/>
  <c r="W43" i="48"/>
  <c r="Y41" i="48"/>
  <c r="U3" i="34"/>
  <c r="Y3" i="34" s="1"/>
  <c r="R3" i="34"/>
  <c r="R2" i="34"/>
  <c r="U22" i="52" l="1"/>
  <c r="Y22" i="52" s="1"/>
  <c r="Q68" i="52"/>
  <c r="W68" i="52" s="1"/>
  <c r="O68" i="52"/>
  <c r="Y68" i="52" s="1"/>
  <c r="O69" i="52"/>
  <c r="Y69" i="52" s="1"/>
  <c r="Q69" i="52"/>
  <c r="U67" i="52"/>
  <c r="U62" i="52"/>
  <c r="Q67" i="52"/>
  <c r="Q62" i="52"/>
  <c r="O62" i="52"/>
  <c r="Q63" i="52"/>
  <c r="W63" i="52" s="1"/>
  <c r="Q64" i="52"/>
  <c r="W64" i="52" s="1"/>
  <c r="Q65" i="52"/>
  <c r="W65" i="52" s="1"/>
  <c r="Q66" i="52"/>
  <c r="W66" i="52" s="1"/>
  <c r="O63" i="52"/>
  <c r="Y63" i="52" s="1"/>
  <c r="O64" i="52"/>
  <c r="Y64" i="52" s="1"/>
  <c r="O65" i="52"/>
  <c r="O66" i="52"/>
  <c r="Y66" i="52" s="1"/>
  <c r="O67" i="52"/>
  <c r="U3" i="52"/>
  <c r="Y3" i="52" s="1"/>
  <c r="U11" i="52"/>
  <c r="Y11" i="52" s="1"/>
  <c r="U9" i="52"/>
  <c r="Y9" i="52" s="1"/>
  <c r="U13" i="52"/>
  <c r="Y13" i="52" s="1"/>
  <c r="Q14" i="52"/>
  <c r="R14" i="52" s="1"/>
  <c r="U14" i="52"/>
  <c r="Y14" i="52" s="1"/>
  <c r="U16" i="52"/>
  <c r="Y16" i="52" s="1"/>
  <c r="U18" i="52"/>
  <c r="Y18" i="52" s="1"/>
  <c r="U20" i="52"/>
  <c r="Y20" i="52" s="1"/>
  <c r="U26" i="52"/>
  <c r="Y26" i="52" s="1"/>
  <c r="U30" i="52"/>
  <c r="W30" i="52" s="1"/>
  <c r="U31" i="52"/>
  <c r="U34" i="52"/>
  <c r="Y34" i="52" s="1"/>
  <c r="U35" i="52"/>
  <c r="Y35" i="52" s="1"/>
  <c r="U38" i="52"/>
  <c r="W38" i="52" s="1"/>
  <c r="U37" i="52"/>
  <c r="W37" i="52" s="1"/>
  <c r="U43" i="52"/>
  <c r="Y43" i="52" s="1"/>
  <c r="U45" i="52"/>
  <c r="W45" i="52" s="1"/>
  <c r="U52" i="52"/>
  <c r="W52" i="52" s="1"/>
  <c r="Y61" i="52"/>
  <c r="R61" i="52"/>
  <c r="W61" i="52"/>
  <c r="U60" i="52"/>
  <c r="Y60" i="52" s="1"/>
  <c r="U59" i="52"/>
  <c r="W59" i="52" s="1"/>
  <c r="R59" i="52"/>
  <c r="R60" i="52"/>
  <c r="U57" i="52"/>
  <c r="Y57" i="52" s="1"/>
  <c r="U58" i="52"/>
  <c r="Y58" i="52" s="1"/>
  <c r="R58" i="52"/>
  <c r="R57" i="52"/>
  <c r="U56" i="52"/>
  <c r="U54" i="52"/>
  <c r="U55" i="52"/>
  <c r="Q55" i="52"/>
  <c r="Q56" i="52"/>
  <c r="O55" i="52"/>
  <c r="O56" i="52"/>
  <c r="Q54" i="52"/>
  <c r="O54" i="52"/>
  <c r="U34" i="48"/>
  <c r="Y34" i="48" s="1"/>
  <c r="Q33" i="48"/>
  <c r="R33" i="48" s="1"/>
  <c r="Q34" i="48"/>
  <c r="R34" i="48" s="1"/>
  <c r="U33" i="48"/>
  <c r="Y33" i="48" s="1"/>
  <c r="U32" i="48"/>
  <c r="Y32" i="48" s="1"/>
  <c r="Q32" i="48"/>
  <c r="R32" i="48" s="1"/>
  <c r="W32" i="48" l="1"/>
  <c r="W34" i="48"/>
  <c r="R65" i="52"/>
  <c r="W67" i="52"/>
  <c r="W33" i="48"/>
  <c r="Y62" i="52"/>
  <c r="R62" i="52"/>
  <c r="R69" i="52"/>
  <c r="R67" i="52"/>
  <c r="Y67" i="52"/>
  <c r="W62" i="52"/>
  <c r="W69" i="52"/>
  <c r="Y65" i="52"/>
  <c r="R68" i="52"/>
  <c r="R63" i="52"/>
  <c r="R64" i="52"/>
  <c r="R66" i="52"/>
  <c r="W14" i="52"/>
  <c r="W56" i="52"/>
  <c r="Y56" i="52"/>
  <c r="W55" i="52"/>
  <c r="Y52" i="52"/>
  <c r="Y38" i="52"/>
  <c r="Y55" i="52"/>
  <c r="Y59" i="52"/>
  <c r="R56" i="52"/>
  <c r="Y54" i="52"/>
  <c r="Y45" i="52"/>
  <c r="Y37" i="52"/>
  <c r="W57" i="52"/>
  <c r="W43" i="52"/>
  <c r="W35" i="52"/>
  <c r="R55" i="52"/>
  <c r="W54" i="52"/>
  <c r="W60" i="52"/>
  <c r="W58" i="52"/>
  <c r="R54" i="52"/>
  <c r="N25" i="28"/>
  <c r="O25" i="28" s="1"/>
  <c r="Y25" i="28" s="1"/>
  <c r="N26" i="28"/>
  <c r="O26" i="28" s="1"/>
  <c r="N24" i="28"/>
  <c r="O24" i="28" s="1"/>
  <c r="U26" i="28"/>
  <c r="Q26" i="28"/>
  <c r="Q25" i="28"/>
  <c r="W25" i="28" s="1"/>
  <c r="Q24" i="28"/>
  <c r="W24" i="28" s="1"/>
  <c r="Y17" i="28"/>
  <c r="Y18" i="28"/>
  <c r="Y19" i="28"/>
  <c r="Y20" i="28"/>
  <c r="Y21" i="28"/>
  <c r="Y22" i="28"/>
  <c r="Y23" i="28"/>
  <c r="Y16" i="28"/>
  <c r="Y15" i="28"/>
  <c r="Y14" i="28"/>
  <c r="Y13" i="28"/>
  <c r="Y12" i="28"/>
  <c r="Y11" i="28"/>
  <c r="Y10" i="28"/>
  <c r="Y9" i="28"/>
  <c r="Y7" i="28"/>
  <c r="Y8" i="28"/>
  <c r="Y6" i="28"/>
  <c r="Q23" i="28"/>
  <c r="W23" i="28" s="1"/>
  <c r="Q18" i="28"/>
  <c r="W18" i="28" s="1"/>
  <c r="Q19" i="28"/>
  <c r="W19" i="28" s="1"/>
  <c r="Q20" i="28"/>
  <c r="R20" i="28" s="1"/>
  <c r="Q21" i="28"/>
  <c r="W21" i="28" s="1"/>
  <c r="Q22" i="28"/>
  <c r="W22" i="28" s="1"/>
  <c r="Q16" i="28"/>
  <c r="R16" i="28" s="1"/>
  <c r="Q17" i="28"/>
  <c r="W17" i="28" s="1"/>
  <c r="Q15" i="28"/>
  <c r="W15" i="28" s="1"/>
  <c r="Q13" i="28"/>
  <c r="W13" i="28" s="1"/>
  <c r="Q14" i="28"/>
  <c r="R14" i="28" s="1"/>
  <c r="Q12" i="28"/>
  <c r="W12" i="28" s="1"/>
  <c r="Q10" i="28"/>
  <c r="W10" i="28" s="1"/>
  <c r="Q11" i="28"/>
  <c r="W11" i="28" s="1"/>
  <c r="Q9" i="28"/>
  <c r="R9" i="28" s="1"/>
  <c r="Q7" i="28"/>
  <c r="W7" i="28" s="1"/>
  <c r="Q8" i="28"/>
  <c r="W8" i="28" s="1"/>
  <c r="Q6" i="28"/>
  <c r="W6" i="28" s="1"/>
  <c r="U52" i="47"/>
  <c r="U51" i="47"/>
  <c r="U50" i="47"/>
  <c r="Q50" i="47"/>
  <c r="Q51" i="47"/>
  <c r="Q52" i="47"/>
  <c r="O50" i="47"/>
  <c r="O51" i="47"/>
  <c r="O52" i="47"/>
  <c r="Z13" i="46"/>
  <c r="Z9" i="46"/>
  <c r="Z10" i="46"/>
  <c r="O47" i="47"/>
  <c r="O48" i="47"/>
  <c r="O49" i="47"/>
  <c r="Q48" i="47"/>
  <c r="Q49" i="47"/>
  <c r="Q47" i="47"/>
  <c r="U49" i="47"/>
  <c r="U48" i="47"/>
  <c r="U47" i="47"/>
  <c r="Y47" i="47" s="1"/>
  <c r="U44" i="47"/>
  <c r="U3" i="47"/>
  <c r="U12" i="46"/>
  <c r="U11" i="46"/>
  <c r="Q11" i="46"/>
  <c r="R11" i="46" s="1"/>
  <c r="Q12" i="46"/>
  <c r="R12" i="46" s="1"/>
  <c r="Q13" i="46"/>
  <c r="R13" i="46" s="1"/>
  <c r="Q9" i="46"/>
  <c r="R9" i="46" s="1"/>
  <c r="Q10" i="46"/>
  <c r="W10" i="46" s="1"/>
  <c r="U2" i="46"/>
  <c r="W2" i="46" s="1"/>
  <c r="R50" i="47" l="1"/>
  <c r="W48" i="47"/>
  <c r="W12" i="46"/>
  <c r="R26" i="28"/>
  <c r="W11" i="46"/>
  <c r="W50" i="47"/>
  <c r="Y26" i="28"/>
  <c r="R10" i="28"/>
  <c r="W13" i="46"/>
  <c r="R47" i="47"/>
  <c r="R48" i="47"/>
  <c r="Y51" i="47"/>
  <c r="R51" i="47"/>
  <c r="R7" i="28"/>
  <c r="W16" i="28"/>
  <c r="Z12" i="46"/>
  <c r="Y50" i="47"/>
  <c r="W51" i="47"/>
  <c r="W52" i="47"/>
  <c r="Y24" i="28"/>
  <c r="R24" i="28"/>
  <c r="R52" i="47"/>
  <c r="R10" i="46"/>
  <c r="Z11" i="46"/>
  <c r="Y52" i="47"/>
  <c r="W20" i="28"/>
  <c r="W49" i="47"/>
  <c r="R23" i="28"/>
  <c r="R25" i="28"/>
  <c r="R8" i="28"/>
  <c r="R13" i="28"/>
  <c r="R21" i="28"/>
  <c r="R11" i="28"/>
  <c r="R18" i="28"/>
  <c r="W26" i="28"/>
  <c r="R15" i="28"/>
  <c r="W9" i="28"/>
  <c r="R17" i="28"/>
  <c r="R12" i="28"/>
  <c r="W14" i="28"/>
  <c r="R6" i="28"/>
  <c r="R19" i="28"/>
  <c r="R22" i="28"/>
  <c r="R49" i="47"/>
  <c r="W47" i="47"/>
  <c r="Y49" i="47"/>
  <c r="Y48" i="47"/>
  <c r="W9" i="46"/>
  <c r="Q45" i="47"/>
  <c r="W45" i="47" s="1"/>
  <c r="Q46" i="47"/>
  <c r="O45" i="47"/>
  <c r="O46" i="47"/>
  <c r="O44" i="47"/>
  <c r="Q44" i="47"/>
  <c r="Z6" i="46"/>
  <c r="Z7" i="46"/>
  <c r="Z8" i="46"/>
  <c r="Q6" i="46"/>
  <c r="W6" i="46" s="1"/>
  <c r="Q7" i="46"/>
  <c r="W7" i="46" s="1"/>
  <c r="Q8" i="46"/>
  <c r="R8" i="46" s="1"/>
  <c r="Q5" i="46"/>
  <c r="U5" i="46"/>
  <c r="Z5" i="46" s="1"/>
  <c r="O4" i="46"/>
  <c r="Z4" i="46" s="1"/>
  <c r="Q4" i="46"/>
  <c r="W4" i="46" s="1"/>
  <c r="Y12" i="21"/>
  <c r="Y13" i="21"/>
  <c r="Y3" i="21"/>
  <c r="Y4" i="21"/>
  <c r="Y5" i="21"/>
  <c r="Y6" i="21"/>
  <c r="Y7" i="21"/>
  <c r="Y8" i="21"/>
  <c r="Y9" i="21"/>
  <c r="Y10" i="21"/>
  <c r="Y11" i="21"/>
  <c r="Y2" i="21"/>
  <c r="W12" i="21"/>
  <c r="W13" i="21"/>
  <c r="W5" i="21"/>
  <c r="W6" i="21"/>
  <c r="W7" i="21"/>
  <c r="W8" i="21"/>
  <c r="W9" i="21"/>
  <c r="W10" i="21"/>
  <c r="W11" i="21"/>
  <c r="W3" i="21"/>
  <c r="W4" i="21"/>
  <c r="W2" i="21"/>
  <c r="R11" i="21"/>
  <c r="R12" i="21"/>
  <c r="R13" i="21"/>
  <c r="R8" i="21"/>
  <c r="R9" i="21"/>
  <c r="R10" i="21"/>
  <c r="R5" i="21"/>
  <c r="R6" i="21"/>
  <c r="R7" i="21"/>
  <c r="R3" i="21"/>
  <c r="R4" i="21"/>
  <c r="R2" i="21"/>
  <c r="R46" i="47" l="1"/>
  <c r="W46" i="47"/>
  <c r="R4" i="46"/>
  <c r="W5" i="46"/>
  <c r="W8" i="46"/>
  <c r="Y46" i="47"/>
  <c r="R44" i="47"/>
  <c r="R45" i="47"/>
  <c r="Y44" i="47"/>
  <c r="W44" i="47"/>
  <c r="Y45" i="47"/>
  <c r="R7" i="46"/>
  <c r="R6" i="46"/>
  <c r="R5" i="46"/>
  <c r="W3" i="19"/>
  <c r="R3" i="19"/>
  <c r="W2" i="19"/>
  <c r="R2" i="19"/>
  <c r="W12" i="45"/>
  <c r="Q13" i="45"/>
  <c r="W13" i="45" s="1"/>
  <c r="O13" i="45"/>
  <c r="Y13" i="45" s="1"/>
  <c r="Q9" i="10"/>
  <c r="N9" i="10"/>
  <c r="O9" i="10" s="1"/>
  <c r="N8" i="10"/>
  <c r="O8" i="10" s="1"/>
  <c r="Q8" i="10"/>
  <c r="W8" i="10" s="1"/>
  <c r="U9" i="10"/>
  <c r="Q7" i="10"/>
  <c r="N7" i="10"/>
  <c r="O7" i="10" s="1"/>
  <c r="Q6" i="10"/>
  <c r="N6" i="10"/>
  <c r="O6" i="10" s="1"/>
  <c r="U5" i="44"/>
  <c r="W5" i="44" s="1"/>
  <c r="U4" i="44"/>
  <c r="W4" i="44" s="1"/>
  <c r="U3" i="44"/>
  <c r="U2" i="44"/>
  <c r="Y5" i="10"/>
  <c r="Y4" i="10"/>
  <c r="U3" i="10"/>
  <c r="Y3" i="10" s="1"/>
  <c r="Q2" i="10"/>
  <c r="R7" i="10" l="1"/>
  <c r="R9" i="10"/>
  <c r="R6" i="10"/>
  <c r="Y9" i="10"/>
  <c r="W7" i="10"/>
  <c r="W9" i="10"/>
  <c r="Y7" i="10"/>
  <c r="Y6" i="10"/>
  <c r="R13" i="45"/>
  <c r="R8" i="10"/>
  <c r="Y8" i="10"/>
  <c r="Y12" i="45"/>
  <c r="W6" i="10"/>
  <c r="Y4" i="44"/>
  <c r="O3" i="28" l="1"/>
  <c r="O4" i="28"/>
  <c r="O5" i="28"/>
  <c r="Q3" i="28"/>
  <c r="Q4" i="28"/>
  <c r="Q5" i="28"/>
  <c r="U5" i="28"/>
  <c r="U4" i="28"/>
  <c r="U3" i="28"/>
  <c r="O2" i="28"/>
  <c r="Q2" i="28"/>
  <c r="W2" i="28" s="1"/>
  <c r="U14" i="30"/>
  <c r="U13" i="30"/>
  <c r="Q13" i="30"/>
  <c r="R13" i="30" s="1"/>
  <c r="Q14" i="30"/>
  <c r="R14" i="30" s="1"/>
  <c r="U12" i="30"/>
  <c r="Y12" i="30" s="1"/>
  <c r="Q12" i="30"/>
  <c r="U3" i="30"/>
  <c r="U4" i="30"/>
  <c r="U5" i="30"/>
  <c r="U6" i="30"/>
  <c r="U7" i="30"/>
  <c r="U8" i="30"/>
  <c r="U9" i="30"/>
  <c r="U10" i="30"/>
  <c r="U11" i="30"/>
  <c r="V4" i="30"/>
  <c r="V5" i="30" s="1"/>
  <c r="V6" i="30" s="1"/>
  <c r="V7" i="30" s="1"/>
  <c r="V8" i="30" s="1"/>
  <c r="V9" i="30" s="1"/>
  <c r="V10" i="30" s="1"/>
  <c r="V11" i="30" s="1"/>
  <c r="V12" i="30" s="1"/>
  <c r="V13" i="30" s="1"/>
  <c r="V14" i="30" s="1"/>
  <c r="W2" i="30"/>
  <c r="O8" i="30"/>
  <c r="R8" i="30" s="1"/>
  <c r="O9" i="30"/>
  <c r="R9" i="30" s="1"/>
  <c r="O10" i="30"/>
  <c r="R10" i="30" s="1"/>
  <c r="O11" i="30"/>
  <c r="R11" i="30" s="1"/>
  <c r="O3" i="30"/>
  <c r="R3" i="30" s="1"/>
  <c r="O4" i="30"/>
  <c r="R4" i="30" s="1"/>
  <c r="O5" i="30"/>
  <c r="R5" i="30" s="1"/>
  <c r="O6" i="30"/>
  <c r="R6" i="30" s="1"/>
  <c r="O7" i="30"/>
  <c r="R7" i="30" s="1"/>
  <c r="O2" i="30"/>
  <c r="R2" i="30" s="1"/>
  <c r="Y7" i="31"/>
  <c r="Y9" i="31"/>
  <c r="U8" i="31"/>
  <c r="W8" i="31" s="1"/>
  <c r="W7" i="31"/>
  <c r="W9" i="31"/>
  <c r="U6" i="31"/>
  <c r="W6" i="31" s="1"/>
  <c r="R6" i="31"/>
  <c r="R7" i="31"/>
  <c r="R8" i="31"/>
  <c r="R9" i="31"/>
  <c r="R2" i="31"/>
  <c r="R3" i="31"/>
  <c r="R4" i="31"/>
  <c r="R5" i="31"/>
  <c r="Y2" i="31"/>
  <c r="Y3" i="31"/>
  <c r="Y4" i="31"/>
  <c r="Y5" i="31"/>
  <c r="W2" i="31"/>
  <c r="W3" i="31"/>
  <c r="W4" i="31"/>
  <c r="W5" i="31"/>
  <c r="Y53" i="52"/>
  <c r="Y47" i="52"/>
  <c r="Y48" i="52"/>
  <c r="Y51" i="52"/>
  <c r="Y40" i="52"/>
  <c r="Y41" i="52"/>
  <c r="R39" i="52"/>
  <c r="R40" i="52"/>
  <c r="R41" i="52"/>
  <c r="R43" i="52"/>
  <c r="R44" i="52"/>
  <c r="R45" i="52"/>
  <c r="R46" i="52"/>
  <c r="R47" i="52"/>
  <c r="R48" i="52"/>
  <c r="R50" i="52"/>
  <c r="R51" i="52"/>
  <c r="R52" i="52"/>
  <c r="R53" i="52"/>
  <c r="R38" i="52"/>
  <c r="W53" i="52"/>
  <c r="W47" i="52"/>
  <c r="W48" i="52"/>
  <c r="W51" i="52"/>
  <c r="U50" i="52"/>
  <c r="Y50" i="52" s="1"/>
  <c r="U46" i="52"/>
  <c r="Y46" i="52" s="1"/>
  <c r="W40" i="52"/>
  <c r="W41" i="52"/>
  <c r="U44" i="52"/>
  <c r="Y44" i="52" s="1"/>
  <c r="U39" i="52"/>
  <c r="Y39" i="52" s="1"/>
  <c r="Y21" i="52"/>
  <c r="R35" i="52"/>
  <c r="R36" i="52"/>
  <c r="R37" i="52"/>
  <c r="U36" i="52"/>
  <c r="W36" i="52" s="1"/>
  <c r="U2" i="30" l="1"/>
  <c r="Y2" i="30" s="1"/>
  <c r="Y8" i="31"/>
  <c r="W5" i="28"/>
  <c r="Y6" i="31"/>
  <c r="Y4" i="30"/>
  <c r="W14" i="30"/>
  <c r="W3" i="28"/>
  <c r="Y3" i="28"/>
  <c r="W4" i="28"/>
  <c r="R4" i="28"/>
  <c r="Y5" i="28"/>
  <c r="Y2" i="28"/>
  <c r="R5" i="28"/>
  <c r="Y4" i="28"/>
  <c r="R3" i="28"/>
  <c r="R2" i="28"/>
  <c r="Y8" i="30"/>
  <c r="Y5" i="30"/>
  <c r="W12" i="30"/>
  <c r="W13" i="30"/>
  <c r="Y11" i="30"/>
  <c r="Y14" i="30"/>
  <c r="Y13" i="30"/>
  <c r="Y10" i="30"/>
  <c r="Y7" i="30"/>
  <c r="Y3" i="30"/>
  <c r="R12" i="30"/>
  <c r="Y9" i="30"/>
  <c r="Y6" i="30"/>
  <c r="W44" i="52"/>
  <c r="W46" i="52"/>
  <c r="W39" i="52"/>
  <c r="W50" i="52"/>
  <c r="Y36" i="52"/>
  <c r="N3" i="49"/>
  <c r="O3" i="49" s="1"/>
  <c r="R3" i="49" s="1"/>
  <c r="N2" i="49"/>
  <c r="O2" i="49" s="1"/>
  <c r="R2" i="49" s="1"/>
  <c r="R5" i="49"/>
  <c r="R6" i="49"/>
  <c r="R7" i="49"/>
  <c r="R8" i="49"/>
  <c r="R9" i="49"/>
  <c r="R4" i="49"/>
  <c r="Q2" i="52" l="1"/>
  <c r="R2" i="52" s="1"/>
  <c r="U2" i="52"/>
  <c r="Y2" i="52" s="1"/>
  <c r="Q3" i="52"/>
  <c r="R3" i="52" s="1"/>
  <c r="Q4" i="52"/>
  <c r="R4" i="52" s="1"/>
  <c r="U4" i="52"/>
  <c r="Q5" i="52"/>
  <c r="R5" i="52" s="1"/>
  <c r="U5" i="52"/>
  <c r="Y5" i="52" s="1"/>
  <c r="Q6" i="52"/>
  <c r="U6" i="52"/>
  <c r="Y6" i="52" s="1"/>
  <c r="Q7" i="52"/>
  <c r="R7" i="52" s="1"/>
  <c r="U7" i="52"/>
  <c r="Y7" i="52" s="1"/>
  <c r="Q8" i="52"/>
  <c r="R8" i="52" s="1"/>
  <c r="U8" i="52"/>
  <c r="Q9" i="52"/>
  <c r="R9" i="52" s="1"/>
  <c r="Q10" i="52"/>
  <c r="R10" i="52" s="1"/>
  <c r="U10" i="52"/>
  <c r="Y10" i="52" s="1"/>
  <c r="Q11" i="52"/>
  <c r="R11" i="52" s="1"/>
  <c r="Q12" i="52"/>
  <c r="R12" i="52" s="1"/>
  <c r="U12" i="52"/>
  <c r="Y12" i="52" s="1"/>
  <c r="Q13" i="52"/>
  <c r="R13" i="52" s="1"/>
  <c r="Q15" i="52"/>
  <c r="R15" i="52" s="1"/>
  <c r="U15" i="52"/>
  <c r="Y15" i="52" s="1"/>
  <c r="Q16" i="52"/>
  <c r="W16" i="52" s="1"/>
  <c r="Q17" i="52"/>
  <c r="R17" i="52" s="1"/>
  <c r="U17" i="52"/>
  <c r="Y17" i="52" s="1"/>
  <c r="Q18" i="52"/>
  <c r="Q19" i="52"/>
  <c r="R19" i="52" s="1"/>
  <c r="U19" i="52"/>
  <c r="Q20" i="52"/>
  <c r="W20" i="52" s="1"/>
  <c r="Q21" i="52"/>
  <c r="Q22" i="52"/>
  <c r="R22" i="52" s="1"/>
  <c r="Q23" i="52"/>
  <c r="R23" i="52" s="1"/>
  <c r="U23" i="52"/>
  <c r="Y23" i="52" s="1"/>
  <c r="Q24" i="52"/>
  <c r="R24" i="52" s="1"/>
  <c r="U24" i="52"/>
  <c r="Y24" i="52" s="1"/>
  <c r="Q25" i="52"/>
  <c r="R25" i="52" s="1"/>
  <c r="Y25" i="52"/>
  <c r="Q26" i="52"/>
  <c r="R26" i="52" s="1"/>
  <c r="R27" i="52"/>
  <c r="U27" i="52"/>
  <c r="R28" i="52"/>
  <c r="U28" i="52"/>
  <c r="Y28" i="52" s="1"/>
  <c r="R29" i="52"/>
  <c r="U29" i="52"/>
  <c r="Y29" i="52" s="1"/>
  <c r="R30" i="52"/>
  <c r="Q31" i="52"/>
  <c r="Y31" i="52"/>
  <c r="Q32" i="52"/>
  <c r="R32" i="52" s="1"/>
  <c r="U32" i="52"/>
  <c r="Y32" i="52" s="1"/>
  <c r="Q33" i="52"/>
  <c r="U33" i="52"/>
  <c r="Y33" i="52" s="1"/>
  <c r="Q34" i="52"/>
  <c r="P2" i="51"/>
  <c r="Q2" i="51"/>
  <c r="U2" i="51"/>
  <c r="Y2" i="51" s="1"/>
  <c r="O3" i="51"/>
  <c r="Q3" i="51"/>
  <c r="W3" i="51" s="1"/>
  <c r="Y3" i="51"/>
  <c r="Q4" i="51"/>
  <c r="W4" i="51" s="1"/>
  <c r="Y4" i="51"/>
  <c r="P5" i="51"/>
  <c r="Q5" i="51"/>
  <c r="U5" i="51"/>
  <c r="Y5" i="51" s="1"/>
  <c r="O6" i="51"/>
  <c r="Q6" i="51"/>
  <c r="U6" i="51"/>
  <c r="Q7" i="51"/>
  <c r="W7" i="51" s="1"/>
  <c r="Y7" i="51"/>
  <c r="U2" i="49"/>
  <c r="Y2" i="49" s="1"/>
  <c r="U3" i="49"/>
  <c r="Y3" i="49" s="1"/>
  <c r="U4" i="49"/>
  <c r="Y4" i="49" s="1"/>
  <c r="U5" i="49"/>
  <c r="Y5" i="49" s="1"/>
  <c r="U6" i="49"/>
  <c r="Y6" i="49" s="1"/>
  <c r="U7" i="49"/>
  <c r="Y7" i="49" s="1"/>
  <c r="U8" i="49"/>
  <c r="Y8" i="49" s="1"/>
  <c r="U9" i="49"/>
  <c r="Y9" i="49" s="1"/>
  <c r="N2" i="48"/>
  <c r="O2" i="48" s="1"/>
  <c r="R2" i="48" s="1"/>
  <c r="U2" i="48"/>
  <c r="W2" i="48" s="1"/>
  <c r="N3" i="48"/>
  <c r="O3" i="48" s="1"/>
  <c r="R3" i="48" s="1"/>
  <c r="U3" i="48"/>
  <c r="W3" i="48" s="1"/>
  <c r="N4" i="48"/>
  <c r="O4" i="48" s="1"/>
  <c r="R4" i="48" s="1"/>
  <c r="U4" i="48"/>
  <c r="W4" i="48" s="1"/>
  <c r="N5" i="48"/>
  <c r="O5" i="48" s="1"/>
  <c r="R5" i="48" s="1"/>
  <c r="U5" i="48"/>
  <c r="W5" i="48" s="1"/>
  <c r="N6" i="48"/>
  <c r="O6" i="48" s="1"/>
  <c r="R6" i="48" s="1"/>
  <c r="U6" i="48"/>
  <c r="W6" i="48" s="1"/>
  <c r="N7" i="48"/>
  <c r="O7" i="48" s="1"/>
  <c r="R7" i="48" s="1"/>
  <c r="U7" i="48"/>
  <c r="W7" i="48" s="1"/>
  <c r="N8" i="48"/>
  <c r="O8" i="48" s="1"/>
  <c r="R8" i="48" s="1"/>
  <c r="U8" i="48"/>
  <c r="W8" i="48" s="1"/>
  <c r="N9" i="48"/>
  <c r="O9" i="48" s="1"/>
  <c r="R9" i="48" s="1"/>
  <c r="U9" i="48"/>
  <c r="W9" i="48" s="1"/>
  <c r="N10" i="48"/>
  <c r="O10" i="48" s="1"/>
  <c r="R10" i="48" s="1"/>
  <c r="U10" i="48"/>
  <c r="W10" i="48" s="1"/>
  <c r="N11" i="48"/>
  <c r="O11" i="48" s="1"/>
  <c r="R11" i="48" s="1"/>
  <c r="U11" i="48"/>
  <c r="W11" i="48" s="1"/>
  <c r="Q12" i="48"/>
  <c r="R12" i="48" s="1"/>
  <c r="Q13" i="48"/>
  <c r="R13" i="48" s="1"/>
  <c r="Q14" i="48"/>
  <c r="R14" i="48" s="1"/>
  <c r="Q15" i="48"/>
  <c r="R15" i="48" s="1"/>
  <c r="Q16" i="48"/>
  <c r="U16" i="48" s="1"/>
  <c r="Y16" i="48" s="1"/>
  <c r="Q17" i="48"/>
  <c r="R17" i="48" s="1"/>
  <c r="Q18" i="48"/>
  <c r="R18" i="48" s="1"/>
  <c r="Q19" i="48"/>
  <c r="R19" i="48" s="1"/>
  <c r="Q20" i="48"/>
  <c r="R20" i="48" s="1"/>
  <c r="Q21" i="48"/>
  <c r="R21" i="48" s="1"/>
  <c r="Q22" i="48"/>
  <c r="R22" i="48" s="1"/>
  <c r="Q23" i="48"/>
  <c r="R23" i="48" s="1"/>
  <c r="Q24" i="48"/>
  <c r="U24" i="48" s="1"/>
  <c r="Y24" i="48" s="1"/>
  <c r="Q25" i="48"/>
  <c r="R25" i="48" s="1"/>
  <c r="Q26" i="48"/>
  <c r="R26" i="48" s="1"/>
  <c r="Q27" i="48"/>
  <c r="R27" i="48" s="1"/>
  <c r="Q28" i="48"/>
  <c r="R28" i="48" s="1"/>
  <c r="Q29" i="48"/>
  <c r="R29" i="48" s="1"/>
  <c r="Q30" i="48"/>
  <c r="R30" i="48" s="1"/>
  <c r="Q31" i="48"/>
  <c r="R31" i="48" s="1"/>
  <c r="O2" i="47"/>
  <c r="Q2" i="47"/>
  <c r="U2" i="47"/>
  <c r="O3" i="47"/>
  <c r="Q3" i="47"/>
  <c r="O4" i="47"/>
  <c r="Q4" i="47"/>
  <c r="O5" i="47"/>
  <c r="Q5" i="47"/>
  <c r="O6" i="47"/>
  <c r="Q6" i="47"/>
  <c r="U6" i="47" s="1"/>
  <c r="O7" i="47"/>
  <c r="Q7" i="47"/>
  <c r="O8" i="47"/>
  <c r="Q8" i="47"/>
  <c r="W8" i="47"/>
  <c r="O9" i="47"/>
  <c r="Q9" i="47"/>
  <c r="U9" i="47" s="1"/>
  <c r="O10" i="47"/>
  <c r="Q10" i="47"/>
  <c r="W10" i="47"/>
  <c r="O11" i="47"/>
  <c r="Q11" i="47"/>
  <c r="U11" i="47" s="1"/>
  <c r="O12" i="47"/>
  <c r="Q12" i="47"/>
  <c r="W12" i="47"/>
  <c r="O13" i="47"/>
  <c r="Q13" i="47"/>
  <c r="U13" i="47" s="1"/>
  <c r="O14" i="47"/>
  <c r="Q14" i="47"/>
  <c r="W14" i="47"/>
  <c r="O15" i="47"/>
  <c r="Q15" i="47"/>
  <c r="O16" i="47"/>
  <c r="Q16" i="47"/>
  <c r="W16" i="47"/>
  <c r="O17" i="47"/>
  <c r="Q17" i="47"/>
  <c r="U17" i="47" s="1"/>
  <c r="O18" i="47"/>
  <c r="Q18" i="47"/>
  <c r="W18" i="47"/>
  <c r="O19" i="47"/>
  <c r="Q19" i="47"/>
  <c r="O20" i="47"/>
  <c r="Q20" i="47"/>
  <c r="W20" i="47"/>
  <c r="O21" i="47"/>
  <c r="Q21" i="47"/>
  <c r="U21" i="47" s="1"/>
  <c r="O22" i="47"/>
  <c r="Q22" i="47"/>
  <c r="W22" i="47"/>
  <c r="O23" i="47"/>
  <c r="Q23" i="47"/>
  <c r="O24" i="47"/>
  <c r="Q24" i="47"/>
  <c r="U24" i="47" s="1"/>
  <c r="O25" i="47"/>
  <c r="Q25" i="47"/>
  <c r="O26" i="47"/>
  <c r="Q26" i="47"/>
  <c r="U26" i="47" s="1"/>
  <c r="O27" i="47"/>
  <c r="Q27" i="47"/>
  <c r="O28" i="47"/>
  <c r="Q28" i="47"/>
  <c r="W28" i="47"/>
  <c r="O29" i="47"/>
  <c r="Q29" i="47"/>
  <c r="U29" i="47" s="1"/>
  <c r="O30" i="47"/>
  <c r="Q30" i="47"/>
  <c r="W30" i="47"/>
  <c r="O31" i="47"/>
  <c r="Q31" i="47"/>
  <c r="O32" i="47"/>
  <c r="Q32" i="47"/>
  <c r="W32" i="47"/>
  <c r="O33" i="47"/>
  <c r="Q33" i="47"/>
  <c r="U33" i="47" s="1"/>
  <c r="O34" i="47"/>
  <c r="Q34" i="47"/>
  <c r="W34" i="47"/>
  <c r="O35" i="47"/>
  <c r="Q35" i="47"/>
  <c r="O36" i="47"/>
  <c r="Q36" i="47"/>
  <c r="U36" i="47" s="1"/>
  <c r="O37" i="47"/>
  <c r="Q37" i="47"/>
  <c r="O38" i="47"/>
  <c r="Q38" i="47"/>
  <c r="U38" i="47" s="1"/>
  <c r="O39" i="47"/>
  <c r="Q39" i="47"/>
  <c r="O40" i="47"/>
  <c r="Q40" i="47"/>
  <c r="U40" i="47" s="1"/>
  <c r="O41" i="47"/>
  <c r="Q41" i="47"/>
  <c r="U41" i="47" s="1"/>
  <c r="O42" i="47"/>
  <c r="Q42" i="47"/>
  <c r="U42" i="47" s="1"/>
  <c r="O43" i="47"/>
  <c r="Q43" i="47"/>
  <c r="U43" i="47" s="1"/>
  <c r="O2" i="46"/>
  <c r="O3" i="46"/>
  <c r="Z3" i="46" s="1"/>
  <c r="Q3" i="46"/>
  <c r="Q2" i="45"/>
  <c r="R2" i="45" s="1"/>
  <c r="U2" i="45"/>
  <c r="Q3" i="45"/>
  <c r="R3" i="45" s="1"/>
  <c r="U3" i="45"/>
  <c r="Q4" i="45"/>
  <c r="R4" i="45" s="1"/>
  <c r="U4" i="45"/>
  <c r="Y4" i="45" s="1"/>
  <c r="Q5" i="45"/>
  <c r="R5" i="45" s="1"/>
  <c r="Y5" i="45"/>
  <c r="Q6" i="45"/>
  <c r="R6" i="45" s="1"/>
  <c r="Y6" i="45"/>
  <c r="Q7" i="45"/>
  <c r="R7" i="45" s="1"/>
  <c r="U7" i="45"/>
  <c r="Q8" i="45"/>
  <c r="R8" i="45" s="1"/>
  <c r="U8" i="45"/>
  <c r="Q9" i="45"/>
  <c r="R9" i="45" s="1"/>
  <c r="U9" i="45"/>
  <c r="Y9" i="45" s="1"/>
  <c r="Q10" i="45"/>
  <c r="R10" i="45" s="1"/>
  <c r="Y10" i="45"/>
  <c r="Q11" i="45"/>
  <c r="R11" i="45" s="1"/>
  <c r="Y11" i="45"/>
  <c r="U30" i="48" l="1"/>
  <c r="Y30" i="48" s="1"/>
  <c r="U28" i="48"/>
  <c r="Y28" i="48" s="1"/>
  <c r="R16" i="48"/>
  <c r="U14" i="48"/>
  <c r="Y14" i="48" s="1"/>
  <c r="R24" i="48"/>
  <c r="U22" i="48"/>
  <c r="Y22" i="48" s="1"/>
  <c r="U25" i="48"/>
  <c r="Y25" i="48" s="1"/>
  <c r="U19" i="48"/>
  <c r="Y19" i="48" s="1"/>
  <c r="U17" i="48"/>
  <c r="Y17" i="48" s="1"/>
  <c r="U31" i="48"/>
  <c r="Y31" i="48" s="1"/>
  <c r="R18" i="52"/>
  <c r="W18" i="52"/>
  <c r="R31" i="52"/>
  <c r="W31" i="52"/>
  <c r="R34" i="52"/>
  <c r="W34" i="52"/>
  <c r="Y29" i="47"/>
  <c r="R3" i="47"/>
  <c r="R35" i="47"/>
  <c r="R31" i="47"/>
  <c r="R25" i="47"/>
  <c r="Y13" i="47"/>
  <c r="U30" i="47"/>
  <c r="Y30" i="47" s="1"/>
  <c r="Y43" i="47"/>
  <c r="R34" i="47"/>
  <c r="R30" i="47"/>
  <c r="R21" i="47"/>
  <c r="R12" i="47"/>
  <c r="U8" i="47"/>
  <c r="Y8" i="47" s="1"/>
  <c r="Y6" i="47"/>
  <c r="W2" i="47"/>
  <c r="Y26" i="47"/>
  <c r="Y21" i="47"/>
  <c r="R10" i="47"/>
  <c r="R38" i="47"/>
  <c r="Y42" i="47"/>
  <c r="R39" i="47"/>
  <c r="Y36" i="47"/>
  <c r="Y24" i="47"/>
  <c r="R20" i="47"/>
  <c r="Y17" i="47"/>
  <c r="R40" i="47"/>
  <c r="R32" i="47"/>
  <c r="R42" i="47"/>
  <c r="Y41" i="47"/>
  <c r="R13" i="47"/>
  <c r="U12" i="47"/>
  <c r="Y12" i="47" s="1"/>
  <c r="Y11" i="47"/>
  <c r="R2" i="47"/>
  <c r="R41" i="47"/>
  <c r="U32" i="47"/>
  <c r="Y32" i="47" s="1"/>
  <c r="U25" i="47"/>
  <c r="Y25" i="47" s="1"/>
  <c r="U18" i="47"/>
  <c r="Y18" i="47" s="1"/>
  <c r="R11" i="47"/>
  <c r="Y9" i="47"/>
  <c r="R2" i="46"/>
  <c r="Z2" i="46"/>
  <c r="W2" i="51"/>
  <c r="W8" i="45"/>
  <c r="W3" i="45"/>
  <c r="R3" i="46"/>
  <c r="W3" i="46"/>
  <c r="W29" i="52"/>
  <c r="W28" i="52"/>
  <c r="R16" i="52"/>
  <c r="W27" i="52"/>
  <c r="Y27" i="52"/>
  <c r="W9" i="52"/>
  <c r="Y30" i="52"/>
  <c r="W24" i="52"/>
  <c r="R20" i="52"/>
  <c r="W8" i="52"/>
  <c r="Y8" i="52"/>
  <c r="W19" i="52"/>
  <c r="Y19" i="52"/>
  <c r="W5" i="52"/>
  <c r="W4" i="52"/>
  <c r="Y4" i="52"/>
  <c r="W22" i="52"/>
  <c r="W3" i="52"/>
  <c r="W7" i="45"/>
  <c r="Y7" i="45"/>
  <c r="W2" i="45"/>
  <c r="Y2" i="45"/>
  <c r="R36" i="47"/>
  <c r="R28" i="47"/>
  <c r="Y2" i="47"/>
  <c r="W9" i="45"/>
  <c r="W4" i="45"/>
  <c r="Y33" i="47"/>
  <c r="R24" i="47"/>
  <c r="R5" i="47"/>
  <c r="U5" i="47"/>
  <c r="Y5" i="47" s="1"/>
  <c r="R43" i="47"/>
  <c r="U39" i="47"/>
  <c r="Y39" i="47" s="1"/>
  <c r="R37" i="47"/>
  <c r="U34" i="47"/>
  <c r="Y34" i="47" s="1"/>
  <c r="U16" i="47"/>
  <c r="Y16" i="47" s="1"/>
  <c r="U10" i="47"/>
  <c r="Y10" i="47" s="1"/>
  <c r="R19" i="47"/>
  <c r="U19" i="47"/>
  <c r="Y19" i="47" s="1"/>
  <c r="R4" i="47"/>
  <c r="U4" i="47"/>
  <c r="Y4" i="47" s="1"/>
  <c r="R33" i="47"/>
  <c r="R29" i="47"/>
  <c r="R16" i="47"/>
  <c r="R8" i="47"/>
  <c r="R6" i="47"/>
  <c r="Y7" i="48"/>
  <c r="U28" i="47"/>
  <c r="Y28" i="47" s="1"/>
  <c r="R26" i="47"/>
  <c r="U20" i="47"/>
  <c r="Y20" i="47" s="1"/>
  <c r="R18" i="47"/>
  <c r="R17" i="47"/>
  <c r="R9" i="47"/>
  <c r="R7" i="47"/>
  <c r="W3" i="47"/>
  <c r="Y9" i="48"/>
  <c r="Y6" i="51"/>
  <c r="W6" i="51"/>
  <c r="W10" i="52"/>
  <c r="W6" i="52"/>
  <c r="R6" i="52"/>
  <c r="W5" i="51"/>
  <c r="R3" i="51"/>
  <c r="W21" i="52"/>
  <c r="R21" i="52"/>
  <c r="R6" i="51"/>
  <c r="W23" i="52"/>
  <c r="W7" i="52"/>
  <c r="W2" i="52"/>
  <c r="W33" i="52"/>
  <c r="W11" i="52"/>
  <c r="W32" i="52"/>
  <c r="W26" i="52"/>
  <c r="W25" i="52"/>
  <c r="W17" i="52"/>
  <c r="W15" i="52"/>
  <c r="W13" i="52"/>
  <c r="W12" i="52"/>
  <c r="R33" i="52"/>
  <c r="R5" i="51"/>
  <c r="R2" i="51"/>
  <c r="R7" i="51"/>
  <c r="R4" i="51"/>
  <c r="Y11" i="48"/>
  <c r="Y3" i="48"/>
  <c r="U29" i="48"/>
  <c r="Y29" i="48" s="1"/>
  <c r="U26" i="48"/>
  <c r="Y26" i="48" s="1"/>
  <c r="U23" i="48"/>
  <c r="Y23" i="48" s="1"/>
  <c r="U20" i="48"/>
  <c r="Y20" i="48" s="1"/>
  <c r="U15" i="48"/>
  <c r="Y15" i="48" s="1"/>
  <c r="U12" i="48"/>
  <c r="Y12" i="48" s="1"/>
  <c r="U27" i="48"/>
  <c r="Y27" i="48" s="1"/>
  <c r="U21" i="48"/>
  <c r="Y21" i="48" s="1"/>
  <c r="U18" i="48"/>
  <c r="Y18" i="48" s="1"/>
  <c r="U13" i="48"/>
  <c r="Y13" i="48" s="1"/>
  <c r="Y10" i="48"/>
  <c r="Y8" i="48"/>
  <c r="Y6" i="48"/>
  <c r="Y4" i="48"/>
  <c r="Y2" i="48"/>
  <c r="Y5" i="48"/>
  <c r="Y40" i="47"/>
  <c r="Y38" i="47"/>
  <c r="U37" i="47"/>
  <c r="Y37" i="47" s="1"/>
  <c r="U35" i="47"/>
  <c r="Y35" i="47" s="1"/>
  <c r="R27" i="47"/>
  <c r="U27" i="47"/>
  <c r="Y27" i="47" s="1"/>
  <c r="R15" i="47"/>
  <c r="U15" i="47"/>
  <c r="Y15" i="47" s="1"/>
  <c r="R14" i="47"/>
  <c r="U14" i="47"/>
  <c r="Y14" i="47" s="1"/>
  <c r="U31" i="47"/>
  <c r="Y31" i="47" s="1"/>
  <c r="R23" i="47"/>
  <c r="U23" i="47"/>
  <c r="Y23" i="47" s="1"/>
  <c r="R22" i="47"/>
  <c r="U22" i="47"/>
  <c r="Y22" i="47" s="1"/>
  <c r="U7" i="47"/>
  <c r="Y7" i="47" s="1"/>
  <c r="W11" i="45"/>
  <c r="W10" i="45"/>
  <c r="Y8" i="45"/>
  <c r="W6" i="45"/>
  <c r="W5" i="45"/>
  <c r="Y3" i="45"/>
  <c r="Y3" i="47" l="1"/>
  <c r="O2" i="44" l="1"/>
  <c r="Q2" i="44"/>
  <c r="W2" i="44" s="1"/>
  <c r="O3" i="44"/>
  <c r="Y3" i="44" s="1"/>
  <c r="Q3" i="44"/>
  <c r="R5" i="44"/>
  <c r="Y5" i="44"/>
  <c r="Q6" i="44"/>
  <c r="U6" i="44" s="1"/>
  <c r="Y6" i="44" s="1"/>
  <c r="Q7" i="44"/>
  <c r="U7" i="44" s="1"/>
  <c r="Y7" i="44" s="1"/>
  <c r="Q8" i="44"/>
  <c r="U8" i="44" s="1"/>
  <c r="Y8" i="44" s="1"/>
  <c r="Q9" i="44"/>
  <c r="U9" i="44" s="1"/>
  <c r="Y9" i="44" s="1"/>
  <c r="N10" i="44"/>
  <c r="Q10" i="44"/>
  <c r="R10" i="44" s="1"/>
  <c r="N11" i="44"/>
  <c r="Q11" i="44"/>
  <c r="U11" i="44" s="1"/>
  <c r="Y11" i="44" s="1"/>
  <c r="Q12" i="44"/>
  <c r="U12" i="44" s="1"/>
  <c r="Y12" i="44" s="1"/>
  <c r="N13" i="44"/>
  <c r="Q13" i="44"/>
  <c r="R13" i="44" s="1"/>
  <c r="N14" i="44"/>
  <c r="Q14" i="44"/>
  <c r="R14" i="44" s="1"/>
  <c r="Q15" i="44"/>
  <c r="R15" i="44" s="1"/>
  <c r="N16" i="44"/>
  <c r="Q16" i="44"/>
  <c r="R16" i="44" s="1"/>
  <c r="N17" i="44"/>
  <c r="Q17" i="44"/>
  <c r="U17" i="44" s="1"/>
  <c r="Y17" i="44" s="1"/>
  <c r="U14" i="44" l="1"/>
  <c r="Y14" i="44" s="1"/>
  <c r="U16" i="44"/>
  <c r="Y16" i="44" s="1"/>
  <c r="U15" i="44"/>
  <c r="Y15" i="44" s="1"/>
  <c r="R9" i="44"/>
  <c r="R2" i="44"/>
  <c r="R8" i="44"/>
  <c r="R7" i="44"/>
  <c r="R6" i="44"/>
  <c r="R17" i="44"/>
  <c r="R12" i="44"/>
  <c r="U10" i="44"/>
  <c r="Y10" i="44" s="1"/>
  <c r="R3" i="44"/>
  <c r="R11" i="44"/>
  <c r="W3" i="44"/>
  <c r="Y2" i="44"/>
  <c r="U13" i="44"/>
  <c r="Y13" i="44" s="1"/>
  <c r="Q5" i="10" l="1"/>
  <c r="W5" i="10" s="1"/>
  <c r="R5" i="10" l="1"/>
  <c r="Q4" i="10" l="1"/>
  <c r="R4" i="10" s="1"/>
  <c r="Q3" i="10"/>
  <c r="U2" i="10"/>
  <c r="Y2" i="10" s="1"/>
  <c r="R3" i="10" l="1"/>
  <c r="W3" i="10"/>
  <c r="R2" i="10"/>
  <c r="W2" i="10"/>
  <c r="W4" i="10"/>
</calcChain>
</file>

<file path=xl/sharedStrings.xml><?xml version="1.0" encoding="utf-8"?>
<sst xmlns="http://schemas.openxmlformats.org/spreadsheetml/2006/main" count="8485" uniqueCount="923">
  <si>
    <t>kg/m2</t>
  </si>
  <si>
    <t>m3</t>
  </si>
  <si>
    <t xml:space="preserve">Region </t>
  </si>
  <si>
    <t xml:space="preserve">Steel </t>
  </si>
  <si>
    <t xml:space="preserve">Concrete </t>
  </si>
  <si>
    <t xml:space="preserve">Wood </t>
  </si>
  <si>
    <t xml:space="preserve">Copper </t>
  </si>
  <si>
    <t xml:space="preserve">Aluminium </t>
  </si>
  <si>
    <t xml:space="preserve">1 Canada </t>
  </si>
  <si>
    <t xml:space="preserve">5 Brazil </t>
  </si>
  <si>
    <t>2 USA</t>
  </si>
  <si>
    <t xml:space="preserve">3 Mexico </t>
  </si>
  <si>
    <t>4 Rest of Central America</t>
  </si>
  <si>
    <t>6 Rest of South America</t>
  </si>
  <si>
    <t>7 Northern Africa</t>
  </si>
  <si>
    <t xml:space="preserve">13 Turkey </t>
  </si>
  <si>
    <t>14 Ukraine +</t>
  </si>
  <si>
    <t>21 South Eastern Asia</t>
  </si>
  <si>
    <t>22 Indonesia +</t>
  </si>
  <si>
    <t>26 Rest of South Africa</t>
  </si>
  <si>
    <t>25 South Asia</t>
  </si>
  <si>
    <t>24 Oceania</t>
  </si>
  <si>
    <t>23 Japan</t>
  </si>
  <si>
    <t>20 China +</t>
  </si>
  <si>
    <t>19 Korea</t>
  </si>
  <si>
    <t>18 India</t>
  </si>
  <si>
    <t>17 Middle East</t>
  </si>
  <si>
    <t>16 Russia +</t>
  </si>
  <si>
    <t/>
  </si>
  <si>
    <t>Copper (wires)</t>
  </si>
  <si>
    <t>Steel</t>
  </si>
  <si>
    <t>12*120 m2 + 8*168 m2 = 1440 + 1344 = 2784 m2</t>
  </si>
  <si>
    <t>12 smal ppt * 3 people and 8 big apt * 4 people = 36 + 32 = 68 people in total</t>
  </si>
  <si>
    <t>12 double-façade
flats of 120 m² each and 8 triple-façade flats of 168 m² each</t>
  </si>
  <si>
    <t>Continuous reinforced concrete (RC) footings support the ground floor
slab</t>
  </si>
  <si>
    <t>Australian suburban neighbourhood</t>
  </si>
  <si>
    <t>SDH4-2 building</t>
  </si>
  <si>
    <t>Semi-detached house</t>
  </si>
  <si>
    <t>Australia</t>
  </si>
  <si>
    <t>SDH4-1 building</t>
  </si>
  <si>
    <t>One-level
semi-detached house</t>
  </si>
  <si>
    <t>RH3-2 building</t>
  </si>
  <si>
    <t>Two-level row-house</t>
  </si>
  <si>
    <t>Concrete 25 MPa</t>
  </si>
  <si>
    <t>RH3-1 building</t>
  </si>
  <si>
    <t>One-level row-house</t>
  </si>
  <si>
    <t>Individual reinforced concrete (RC) footings on which
a RC slab is cast</t>
  </si>
  <si>
    <t>BC3 building</t>
  </si>
  <si>
    <t>BC4 building</t>
  </si>
  <si>
    <t>Suburban areas</t>
  </si>
  <si>
    <t>Melbourne, Australia</t>
  </si>
  <si>
    <t>Double walls: masonry + bricks
with 8cm insulation</t>
  </si>
  <si>
    <t>Concrete 20 MPa</t>
  </si>
  <si>
    <t>80 m2 per apartment</t>
  </si>
  <si>
    <t>10 for the whole building</t>
  </si>
  <si>
    <t>early 1970s</t>
  </si>
  <si>
    <t>Retrofit apartment alternative to the passive house case study</t>
  </si>
  <si>
    <t>Double fronted adjoined apartment</t>
  </si>
  <si>
    <t>Urban</t>
  </si>
  <si>
    <t>All of the numbers given are representing the material quantities for the whole building (not only 1 floor)</t>
  </si>
  <si>
    <t>Passive house. The sub-structure consists of individual reinforced concrete footings,
linked by a network of concrete beams.</t>
  </si>
  <si>
    <t>A passive house near Brussels, Belgium</t>
  </si>
  <si>
    <t>Outer suburbs</t>
  </si>
  <si>
    <t>Brussels, Belgium</t>
  </si>
  <si>
    <t>Around 150</t>
  </si>
  <si>
    <t>Concrete</t>
  </si>
  <si>
    <t>40 years</t>
  </si>
  <si>
    <t>Wood</t>
  </si>
  <si>
    <t>Since 2006</t>
  </si>
  <si>
    <t>Brick cavity wall insulated, reinforced concrete flooring, flat roof with ins. (new
building)</t>
  </si>
  <si>
    <t>High-rise building</t>
  </si>
  <si>
    <t>Cement</t>
  </si>
  <si>
    <t>30 years</t>
  </si>
  <si>
    <t>Since 1960</t>
  </si>
  <si>
    <t>Brick cavity wall insulated, reinforced concrete flooring, flat roof</t>
  </si>
  <si>
    <t>1950-1990</t>
  </si>
  <si>
    <t>Concrete wall, reinforced concrete flooring, flat roof</t>
  </si>
  <si>
    <t>18 - 104</t>
  </si>
  <si>
    <t>1960-1990</t>
  </si>
  <si>
    <t>Concrete wall insulated, reinforced concrete flooring, flat roof</t>
  </si>
  <si>
    <t>1,8 - 18,2</t>
  </si>
  <si>
    <t>Brick masonry insulated, reinforced concrete flooring, pitched roof with ins. (new
building)</t>
  </si>
  <si>
    <t>18 - 132</t>
  </si>
  <si>
    <t>Since 1980</t>
  </si>
  <si>
    <t>Brick masonry insulated, reinforced concrete flooring, pitched roof</t>
  </si>
  <si>
    <t>Wooden wall insulated, wooden flooring, pitched roof with insulation (new building)</t>
  </si>
  <si>
    <t>6 - 88</t>
  </si>
  <si>
    <t>Since 1970</t>
  </si>
  <si>
    <t>Wooden wall insulated, wooden flooring, pitched roof</t>
  </si>
  <si>
    <t>20 years</t>
  </si>
  <si>
    <t>30 -440</t>
  </si>
  <si>
    <t>Breeze and reinforced concrete wall, reinforced concrete flooring, pitched roof</t>
  </si>
  <si>
    <t>60 - 220</t>
  </si>
  <si>
    <t>1945-1980</t>
  </si>
  <si>
    <t>Brick masonry, reinforced concrete flooring, pitched roof</t>
  </si>
  <si>
    <t>18 - 220</t>
  </si>
  <si>
    <t>1940-1970</t>
  </si>
  <si>
    <t>Wooden wall brick façade, reinforced concrete flooring, pitched roof</t>
  </si>
  <si>
    <t>30 - 440</t>
  </si>
  <si>
    <t>1940-1980</t>
  </si>
  <si>
    <t>Breeze concrete insulated, reinforced concrete flooring, pitched roof</t>
  </si>
  <si>
    <t>12 - 440</t>
  </si>
  <si>
    <t>Until 1940</t>
  </si>
  <si>
    <t>Brick masonry with wooden flooring</t>
  </si>
  <si>
    <t>1,3 - 16,8</t>
  </si>
  <si>
    <t>Wooden frame insulated, wooden flooring, pitched roof with insulation (new building)</t>
  </si>
  <si>
    <t>18 - 352</t>
  </si>
  <si>
    <t>Wooden frame insulated, wooden flooring, pitched roof</t>
  </si>
  <si>
    <t>Brick wall, reinforced concrete flooring, pitched roof with insulation (new building)</t>
  </si>
  <si>
    <t>18 -220</t>
  </si>
  <si>
    <t>Brick wall, reinforced concrete flooring, pitched roof</t>
  </si>
  <si>
    <t>1945-1970</t>
  </si>
  <si>
    <t>Breeze concrete wall, breeze concrete block flooring, pitched roof</t>
  </si>
  <si>
    <t>12 - 220</t>
  </si>
  <si>
    <t>Wooden wall and brick facade, reinforced concrete flooring, pitched roof</t>
  </si>
  <si>
    <t>6 - 220</t>
  </si>
  <si>
    <t>Until 1945</t>
  </si>
  <si>
    <t>Wooden wall, wooden flooring, pitched roof</t>
  </si>
  <si>
    <t>66 - 286</t>
  </si>
  <si>
    <t>Brick masonry with wooden flooring and pitched roof</t>
  </si>
  <si>
    <t>8 - 53.5</t>
  </si>
  <si>
    <t>Brick cavity wall ins., reinforced concrete flooring, flat roof with ins. (new building)</t>
  </si>
  <si>
    <t>8 - 708</t>
  </si>
  <si>
    <t>8 - 1416</t>
  </si>
  <si>
    <t>24 - 1180</t>
  </si>
  <si>
    <t>1970-1990</t>
  </si>
  <si>
    <t>Concrete wall, reinforced concrete flooring, pitched roof</t>
  </si>
  <si>
    <t>0,8 - 77,6</t>
  </si>
  <si>
    <t>Sand lime wall ins., reinforced concrete flooring, pitched roof with ins. (new building)</t>
  </si>
  <si>
    <t>40 - 1180</t>
  </si>
  <si>
    <t>1950-1965</t>
  </si>
  <si>
    <t>Sand lime wall insulated, reinforced concrete flooring, pitched roof</t>
  </si>
  <si>
    <t>Brick masonry ins., reinforced concrete flooring, pitched roof with ins. (new building)</t>
  </si>
  <si>
    <t>4 - 1945</t>
  </si>
  <si>
    <t>Breeze concrete ins., reinforced concrete flooring, pitched roof with ins. (new building)</t>
  </si>
  <si>
    <t>4 - 3890</t>
  </si>
  <si>
    <t>1945-1965</t>
  </si>
  <si>
    <t>10 - 4668</t>
  </si>
  <si>
    <t>Wooden frame with stone filler, wooden flooring, pitched roof</t>
  </si>
  <si>
    <t>4 - 778</t>
  </si>
  <si>
    <t>Until 1900</t>
  </si>
  <si>
    <t>Rubble stone masonry with wooden flooring</t>
  </si>
  <si>
    <t>8 - 3890</t>
  </si>
  <si>
    <t>0,9 - 105,9</t>
  </si>
  <si>
    <t>Sand lime wall, reinforced concrete flooring, pitched roof with ins. (new building)</t>
  </si>
  <si>
    <t>10 - 1945</t>
  </si>
  <si>
    <t>Sand lime wall, reinforced concrete flooring, pitched roof</t>
  </si>
  <si>
    <t>0,9 - 105,1</t>
  </si>
  <si>
    <t>20 - 3890</t>
  </si>
  <si>
    <t>20 - 5120</t>
  </si>
  <si>
    <t>160 to 615</t>
  </si>
  <si>
    <t>Brick masonry, hollow brick flooring, pitched roof</t>
  </si>
  <si>
    <t>4 to 1167</t>
  </si>
  <si>
    <t>Wooden frame with stone filler, reinforced concrete flooring, pitched roof</t>
  </si>
  <si>
    <t>10 to 2560</t>
  </si>
  <si>
    <t>Rubble masonry with wooden flooring and pitched roof</t>
  </si>
  <si>
    <t>40 to 3890</t>
  </si>
  <si>
    <t>371 to 2120</t>
  </si>
  <si>
    <t>371 to 3135</t>
  </si>
  <si>
    <t>Since 1975</t>
  </si>
  <si>
    <t>6.8 to 67.4</t>
  </si>
  <si>
    <t>418 to 590</t>
  </si>
  <si>
    <t>1950-1980</t>
  </si>
  <si>
    <t>106 to 1180</t>
  </si>
  <si>
    <t>Since 1945</t>
  </si>
  <si>
    <t>265 to 1325</t>
  </si>
  <si>
    <t>Since 1965</t>
  </si>
  <si>
    <t>Breeze concrete, reinforced concrete flooring, pitched roof with insulation (new
building)</t>
  </si>
  <si>
    <t>1180 to 1325</t>
  </si>
  <si>
    <t>Since 1950</t>
  </si>
  <si>
    <t>Breeze concrete, reinforced concrete flooring, pitched roof</t>
  </si>
  <si>
    <t>13 to 3975</t>
  </si>
  <si>
    <t>1945-1990</t>
  </si>
  <si>
    <t>Brick cavity wall, reinforced concrete flooring, pitched roof 20°</t>
  </si>
  <si>
    <t>15 to 590</t>
  </si>
  <si>
    <t>1900-1945</t>
  </si>
  <si>
    <t>Limestone/fieldstone masonry with wooden flooring</t>
  </si>
  <si>
    <t>418 - 590</t>
  </si>
  <si>
    <t>20,1 - 101,4</t>
  </si>
  <si>
    <t>Brick masonry insulated, reinforced concrete flooring, pitched roof 20°</t>
  </si>
  <si>
    <t>159 - 1475</t>
  </si>
  <si>
    <t>Brick masonry, reinforced concrete flooring, flat roof</t>
  </si>
  <si>
    <t>795 - 1325</t>
  </si>
  <si>
    <t>Brick masonry, reinforced concrete flooring, pitched roof 20°</t>
  </si>
  <si>
    <t>825 - 2090</t>
  </si>
  <si>
    <t>2120 - 2950</t>
  </si>
  <si>
    <t>26 - 165</t>
  </si>
  <si>
    <t>Limestone/fieldstone masonry, wooden flooring, flat roof</t>
  </si>
  <si>
    <t>Limestone/fieldstone masonry with wooden flooring and pitched roof</t>
  </si>
  <si>
    <t>Time period, structure and region</t>
  </si>
  <si>
    <t>Comment</t>
  </si>
  <si>
    <t>Lifetime</t>
  </si>
  <si>
    <t>Unit</t>
  </si>
  <si>
    <t>Construction material</t>
  </si>
  <si>
    <t>Gross floor area (m2)</t>
  </si>
  <si>
    <t>Number of residents</t>
  </si>
  <si>
    <t>Number of dwellings</t>
  </si>
  <si>
    <t>Number of floors</t>
  </si>
  <si>
    <t>Construction period</t>
  </si>
  <si>
    <t>Structure</t>
  </si>
  <si>
    <t>Residential building type</t>
  </si>
  <si>
    <t>Classification</t>
  </si>
  <si>
    <t>Area</t>
  </si>
  <si>
    <t>City/Country/Region</t>
  </si>
  <si>
    <t>Case study</t>
  </si>
  <si>
    <t>Source</t>
  </si>
  <si>
    <t>ID</t>
  </si>
  <si>
    <t>1990–2010</t>
  </si>
  <si>
    <t>Reinforced-concrete</t>
  </si>
  <si>
    <t>1980–2010</t>
  </si>
  <si>
    <t>Brick-concrete</t>
  </si>
  <si>
    <t>1950–2010</t>
  </si>
  <si>
    <t>Brick-wood</t>
  </si>
  <si>
    <t>1950–2050</t>
  </si>
  <si>
    <t>Adobe-wood</t>
  </si>
  <si>
    <t>Rural</t>
  </si>
  <si>
    <t>1980–1989</t>
  </si>
  <si>
    <t>1975–1979</t>
  </si>
  <si>
    <t>Brick-Concrete</t>
  </si>
  <si>
    <t>1960 - 1979</t>
  </si>
  <si>
    <t>1960–1979</t>
  </si>
  <si>
    <t>1950 - 1959</t>
  </si>
  <si>
    <t>30–40 years for the buildings constructed in 1970s and 1980s, adobe-wood and brick wood buildings are 15 years. Avarage - 50 years.</t>
  </si>
  <si>
    <t>Type of house and construction period</t>
  </si>
  <si>
    <t>Lightweight steel-structure
single-family house</t>
  </si>
  <si>
    <t>Japan</t>
  </si>
  <si>
    <t>Wooden single-family house</t>
  </si>
  <si>
    <t>SRC multi-family house</t>
  </si>
  <si>
    <t>SRC (steel reinforced concrete) multi-family house</t>
  </si>
  <si>
    <t>Construction type</t>
  </si>
  <si>
    <t xml:space="preserve">11 Western Europe </t>
  </si>
  <si>
    <t>12 Central Europe</t>
  </si>
  <si>
    <t>X</t>
  </si>
  <si>
    <t>24 Oceania (Australia, New Zealand)</t>
  </si>
  <si>
    <t>Region (Countries available)</t>
  </si>
  <si>
    <t xml:space="preserve">8 Western Africa </t>
  </si>
  <si>
    <t>9 Eastern Africa</t>
  </si>
  <si>
    <t xml:space="preserve">Urban </t>
  </si>
  <si>
    <t>17 Middle East (Bahrain, Lebanon, Jordan)</t>
  </si>
  <si>
    <t>10 South Africa</t>
  </si>
  <si>
    <t>Reference (from the source)</t>
  </si>
  <si>
    <t>Net floor area (m2)</t>
  </si>
  <si>
    <t>kg/cap</t>
  </si>
  <si>
    <t>Aluminum</t>
  </si>
  <si>
    <t>kg</t>
  </si>
  <si>
    <t xml:space="preserve">60 years </t>
  </si>
  <si>
    <t>Content per floor area kg/m2</t>
  </si>
  <si>
    <t>Environmental performance analysis of residential buildings in Brazil
using LCA</t>
  </si>
  <si>
    <t>50 years</t>
  </si>
  <si>
    <t>CS1 MULTI.16 HS</t>
  </si>
  <si>
    <t>Metal piles foundation, conventional structure in reinforced concrete, masonry in concrete blocks, walls and ceilings coated with PVA paint, floors and facade in ceramic tiles and gypsum ceilings, concrete gutter and metal roof tile.</t>
  </si>
  <si>
    <t xml:space="preserve">Floor area per dwelling (m2) </t>
  </si>
  <si>
    <t>CS2 MULTI.5 SIH</t>
  </si>
  <si>
    <t>57 671</t>
  </si>
  <si>
    <t>10 788</t>
  </si>
  <si>
    <t>CS3 SIN HS</t>
  </si>
  <si>
    <t>CS4 SIN LS</t>
  </si>
  <si>
    <t>Shallow foundation, self-supporting reinforced concrete wall. EPS panel shafts and ceramic blocks in support buildings. Walls coated with gypsum plaster and PVA paint, PVC ceiling cladding and wood structure and ceramic roof tile</t>
  </si>
  <si>
    <t>Shallow foundation, conventional structure in reinforced concrete, masonry in concrete blocks. Walls and ceilings coated with PVA paint, ceramic tile floors and gypsum ceilings cladding. Wood structure and ceramic roof tiles</t>
  </si>
  <si>
    <t>The houses are classified by income class and building type</t>
  </si>
  <si>
    <t>The study proposes a method to estimate the materials in-use in heterogeneous building stocks and applies it to the residential building stock at the city of Rio de Janeiro</t>
  </si>
  <si>
    <t>SFH</t>
  </si>
  <si>
    <t xml:space="preserve">Multi-family building with four apartment’s floors </t>
  </si>
  <si>
    <t xml:space="preserve">Multi-family building with eight apartment’s floors </t>
  </si>
  <si>
    <t>MFB-8F</t>
  </si>
  <si>
    <t>MFB-4F</t>
  </si>
  <si>
    <t>MFB-16F</t>
  </si>
  <si>
    <t xml:space="preserve">Multi-family building with 16 apartment’s floors </t>
  </si>
  <si>
    <t xml:space="preserve">4 flats per floor </t>
  </si>
  <si>
    <t>Before 1904</t>
  </si>
  <si>
    <t>73,21 m2 per apartment</t>
  </si>
  <si>
    <t xml:space="preserve">100 years </t>
  </si>
  <si>
    <t>6 Rest of South America (Chile, Colombia, Peru)</t>
  </si>
  <si>
    <t>7351 for the whole area</t>
  </si>
  <si>
    <t>RC apartment building</t>
  </si>
  <si>
    <t>35519 for the whole area</t>
  </si>
  <si>
    <t>Adobe houses are composed of adobe brick walls, which support roofs composed of wooden joist framework covered with crushed cane and mud</t>
  </si>
  <si>
    <t>Adobe house</t>
  </si>
  <si>
    <t>The study is focused on Chiclayo city, the core orea of the city that includes 12 urban districts</t>
  </si>
  <si>
    <t>64320 for the whole area</t>
  </si>
  <si>
    <t>Clay brick walls confined by RC columns and beams which support floors, formed by a series of RC ribs separated by hollow roof bricks</t>
  </si>
  <si>
    <t>Brick masonry house</t>
  </si>
  <si>
    <t>Building types available in the city, size, material
composition, year of construction</t>
  </si>
  <si>
    <t>The average GFA values were assigned to the entire building stock in the GIS model. Consequently, the overall floor area of buildings in Chiclayo city amounts to 15.2 million m2 or 29m2 per inhabitant, with a large share of brickmasonry houses (71.0%), followed by adobe houses (24.3%) and RC apartment buildings (4.7%).</t>
  </si>
  <si>
    <t>T3</t>
  </si>
  <si>
    <t>Mud-brick house</t>
  </si>
  <si>
    <t>T4</t>
  </si>
  <si>
    <t>Cement-block house</t>
  </si>
  <si>
    <t>(9 m wall – 3 x 0,2 m wall thickness m) * (8 m wall – 3 x 0,2 m wall thickness) (UFA calculation)</t>
  </si>
  <si>
    <t>(12 m wall – 3 x 0,2 m wall thickness m) * (9 m wall – 4 x 0,2 m wall thickness) (UFA calculation)</t>
  </si>
  <si>
    <t>Aluminium</t>
  </si>
  <si>
    <t xml:space="preserve">Info ready </t>
  </si>
  <si>
    <t>Single family house</t>
  </si>
  <si>
    <t>Unit in residential complex</t>
  </si>
  <si>
    <t>The magnitude and spatial distribution of in-use copper stocks in Cape Town, South Africa</t>
  </si>
  <si>
    <t>6,5 - 2950</t>
  </si>
  <si>
    <t>32,5 - 885</t>
  </si>
  <si>
    <t>0,9 - 105,4</t>
  </si>
  <si>
    <t>19,4 to 106,2</t>
  </si>
  <si>
    <t>6,8 to 67,4</t>
  </si>
  <si>
    <t>6,6 to 2065</t>
  </si>
  <si>
    <t>Z1_SI_001</t>
  </si>
  <si>
    <t>Z1_SI_002</t>
  </si>
  <si>
    <t>Z1_SI_003</t>
  </si>
  <si>
    <t>Z1_SI_004</t>
  </si>
  <si>
    <t>Z1_SI_005_ex</t>
  </si>
  <si>
    <t>Z1_SI_005</t>
  </si>
  <si>
    <t>Z1_SI_006</t>
  </si>
  <si>
    <t>Z1_SI_006_ex</t>
  </si>
  <si>
    <t>Z1_SI_007_ex</t>
  </si>
  <si>
    <t>Z1_SI_007</t>
  </si>
  <si>
    <t>Z1_SI_008</t>
  </si>
  <si>
    <t>Z1_MF_001</t>
  </si>
  <si>
    <t>Z1_MF_002</t>
  </si>
  <si>
    <t>Z1_MF_003</t>
  </si>
  <si>
    <t>Z1_MF_004</t>
  </si>
  <si>
    <t>Z1_MF_005</t>
  </si>
  <si>
    <t>Z1_MF_004_ex</t>
  </si>
  <si>
    <t>Z1_MF_006</t>
  </si>
  <si>
    <t>Z1_MF_006_ex</t>
  </si>
  <si>
    <t>Z1_MF_007</t>
  </si>
  <si>
    <t>Z1_MF_008_ex</t>
  </si>
  <si>
    <t>Z1_MF_008</t>
  </si>
  <si>
    <t>Z1_HR_001_ex</t>
  </si>
  <si>
    <t>Z1_HR_001</t>
  </si>
  <si>
    <t>Z1_HR_002</t>
  </si>
  <si>
    <t>Z2_SI_001</t>
  </si>
  <si>
    <t>Z2_SI_002</t>
  </si>
  <si>
    <t>Z2_SI_003</t>
  </si>
  <si>
    <t>Z2_SI_004</t>
  </si>
  <si>
    <t>Z2_SI_005</t>
  </si>
  <si>
    <t>Z2_SI_006_ex</t>
  </si>
  <si>
    <t>Z2_SI_006</t>
  </si>
  <si>
    <t>Z2_SI_007_ex</t>
  </si>
  <si>
    <t>Z2_SI_007</t>
  </si>
  <si>
    <t>Z2_SI_008_ex</t>
  </si>
  <si>
    <t>Z2_SI_008</t>
  </si>
  <si>
    <t>Z2_MF_001</t>
  </si>
  <si>
    <t>Z2_MF_002</t>
  </si>
  <si>
    <t>Z2_MF_003</t>
  </si>
  <si>
    <t>Z2_MF_004</t>
  </si>
  <si>
    <t>Z2_MF_005_ex</t>
  </si>
  <si>
    <t>Z2_MF_005</t>
  </si>
  <si>
    <t>Z2_MF_006_ex</t>
  </si>
  <si>
    <t>Z2_MF_006</t>
  </si>
  <si>
    <t>Z2_MF_007_ex</t>
  </si>
  <si>
    <t>Z2_MF_007</t>
  </si>
  <si>
    <t>Z2_MF_008</t>
  </si>
  <si>
    <t>Z2_HR_001</t>
  </si>
  <si>
    <t>Z2_HR_002_ex</t>
  </si>
  <si>
    <t>Z2_HR_002</t>
  </si>
  <si>
    <t>Z3_SI_001</t>
  </si>
  <si>
    <t>Z3_SI_002</t>
  </si>
  <si>
    <t>Z3_SI_003</t>
  </si>
  <si>
    <t>Z3_SI_004</t>
  </si>
  <si>
    <t>Z3_SI_005</t>
  </si>
  <si>
    <t>Z3_SI_006_ex</t>
  </si>
  <si>
    <t>Z3_SI_006</t>
  </si>
  <si>
    <t>Z3_SI_007_ex</t>
  </si>
  <si>
    <t>Z3_SI_007</t>
  </si>
  <si>
    <t>Z3_MF_001</t>
  </si>
  <si>
    <t>Z3_MF_002</t>
  </si>
  <si>
    <t>Z3_MF_003</t>
  </si>
  <si>
    <t>Z3_MF_004</t>
  </si>
  <si>
    <t>Z3_MF_005</t>
  </si>
  <si>
    <t>Z3_MF_006_ex</t>
  </si>
  <si>
    <t>Z3_MF_006</t>
  </si>
  <si>
    <t>Z3_MF_007_ex</t>
  </si>
  <si>
    <t>Z3_MF_007</t>
  </si>
  <si>
    <t>Z3_MF_008</t>
  </si>
  <si>
    <t>Z3_HR_001</t>
  </si>
  <si>
    <t>Z3_HR_002_ex</t>
  </si>
  <si>
    <t>Z3_HR_002</t>
  </si>
  <si>
    <t>Single-storey detached house</t>
  </si>
  <si>
    <t>Concrete slab floor and brick veneer external walls. The structural framing is of traditional timber stud construction clad with plasterboard internally</t>
  </si>
  <si>
    <t>Building service life and its effect on the life cycle embodied energy of buildings</t>
  </si>
  <si>
    <t>150 years</t>
  </si>
  <si>
    <t xml:space="preserve">Types of houses and geographical area </t>
  </si>
  <si>
    <t>Reference house</t>
  </si>
  <si>
    <t>Floor: 8 cm gravel or sand, 0,2 cm polyurethane, 7 cm concrete. Ceiling: 0,1 cm corrugated iron, 5 cm expanded polystyrene, timber structure 45x70 mm, 1 cm vulcanite board. Interior walls: 1 cm vulcanite board, timber structure 45x70 mm, 1 cm vulcanite board. Exterior walls: 0,5 cm zinc, 0,1 cm felt, timber structure 45x70 mm, 5 cm glass wool, 1 cm vulcanite board</t>
  </si>
  <si>
    <t>Life cycle assessment model applied to housing in Chile</t>
  </si>
  <si>
    <t>Life cycle assessment of two dwellings: One in Spain, a developed country, and one in Colombia, a country under development</t>
  </si>
  <si>
    <t>Colombian dwelling</t>
  </si>
  <si>
    <t>Timber is Covering/roofing/internal
and external use</t>
  </si>
  <si>
    <t>Mat. content per floor area kg/m2</t>
  </si>
  <si>
    <t>Life cycle assessment: A case study of a dwelling home in Scotland</t>
  </si>
  <si>
    <t>Semi detached three-bedroom house</t>
  </si>
  <si>
    <t>Scotland</t>
  </si>
  <si>
    <t>UK</t>
  </si>
  <si>
    <t>Detached house</t>
  </si>
  <si>
    <t xml:space="preserve">Type of house </t>
  </si>
  <si>
    <t>Traditional build: brick and block</t>
  </si>
  <si>
    <t>90 apartments</t>
  </si>
  <si>
    <t>Gaziantep/Turkey</t>
  </si>
  <si>
    <t xml:space="preserve">Buildings constructed with urban and rural areas </t>
  </si>
  <si>
    <t>Building Type 1 (BT1)</t>
  </si>
  <si>
    <t>The external walls consist of 150 mm concrete block, 24 mm of plaster inside and outside. The internal walls: 100 mm concrete block, 24 mm of
plaster inside and outside. 30 mm
polyurethane and 150 mm concrete roof</t>
  </si>
  <si>
    <t xml:space="preserve">The external walls consist of 150 mm concrete block, 20 mm of plaster
inside and outside. The internal walls: 100 mm concrete block, 20 mm of plaster inside and outside. 140 mm perlite and 150 mm concrete roof. </t>
  </si>
  <si>
    <t>Building Type 2 (BT2)</t>
  </si>
  <si>
    <t>Reducing the total life cycle energy demand of recent residential buildings in Lebanon</t>
  </si>
  <si>
    <t>Case study
apartment building</t>
  </si>
  <si>
    <t>The case study building is supported by a cast in-situ RC (reinforced concrete) structure like most residential buildings of this type in Lebanon. The foundations are shallow consisting mainly of
continuous footings and are relatively small compared to the size of the building as the ground in Mount Lebanon is almost always rocky and provides a very high bearing capacity. This avoids the need for deep foundations as in other countries with poor soil conditions, such as Belgium or the Netherlands. The foundations support RC columns and walls which support the slabs, typically about 250 mm thick. The latter are constituted by embedded primary beams (about 800 mm wide on average) resting on the RC columns and walls which in turn support secondary beams (called ribs) that run perpendicular to the primary beams. These ribs are
about 150mmwide and separated by 400mmwide gaps filled with hollow concrete blocks 180 mm high topped by a 70 mm thick compressive slab. The hollow blocks and reinforcement steel are first placed on the wooden formwork before casting the ready mix concrete. The outer walls are double concrete blocks walls with an air blade in between. They are stone-clad on the outside and rendered with a concrete mortar and painted on the inside. The double glazed windows are installed on an aluminium frame which is not thermally broken.</t>
  </si>
  <si>
    <t xml:space="preserve">Source for density: https://theconstructor.org/building/density-construction-materials/13531/ </t>
  </si>
  <si>
    <t>The density (m3/kg) of the material is multiplied to the volume (m3) in order to obtain the kg</t>
  </si>
  <si>
    <t>Indian Institute of Technology Madras campus in the City of Chennai, India</t>
  </si>
  <si>
    <t>The components like doors/windows and electrical/plumbing are not
analyzed, as they are locally available materials and are required in very less quantities,as these are cost effective houses for low income group,</t>
  </si>
  <si>
    <t xml:space="preserve">India </t>
  </si>
  <si>
    <t>Burnt clay brick masonry based houses</t>
  </si>
  <si>
    <t>Number of stories and types of houses (122 are studied)</t>
  </si>
  <si>
    <t>Plinth areas of these houses vary between 20 m2 and 60 m2</t>
  </si>
  <si>
    <t>HF SEB Block masonry based houses</t>
  </si>
  <si>
    <t>HF Fly Ash Block masonry based houses</t>
  </si>
  <si>
    <t>Copper</t>
  </si>
  <si>
    <t>Net floor area per building (m2)</t>
  </si>
  <si>
    <t>m2/cap</t>
  </si>
  <si>
    <t>Original area data</t>
  </si>
  <si>
    <t>Building code</t>
  </si>
  <si>
    <t xml:space="preserve">Wood (MDF/particleboard) + Softwood (framing) </t>
  </si>
  <si>
    <t xml:space="preserve">Wood (MDF/particleboard) + (MDF/particleboard(structural)) + Softwood (framing) </t>
  </si>
  <si>
    <t>Material Density (kg/m3)</t>
  </si>
  <si>
    <t xml:space="preserve">Concrete 15 and 15 Mpa, Mortar, Precast </t>
  </si>
  <si>
    <t>13 double-façade
flats of 120 m² each and 8 triple-façade flats of 168 m² each</t>
  </si>
  <si>
    <t>15 double-façade
flats of 120 m² each and 8 triple-façade flats of 168 m² each</t>
  </si>
  <si>
    <t>18 double-façade
flats of 120 m² each and 8 triple-façade flats of 168 m² each</t>
  </si>
  <si>
    <t>Low rise apartment building (comprising 12 AP3 and 8 AP4 units)</t>
  </si>
  <si>
    <t xml:space="preserve">50 years </t>
  </si>
  <si>
    <t xml:space="preserve">Detached house </t>
  </si>
  <si>
    <t>Ann Arbor, Michigan area</t>
  </si>
  <si>
    <t>Standard Home (SH)</t>
  </si>
  <si>
    <t>Life Cycle Analysis of a Residential Home in Michigan</t>
  </si>
  <si>
    <t>Occupied since 2008</t>
  </si>
  <si>
    <t>Monmouth County, New Jersey</t>
  </si>
  <si>
    <t>Row house</t>
  </si>
  <si>
    <t xml:space="preserve">Apartment building </t>
  </si>
  <si>
    <t>Typical Minergie-P certified building design, using concrete andbrick for the unheated basement and the below ground garage andlight wood frame construction for the first and second floors</t>
  </si>
  <si>
    <t>Glass</t>
  </si>
  <si>
    <t>Between 50 and 75 years</t>
  </si>
  <si>
    <t xml:space="preserve">Glass </t>
  </si>
  <si>
    <t xml:space="preserve">High-rise building </t>
  </si>
  <si>
    <t>Apartment building</t>
  </si>
  <si>
    <t>60 years</t>
  </si>
  <si>
    <t>Dwelling, part of an existing semidetached house
divided into two storey. The main construction materials are brick, concrete and steel, and the upper ceiling is covered in roof tiles</t>
  </si>
  <si>
    <t>kg/m3</t>
  </si>
  <si>
    <t xml:space="preserve">(29 m/cap for the whole building stock) Consequently, the overall floor area of buildings in Chiclayo city amounts to 15.2 million m2 or 29 m2 per inhabitant, with a large share of brickmasonry houses (71.0%), followed by adobe houses (24.3%) and RC apartment buildings (4.7%). </t>
  </si>
  <si>
    <t>Conctruction materials</t>
  </si>
  <si>
    <t xml:space="preserve">I assume that the Autoclaved aerated concrete blocks' weight is 7 kg
</t>
  </si>
  <si>
    <t>One hollow CC bock weights 23 kg</t>
  </si>
  <si>
    <t xml:space="preserve">http://www.amaarblock.com/hollow.html </t>
  </si>
  <si>
    <t xml:space="preserve">The floor area and number of residents were assumed </t>
  </si>
  <si>
    <t>Total 122 of residential houses, designed and built in different parts of India, for people under low income group have been considered for this study. These houses are very common in India and constitute more than 50% of the total houses built annually in India. Plinth areas of these houses vary between 20 m2 and 60 m2.</t>
  </si>
  <si>
    <t xml:space="preserve">The number of residents was assumed </t>
  </si>
  <si>
    <t xml:space="preserve">The number of residents is assumed </t>
  </si>
  <si>
    <t>The floor area is assumed. It is calculated as average between 50 and 70 m2</t>
  </si>
  <si>
    <t xml:space="preserve">China </t>
  </si>
  <si>
    <t>New Cruciform Block (NCB)</t>
  </si>
  <si>
    <t>The first Harmony Blocks, which have 40 storeys with a usable floor area of 39,040 m2 in each block, were completed in Tin Yiu Estate in 1992. Each block has 16 apartment units per floor with a central service core, which creates an open environment allowing daylight to enter all flats. It has units with one bedroom of 34 m2, two bedrooms of 43 m2 and three bedrooms of 52 m2.</t>
  </si>
  <si>
    <t>40-50 years</t>
  </si>
  <si>
    <t>Harmony Block (H1)</t>
  </si>
  <si>
    <t>Analysis of embodied energy use in the residential building of Hong Kong</t>
  </si>
  <si>
    <t>building code</t>
  </si>
  <si>
    <t>Lightweight steelstructure
singlefamily house No. 2</t>
  </si>
  <si>
    <t>Lightweight steelstructure
singlefamily house No. 1</t>
  </si>
  <si>
    <t>Wooden single-family house No. 4</t>
  </si>
  <si>
    <t>Wooden single-family house No. 3</t>
  </si>
  <si>
    <t>Wooden single-family house No. 2</t>
  </si>
  <si>
    <t>Wooden single-family house No. 1</t>
  </si>
  <si>
    <t>SRC multi-family house No. 2</t>
  </si>
  <si>
    <t>SRC multi-family house No. 1</t>
  </si>
  <si>
    <t>The estimation of energy consumption and CO2 emission due to housing construction in Japan</t>
  </si>
  <si>
    <t>5 person/dwelling</t>
  </si>
  <si>
    <t>4 person/dwelling</t>
  </si>
  <si>
    <t>Sagarmatha National Park/Nepal</t>
  </si>
  <si>
    <t>Bhochhibhoya et al., 2017</t>
  </si>
  <si>
    <t>National Park and its buffer zone</t>
  </si>
  <si>
    <t>Type of houses</t>
  </si>
  <si>
    <t xml:space="preserve">Traditional building </t>
  </si>
  <si>
    <t>Semimodern building</t>
  </si>
  <si>
    <t>The density is taken from the source (not assumed)</t>
  </si>
  <si>
    <t>The number of residents was assumed</t>
  </si>
  <si>
    <t>New Zealand</t>
  </si>
  <si>
    <t>NZIV 1996 Modal House</t>
  </si>
  <si>
    <t>NZIV 1972 Modal House</t>
  </si>
  <si>
    <t>143 years</t>
  </si>
  <si>
    <t>Indonesian residential high rise buildings: A life cycle energy assessment</t>
  </si>
  <si>
    <t>The information is provided for 1 apartment in high-rise apartment building</t>
  </si>
  <si>
    <t xml:space="preserve">Double walls having external walls made from clay bricks, inner walls with
gypsum plasterboard and air gap in between </t>
  </si>
  <si>
    <t>Life cycle energy of single landed houses in Indonesia</t>
  </si>
  <si>
    <t>Clay houses having external walls made from clay bricks and roof enclosure from clay tiles</t>
  </si>
  <si>
    <t>Cement houses with concrete brick walls and concrete roof</t>
  </si>
  <si>
    <t>Type of house</t>
  </si>
  <si>
    <t>Industrialized building system (IBS)</t>
  </si>
  <si>
    <t>Cast in situ</t>
  </si>
  <si>
    <t>The number of residents is assumed</t>
  </si>
  <si>
    <t>PRISMA IBS</t>
  </si>
  <si>
    <t>Nusa Villa Cast In Situ</t>
  </si>
  <si>
    <t>Mat. content per net floor area kg/m2</t>
  </si>
  <si>
    <t>District of Seri Kembangan,
Selangor about 25 km from Kuala Lumpur</t>
  </si>
  <si>
    <t>Lifetime (years)</t>
  </si>
  <si>
    <t>Korea</t>
  </si>
  <si>
    <t>Integrated building life-cycle assessment model to support South Korea's green building certification system (G-SEED)</t>
  </si>
  <si>
    <t>Eight-story passive apartment building</t>
  </si>
  <si>
    <t>Steel-reinforced
concrete</t>
  </si>
  <si>
    <t>The amount of people per dwelling is assumed</t>
  </si>
  <si>
    <t>Concrete products</t>
  </si>
  <si>
    <t xml:space="preserve">15 Central Asia </t>
  </si>
  <si>
    <t>The growth of urban building stock: Unintended lock-in and embedded environmental effects</t>
  </si>
  <si>
    <t>R1: SINGLE FAMILY DETACHED, PRE-1950</t>
  </si>
  <si>
    <t>Before 1950</t>
  </si>
  <si>
    <t>R1: SINGLE FAMILY DETACHED, POST-1990</t>
  </si>
  <si>
    <t>R1: SINGLE FAMILY DETACHED, 1950-1990</t>
  </si>
  <si>
    <t>After 1990</t>
  </si>
  <si>
    <t>R2: MULTI-FAMILY LARGE</t>
  </si>
  <si>
    <t>R1: SINGLE FAMILY DETACHED, PRE-1951</t>
  </si>
  <si>
    <t>R1: SINGLE FAMILY DETACHED, 1950-1991</t>
  </si>
  <si>
    <t>R1: SINGLE FAMILY DETACHED, 1950-1992</t>
  </si>
  <si>
    <t>R1: SINGLE FAMILY DETACHED, POST-1991</t>
  </si>
  <si>
    <t>R1: SINGLE FAMILY DETACHED, POST-1992</t>
  </si>
  <si>
    <t>R3: MULTI-FAMILY SMALL</t>
  </si>
  <si>
    <t>Vancouver Special</t>
  </si>
  <si>
    <t>Material content per building</t>
  </si>
  <si>
    <t xml:space="preserve">Los Angeles, State of California </t>
  </si>
  <si>
    <t>Vancouver, Canada</t>
  </si>
  <si>
    <t>The number of residents is assumed, the number of the floors is assumber to be 1 (the number doesn't influence the materials quantity</t>
  </si>
  <si>
    <t>Cameroon, Africa</t>
  </si>
  <si>
    <t>City of Chiclayo, Peru</t>
  </si>
  <si>
    <t>Punta Arenas City, Chili</t>
  </si>
  <si>
    <t>Pamplona city, Colombia</t>
  </si>
  <si>
    <t xml:space="preserve">Salvador, Brazil </t>
  </si>
  <si>
    <t xml:space="preserve">Camaçari, Brazil </t>
  </si>
  <si>
    <t>Feira de Santana, Brazil</t>
  </si>
  <si>
    <t>Rio de Janeiro, Brazil</t>
  </si>
  <si>
    <t>HRA</t>
  </si>
  <si>
    <t>Estimating Embodied Energy in Residential Buildings in a Nigerian Context</t>
  </si>
  <si>
    <t>Lagos, Nigeria</t>
  </si>
  <si>
    <t>L1</t>
  </si>
  <si>
    <t>Cape Town, South Africa</t>
  </si>
  <si>
    <t>Massive structure with load-bearing masonry brick walls, an air cavity and brick façade, concrete floor slabs and pitched roof</t>
  </si>
  <si>
    <t>2 per apartment</t>
  </si>
  <si>
    <t xml:space="preserve">South European Countries </t>
  </si>
  <si>
    <t>Central European countries</t>
  </si>
  <si>
    <t>North European countries</t>
  </si>
  <si>
    <t>Chur, Switzerland</t>
  </si>
  <si>
    <t>Wood as a building material in the light of environmental assessment of full life cycle of four buildings</t>
  </si>
  <si>
    <t>A1</t>
  </si>
  <si>
    <t xml:space="preserve">Conventional masonry building </t>
  </si>
  <si>
    <t>These buildings differed in material structure, building technology and the energy standard.</t>
  </si>
  <si>
    <t>Poland</t>
  </si>
  <si>
    <t>Passive masonry building</t>
  </si>
  <si>
    <t>A2</t>
  </si>
  <si>
    <t>conventional wooden building</t>
  </si>
  <si>
    <t>B1</t>
  </si>
  <si>
    <t>passive wooden building</t>
  </si>
  <si>
    <t>B2</t>
  </si>
  <si>
    <t>Sehaileh, Lebanon</t>
  </si>
  <si>
    <t>Mount Lebanon district in
the town of Sehaileh in the region of Kesrwan, Lebanon</t>
  </si>
  <si>
    <t>Asif et al., 2017</t>
  </si>
  <si>
    <t>Dhahran, Kingdom of Saudi Arabia</t>
  </si>
  <si>
    <t>The number of residents is assumed.</t>
  </si>
  <si>
    <t>Steel re-bars+Galvanized iron sheets</t>
  </si>
  <si>
    <t>Urban (RCC) house</t>
  </si>
  <si>
    <t xml:space="preserve"> City of Chennai, India</t>
  </si>
  <si>
    <t>Economical</t>
  </si>
  <si>
    <t>Irbid, Jordan</t>
  </si>
  <si>
    <t>El Hanandeh, 2015</t>
  </si>
  <si>
    <t>Typical
limestone</t>
  </si>
  <si>
    <t>It typically consists of two layers of hollow concrete blocks with a 50 mm gap. The wall is cladded on both sides with 25 mm cement plaster</t>
  </si>
  <si>
    <t xml:space="preserve"> A typical limestone façade consists of a limestone cladding 30-50 mm thickness backed by 100 mm concrete wall followed by 100 mm hollow concrete blocks and 25 mm cement plaster</t>
  </si>
  <si>
    <t>A methodology for energy performance classification of residential building stock
of Hamirpur</t>
  </si>
  <si>
    <t>Hamirpur, India</t>
  </si>
  <si>
    <t>Life cycle energy analysis of a residential building with different envelopes and climates in Indian context</t>
  </si>
  <si>
    <t>75 years</t>
  </si>
  <si>
    <t>Solar Energy Park,
Indian Institute of Technology Delhi, New Delhi</t>
  </si>
  <si>
    <t>New Delhi, India</t>
  </si>
  <si>
    <t>Embodied energy analysis of adobe house</t>
  </si>
  <si>
    <t>Estimation of CO2 emission of apartment buildings due to major construction materials in the Republic of Korea</t>
  </si>
  <si>
    <t>Case A</t>
  </si>
  <si>
    <t>Units of apartment buildings in Korea</t>
  </si>
  <si>
    <t>All of th information is given per apartment unit</t>
  </si>
  <si>
    <t>Case B</t>
  </si>
  <si>
    <t>Case C</t>
  </si>
  <si>
    <t>Case D</t>
  </si>
  <si>
    <t>Case E</t>
  </si>
  <si>
    <t>Case F</t>
  </si>
  <si>
    <t>2D takeoff</t>
  </si>
  <si>
    <t>Ready-mixed concrete</t>
  </si>
  <si>
    <t xml:space="preserve">We miss the number of residents, the assumptions would be too broad. </t>
  </si>
  <si>
    <t>Hong Kong, China</t>
  </si>
  <si>
    <t>https://uk.saint-gobain-building-glass.com/en-gb/architects/physical-properties</t>
  </si>
  <si>
    <t>Development of an automated estimator of life-cycle carbon emissions for residential buildings: A case study in Nanjing, China</t>
  </si>
  <si>
    <t>Masonry-concrete residential building</t>
  </si>
  <si>
    <t>Wooden structure</t>
  </si>
  <si>
    <t>Life cycle greenhouse gas emissions and energy analysis of prefabricated
reusable building modules</t>
  </si>
  <si>
    <t>Life-cycle energy analysis of buildings: a case study</t>
  </si>
  <si>
    <t>Green Home</t>
  </si>
  <si>
    <t xml:space="preserve">Brick veneer house designed by
Taylor Oppenheim Architects </t>
  </si>
  <si>
    <t xml:space="preserve">"Green home" with energy saving measures </t>
  </si>
  <si>
    <t>The material density is given by the study (p. 74)</t>
  </si>
  <si>
    <t>Towards a comprehensive energy assessment of residential buildings</t>
  </si>
  <si>
    <t>Study Building</t>
  </si>
  <si>
    <t>Reference Building</t>
  </si>
  <si>
    <t xml:space="preserve">From the GFA we deduct the balcony space </t>
  </si>
  <si>
    <t>Light weight timber frame on concrete
and screw-pile foundations. Exterior walls of rendered phenolic foam panels. Floor system employing
engineered timber joists installed in
‘cassette’ modules. Filled concrete
block lift and stair core.</t>
  </si>
  <si>
    <t>Precast concrete panels installed on a
concrete and pile foundation. Floors of post-tensioned concrete slabs cast insitu. Exterior walls of precast concrete panels. Precast concrete panel lift and stair core.</t>
  </si>
  <si>
    <t>Parkville is an inner-city suburb of Melbourne, Victoria, Australia</t>
  </si>
  <si>
    <t>Parkville, Australia</t>
  </si>
  <si>
    <t>Number of residents is asumed from this article</t>
  </si>
  <si>
    <t>25 South Asia (Sri Lanka, Nepal)</t>
  </si>
  <si>
    <t xml:space="preserve">Apartment Buildings (below 4 floors) </t>
  </si>
  <si>
    <t>High-Rise Buildings (above 4 floors)</t>
  </si>
  <si>
    <t>Detached Houses</t>
  </si>
  <si>
    <t xml:space="preserve">Row Houses </t>
  </si>
  <si>
    <t>Missing information</t>
  </si>
  <si>
    <t>Scarce information</t>
  </si>
  <si>
    <t>Sufficient information</t>
  </si>
  <si>
    <t>At least 3 of the building types are covered</t>
  </si>
  <si>
    <t>8 Western Africa (Cameroon, Nigeria)</t>
  </si>
  <si>
    <t>21 South Eastern Asia (Malaysia, Thailand)</t>
  </si>
  <si>
    <t>A detailed analysis of the embodied energy and carbon emissions of steel-construction residential buildings in China</t>
  </si>
  <si>
    <t>Dujiangyan, Sichuan province, China</t>
  </si>
  <si>
    <t>Luhe district, Nanjing, China</t>
  </si>
  <si>
    <t>The m2/capita is taken from the previous study</t>
  </si>
  <si>
    <t xml:space="preserve">There is no information about the number of residents </t>
  </si>
  <si>
    <t>Disaster reconstruction housing projects after Wenchuan earthquake in May 2008 in China</t>
  </si>
  <si>
    <t>Baiguoba village, Nanchuan District of Chongqing, China</t>
  </si>
  <si>
    <t>The number of residents is assumed. 2 families live in the house.</t>
  </si>
  <si>
    <t>Items classified as iron are summed with steel</t>
  </si>
  <si>
    <t>items classified as iron are assumed to be steel</t>
  </si>
  <si>
    <t>Foam glass used as constuction and insulationmaterial for the foundation</t>
  </si>
  <si>
    <t>Used for region 11 &amp; 12 (West- &amp; Eastern Europe)</t>
  </si>
  <si>
    <t>Traditional wooden house</t>
  </si>
  <si>
    <t>2x4 Wooden house</t>
  </si>
  <si>
    <t>Urban stock over time: spatial material stock analysis using 4d-GIS</t>
  </si>
  <si>
    <t>Reinforced concrete-based</t>
  </si>
  <si>
    <t>RC building</t>
  </si>
  <si>
    <t>R4: CONDOMINIUM</t>
  </si>
  <si>
    <t>Before 1990</t>
  </si>
  <si>
    <t>Comment 2</t>
  </si>
  <si>
    <t>The number of residents is given by the study</t>
  </si>
  <si>
    <t>A case study on life cycle energy use of residential building in Southern India</t>
  </si>
  <si>
    <t>Material flow analysis of the residential building stock at the city of Rio de Janeiro</t>
  </si>
  <si>
    <t>Relative importance of electricity sources and construction practices in residential buildings: A Swiss-US comparison of energy relatedlife-cycle impacts</t>
  </si>
  <si>
    <t>Relative importance of electricity sources and construction practices in residential buildings: A Swiss-US comparison of energy related life-cycle impacts</t>
  </si>
  <si>
    <t>Materials demand and environmental impact of buildings construction and demolition in China based on dynamic material flow analysis</t>
  </si>
  <si>
    <t>Emergy-based life cycle assessment (Em-LCA) of multi-unit and single-family residential buildings in Canada</t>
  </si>
  <si>
    <t>Environmental assessment of popular single-family house construction alternatives in Jordan</t>
  </si>
  <si>
    <t>Building-information-modeling enabled life cycle assessment, a case study on carbon footprint accounting for a residential building in China</t>
  </si>
  <si>
    <t>Life cycle assessment of a single-family residential building in Canada: A case study</t>
  </si>
  <si>
    <t>DOI</t>
  </si>
  <si>
    <t>Kumar, V., Hewage, K., &amp; Sadiq, R. (2015). Life Cycle Assessment of Residential Buildings. A Case Study in Canada. Engineering and Technology International Journal of Energy and Environmental Engineering, 9(8), 1017–1024</t>
  </si>
  <si>
    <t>Zhang, W., Tan, S., Lei, Y., &amp; Wang, S. (2014). Life cycle assessment of a single-family residential building in Canada: A case study. Building Simulation. https://doi.org/10.1007/s12273-013-0159-y</t>
  </si>
  <si>
    <t>Two-story dwelling house with low-pitched roof with rain screen stones on the ground-floor facades and stucco on the second floor</t>
  </si>
  <si>
    <t>Single-family house</t>
  </si>
  <si>
    <t xml:space="preserve"> Multi-unit condominium residential</t>
  </si>
  <si>
    <t>Blanchard &amp; Reppe, 1998</t>
  </si>
  <si>
    <t>Mosteiro-Romero et al., 2014</t>
  </si>
  <si>
    <t>Mosteiro-Romero, M., Krogmann, U., Wallbaum, H., Ostermeyer, Y., Senick, J. S., &amp; Andrews, C. J. (2014). Relative importance of electricity sources and construction practices in residential buildings: A Swiss-US comparison of energy related life-cycle impacts. Energy and Buildings. https://doi.org/10.1016/j.enbuild.2013.09.046</t>
  </si>
  <si>
    <t>Reyna, J. L., &amp; Chester, M. V. (2015). The Growth of Urban Building Stock: Unintended Lock-in and Embedded Environmental Effects. Journal of Industrial Ecology. https://doi.org/10.1111/jiec.12211</t>
  </si>
  <si>
    <t>Reyna &amp; Chester, 2015</t>
  </si>
  <si>
    <t>Evangelista, P. P. A., Kiperstok, A., Torres, E. A., &amp; Gonçalves, J. P. (2018). Environmental performance analysis of residential buildings in Brazil using life cycle assessment (LCA). Construction and Building Materials</t>
  </si>
  <si>
    <t>Condeixa, Haddad, &amp; Boer, 2017</t>
  </si>
  <si>
    <t>Mesta, Kahhat, &amp; Santa-Cruz, 2018</t>
  </si>
  <si>
    <t>Mesta, C., Kahhat, R., &amp; Santa-Cruz, S. (2018). Geospatial Characterization of Material Stock in the Residential Sector of a Latin-American City. Journal of Industrial Ecology. https://doi.org/10.1111/jiec.12723</t>
  </si>
  <si>
    <t>Oyarzo &amp; Peuportier, 2014</t>
  </si>
  <si>
    <t>Oyarzo, J., &amp; Peuportier, B. (2014). Life cycle assessment model applied to housing in Chile. Journal of Cleaner Production, 69(March 2012), 109–116. https://doi.org/10.1016/j.jclepro.2014.01.090</t>
  </si>
  <si>
    <t>Ortiz-Rodríguez, O., Castells, F., &amp; Sonnemann, G. (2010). Life cycle assessment of two dwellings: One in Spain, a developed country, and one in Colombia, a country under development. Science of the Total Environment. https://doi.org/10.1016/j.scitotenv.2010.02.021</t>
  </si>
  <si>
    <t>F.Henry, A., G.Elambo, N., J.H.M., T., E.N.Fabrice, O., &amp; M.Blanche, M. (2014). Embodied Energy and CO2 Analyses of Mud-brick and Cement-block Houses. AIMS Energy. https://doi.org/10.3934/energy.2014.1.18</t>
  </si>
  <si>
    <t>Ezema &amp; Olotuah, 2015</t>
  </si>
  <si>
    <t>Ezema, I. C., &amp; Olotuah, A. O. (2015). Estimating Embodied Energy in Residential Buildings in a Nigerian Context. Article in International Journal of Applied Engineering Research. Retrieved from http://www.ripublication.com</t>
  </si>
  <si>
    <t>Van Beers &amp; Graedel, 2003</t>
  </si>
  <si>
    <t>Van Beers, D., &amp; Graedel, T. E. (2003). The magnitude and spatial distribution of in-use copper stocks in Cape Town, South Africa. South African Journal of Science</t>
  </si>
  <si>
    <t>Nemry &amp; Uihlein, 2008</t>
  </si>
  <si>
    <t>Asif, Muneer, &amp; Kelley, 2005</t>
  </si>
  <si>
    <t>Stephan, 2013</t>
  </si>
  <si>
    <t>Cuéllar-Franca &amp; Azapagic, 2012</t>
  </si>
  <si>
    <t>Buyle, Audenaert, Braet, &amp; Debacker, 2015</t>
  </si>
  <si>
    <t>Pajchrowski, Noskowiak, Lewandowska, &amp; Strykowski, 2014</t>
  </si>
  <si>
    <t>Atmaca &amp; Atmaca, 2015</t>
  </si>
  <si>
    <t>Life cycle energy (LCEA) and carbon dioxide emissions (LCCO2A) assessment of two residential buildings in Gaziantep, Turkey</t>
  </si>
  <si>
    <t>Atmaca, A., &amp; Atmaca, N. (2015). Life cycle energy (LCEA) and carbon dioxide emissions (LCCO2A) assessment of two residential buildings in Gaziantep, Turkey. Energy and Buildings https://doi.org/10.1016/j.enbuild.2015.06.008</t>
  </si>
  <si>
    <t>Stephan &amp; Stephan, 2014</t>
  </si>
  <si>
    <t>Stephan, A., &amp; Stephan, L. (2014). Reducing the total life cycle energy demand of recent residential buildings in Lebanon. Energy. https://doi.org/10.1016/j.energy.2014.07.028</t>
  </si>
  <si>
    <t>Asif, M., Dehwah, A., Ashraf, F., Khan, H., Shaukat, M., &amp; Hassan, M. (2017). Life Cycle Assessment of a Three-Bedroom House in Saudi Arabia. Environments. https://doi.org/10.3390/environments4030052</t>
  </si>
  <si>
    <t>El Hanandeh, A. (2015). Environmental assessment of popular single-family house construction alternatives in Jordan. Building and Environment. https://doi.org/10.1016/j.buildenv.2015.04.032</t>
  </si>
  <si>
    <t>Pinky Devi &amp; Palaniappan, 2014</t>
  </si>
  <si>
    <t>Pinky Devi, L., &amp; Palaniappan, S. (2014). A case study on life cycle energy use of residential building in Southern India. Energy and Buildings. https://doi.org/10.1016/j.enbuild.2014.05.034</t>
  </si>
  <si>
    <t>Bansal, Singh, &amp; Sawhney, 2014</t>
  </si>
  <si>
    <t>Bansal, D., Singh, R., &amp; Sawhney, R. L. (2014). Effect of construction materials on embodied energy and cost of buildings - A case study of residential houses in India up to 60 m2of plinth area. Energy and Buildings. https://doi.org/10.1016/j.enbuild.2013.11.006</t>
  </si>
  <si>
    <t>Sharma &amp; Marwaha, 2015</t>
  </si>
  <si>
    <t>Sharma, A., &amp; Marwaha, B. M. (2015). A methodology for energy performance classification of residential building stock of Hamirpur. HBRC Journal. https://doi.org/10.1016/j.hbrcj.2015.11.003</t>
  </si>
  <si>
    <t>Ramesh, Prakash, &amp; Shukla, 2012</t>
  </si>
  <si>
    <t>Ramesh, T., Prakash, R., &amp; Shukla, K. K. (2012). Life cycle energy analysis of a residential building with different envelopes and climates in Indian context. Applied Energy https://doi.org/10.1016/j.apenergy.2011.05.054</t>
  </si>
  <si>
    <t>Shukla, Tiwari, &amp; Sodha, 2009</t>
  </si>
  <si>
    <t>Shukla, A., Tiwari, G. N., &amp; Sodha, M. S. (2009). Embodied energy analysis of adobe house. Renewable Energy. https://doi.org/10.1016/j.renene.2008.04.002</t>
  </si>
  <si>
    <t>Lee, Tae, Gong, &amp; Roh, 2017</t>
  </si>
  <si>
    <t>Lee, N., Tae, S., Gong, Y., &amp; Roh, S. (2017). Integrated building life-cycle assessment model to support South Korea’s green building certification system (G-SEED). Renewable and Sustainable Energy Reviews. https://doi.org/10.1016/j.rser.2017.03.038</t>
  </si>
  <si>
    <t>Jeong, Lee, &amp; Huh, 2012</t>
  </si>
  <si>
    <t>Jeong, Y.-S., Lee, S.-E., &amp; Huh, J.-H. (2012). Estimation of CO 2 emission of apartment buildings due to major construction materials in the Republic of Korea. Energy and Buildings, 49, 437–442. https://doi.org/10.1016/j.enbuild.2012.02.041</t>
  </si>
  <si>
    <t>Lee, Tae, Roh, &amp; Kim, 2015</t>
  </si>
  <si>
    <t>Lee, S., Tae, S., Roh, S., &amp; Kim, T. (2015). Green template for life cycle assessment of buildings based on building information modeling: Focus on embodied environmental impact. Sustainability (Switzerland). https://doi.org/10.3390/su71215830</t>
  </si>
  <si>
    <t>Chen, Burnett, &amp; Chau, 2001</t>
  </si>
  <si>
    <t>Chen, T. Y., Burnett, J., &amp; Chau, C. K. (2001). Analysis of embodied energy use in the residential building of Hong Kong. Energy (Vol. 26). Retrieved from www.elsevier.com/locate/energy</t>
  </si>
  <si>
    <t>Huang, Shi, Tanikawa, Fei, &amp; Han, 2013</t>
  </si>
  <si>
    <t>Huang, T., Shi, F., Tanikawa, H., Fei, J., &amp; Han, J. (2013). Materials demand and environmental impact of buildings construction and demolition in China based on dynamic material flow analysis. Resources, Conservation and Recycling, 72, 91–101. https://doi.org/10.1016/j.resconrec.2012.12.013</t>
  </si>
  <si>
    <t>Li, Cui, &amp; Lu, 2016</t>
  </si>
  <si>
    <t>Li, D., Cui, P., &amp; Lu, Y. (2016). Development of an automated estimator of life-cycle carbon emissions for residential buildings: A case study in Nanjing, China. Habitat International. https://doi.org/10.1016/j.habitatint.2016.07.003</t>
  </si>
  <si>
    <t>Su &amp; Zhang, 2016</t>
  </si>
  <si>
    <t>Su, X., &amp; Zhang, X. (2016). A detailed analysis of the embodied energy and carbon emissions of steel-construction residential buildings in China. Energy and Buildings. https://doi.org/10.1016/j.enbuild.2016.03.070</t>
  </si>
  <si>
    <t>Yang, Hu, Wu, &amp; Zhao, 2018</t>
  </si>
  <si>
    <t>Yang, X., Hu, M., Wu, J., &amp; Zhao, B. (2018). Building-information-modeling enabled life cycle assessment, a case study on carbon footprint accounting for a residential building in China. Journal of Cleaner Production. https://doi.org/10.1016/j.jclepro.2018.02.070</t>
  </si>
  <si>
    <t>Jia Wen, Chin Siong, &amp; Noor, 2015</t>
  </si>
  <si>
    <t>Jia Wen, T., Chin Siong, H., &amp; Noor, Z. Z. (2015). Assessment of embodied energy and global warming potential of building construction using life cycle analysis approach: Case studies of residential buildings in Iskandar Malaysia. Energy and Buildings. https://doi.org/10.1016/j.enbuild.2014.12.002</t>
  </si>
  <si>
    <t>Abd Rashid, Idris, &amp; Yusoff, 2017</t>
  </si>
  <si>
    <t>Abd Rashid, A., Idris, J., &amp; Yusoff, S. (2017). Environmental Impact Analysis on Residential Building in Malaysia Using Life Cycle Assessment. Sustainability. https://doi.org/10.3390/su9030329</t>
  </si>
  <si>
    <t>Utama &amp; Gheewala, 2009</t>
  </si>
  <si>
    <t>Utama, A., &amp; Gheewala, S. H. (2009). Indonesian residential high rise buildings: A life cycle energy assessment. Energy and Buildings. https://doi.org/10.1016/j.enbuild.2009.07.025</t>
  </si>
  <si>
    <t>Utama &amp; Gheewala, 2008</t>
  </si>
  <si>
    <t>Gelang Patah, Johor
Bahru, Malaysia</t>
  </si>
  <si>
    <t>Skudai, Johor Bahru, Malaysia</t>
  </si>
  <si>
    <t>Seri Kembangan, Malaysia</t>
  </si>
  <si>
    <t>Jakarta, Indonesia</t>
  </si>
  <si>
    <t>Semarang, Java, Indonesia</t>
  </si>
  <si>
    <t>Suzuki, Oka, &amp; Okada, 1995</t>
  </si>
  <si>
    <t>Suzuki, M., Oka, T., &amp; Okada, K. (1995). The estimation of energy consumption and CO2 emission due to housing construction in Japan. Energy and Buildings. https://doi.org/10.1016/0378-7788(95)00914-J</t>
  </si>
  <si>
    <t>Tanikawa &amp; Hashimoto, 2009</t>
  </si>
  <si>
    <t>Tanikawa, H., &amp; Hashimoto, S. (2009). Urban stock over time: Spatial material stock analysis using 4d-GIS. Building Research and Information. https://doi.org/10.1080/09613210903169394</t>
  </si>
  <si>
    <t>﻿The global warming potential of building materials: an application of life cycle analysis in Nepal</t>
  </si>
  <si>
    <t>Bhochhibhoya, S., Zanetti, M., Pierobon, F., Gatto, P., Maskey, R. K., &amp; Cavalli, R. (2017). The global warming potential of building materials: an application of life cycle analysis in Nepal. Mountain Research and Development, 37(1), 47–55. https://doi.org/10.1659/MRD-JOURNAL-D-15-00043.1</t>
  </si>
  <si>
    <t>A comparative life cycle assessment of two multi storey residential apartment buildings</t>
  </si>
  <si>
    <t>Rauf &amp; Crawford, 2015</t>
  </si>
  <si>
    <t>Rauf, A., &amp; Crawford, R. H. (2015). Building service life and its effect on the life cycle embodied energy of buildings. Energy. https://doi.org/10.1016/j.energy.2014.10.093</t>
  </si>
  <si>
    <t>Carre, A. (2011). A Comparative Life Cycle Assessment of Alternative Constructions of a Typical Australian House Design (Vol. 61)</t>
  </si>
  <si>
    <t>Carre, 2011</t>
  </si>
  <si>
    <t>Johnstone, 1999</t>
  </si>
  <si>
    <t>Johnstone, I. (1999). Energy and mass flows of housing: a model and example. Building and Environment, 36, 27–41. Retrieved from www.elsevier.com/locate/buildenv</t>
  </si>
  <si>
    <t>Energy and mass flows of housing: a model and example. Building and Environment</t>
  </si>
  <si>
    <t>Aye, Ngo, Crawford, Gammampila, &amp; Mendis, 2011</t>
  </si>
  <si>
    <t>Aye, L., Ngo, T., Crawford, R. H., Gammampila, R., &amp; Mendis, P. (2011). Life cycle greenhouse gas emissions and energy analysis of prefabricated reusable building modules. Energy and Buildings, 47, 159–168. https://doi.org/10.1016/j.enbuild.2011.11.049</t>
  </si>
  <si>
    <t>Fay, Treloar, &amp; Iyer-Raniga, 2000</t>
  </si>
  <si>
    <t>Fay, R., Treloar, G., &amp; Iyer-Raniga, U. (2000). Life-cycle energy analysis of buildings: a case study. Building Research &amp; Information (Vol. 28)</t>
  </si>
  <si>
    <t>Carre &amp; Crossin, 2015</t>
  </si>
  <si>
    <t>Carre, A., &amp; Crossin, E. (2015). A comparative life cycle assessment of two multi storey residential apartment buildings. Retrieved from www.fwpa.com.au</t>
  </si>
  <si>
    <t>﻿Environmental impacts of the UK residential sector: Life cycle assessment of houses</t>
  </si>
  <si>
    <t>Environmental Improvement Potentials of Residential Buildings (IMPRO-Building)</t>
  </si>
  <si>
    <t>Assessment of embodied energy and global warming potential of building construction using life cycle analysis approach: Case studies of residential buildings in Iskandar Malaysia</t>
  </si>
  <si>
    <r>
      <t xml:space="preserve">Stephan, A., &amp; Athanassiadis, A. (2018). Towards a more circular construction sector: Estimating and spatialising current and future non-structural material replacement flows to maintain urban building stocks. </t>
    </r>
    <r>
      <rPr>
        <i/>
        <sz val="11"/>
        <color theme="1"/>
        <rFont val="Calibri"/>
        <family val="2"/>
        <scheme val="minor"/>
      </rPr>
      <t>Resources, Conservation and Recycling</t>
    </r>
    <r>
      <rPr>
        <sz val="11"/>
        <color theme="1"/>
        <rFont val="Calibri"/>
        <family val="2"/>
        <scheme val="minor"/>
      </rPr>
      <t xml:space="preserve">, </t>
    </r>
    <r>
      <rPr>
        <i/>
        <sz val="11"/>
        <color theme="1"/>
        <rFont val="Calibri"/>
        <family val="2"/>
        <scheme val="minor"/>
      </rPr>
      <t>129</t>
    </r>
    <r>
      <rPr>
        <sz val="11"/>
        <color theme="1"/>
        <rFont val="Calibri"/>
        <family val="2"/>
        <scheme val="minor"/>
      </rPr>
      <t>(April 2017), 248–262. https://doi.org/10.1016/j.resconrec.2017.09.022</t>
    </r>
  </si>
  <si>
    <t>Stephan &amp; Athanassiadis, 2018</t>
  </si>
  <si>
    <t>Towards a more sustainable building stock: Optimizing a flemish dwelling using a life cycle approach</t>
  </si>
  <si>
    <t>﻿A spatial analysis of material stock accumulation and demolition waste potential of buildings: A case study of Padua</t>
  </si>
  <si>
    <t>Gontia, Nägeli, Rosado, Kalmykova, &amp; Österbring, 2018</t>
  </si>
  <si>
    <t>Miatto et al., 2019</t>
  </si>
  <si>
    <t>Sweden</t>
  </si>
  <si>
    <t>SF1920</t>
  </si>
  <si>
    <t>SF1930</t>
  </si>
  <si>
    <t>SF1940</t>
  </si>
  <si>
    <t>SF1950</t>
  </si>
  <si>
    <t>SF1960</t>
  </si>
  <si>
    <t>SF1970</t>
  </si>
  <si>
    <t>SF1980</t>
  </si>
  <si>
    <t>SF1990</t>
  </si>
  <si>
    <t>SF2000</t>
  </si>
  <si>
    <t>WMF1920</t>
  </si>
  <si>
    <t>WMF1930</t>
  </si>
  <si>
    <t>WMF1990</t>
  </si>
  <si>
    <t>WBMF1920</t>
  </si>
  <si>
    <t>BMF1920.1</t>
  </si>
  <si>
    <t>BMF1920.2</t>
  </si>
  <si>
    <t>BMF1930.1</t>
  </si>
  <si>
    <t>BMF1930.2</t>
  </si>
  <si>
    <t>BMF1940.1</t>
  </si>
  <si>
    <t>BMF1940.2</t>
  </si>
  <si>
    <t>CMF2000</t>
  </si>
  <si>
    <t>CMF1980.2</t>
  </si>
  <si>
    <t>CMF1980.1</t>
  </si>
  <si>
    <t>CMF1970.3</t>
  </si>
  <si>
    <t>CMF1970.2</t>
  </si>
  <si>
    <t>CMF1970.1</t>
  </si>
  <si>
    <t>CMF1960.4</t>
  </si>
  <si>
    <t>CMF1960.3</t>
  </si>
  <si>
    <t>CMF1960.2</t>
  </si>
  <si>
    <t>CMF1960.1</t>
  </si>
  <si>
    <t xml:space="preserve">CMF1950 </t>
  </si>
  <si>
    <t>CMF1940.2</t>
  </si>
  <si>
    <t>CMF1940.1</t>
  </si>
  <si>
    <t>Padua, Italy</t>
  </si>
  <si>
    <t>up to 2</t>
  </si>
  <si>
    <t>between 3 and 4</t>
  </si>
  <si>
    <t>5 and more</t>
  </si>
  <si>
    <t>Legend</t>
  </si>
  <si>
    <t>Zhang, Tan, Lei, &amp; Wang, 2014</t>
  </si>
  <si>
    <t>Kumar, Hewage, &amp; Sadiq, 2015</t>
  </si>
  <si>
    <t>Reza, Sadiq, &amp; Hewage, 2014</t>
  </si>
  <si>
    <t>https://doi.org/10.1007/s12273-013-0159-y</t>
  </si>
  <si>
    <t>Life cycle assessment of residential buildings: A case study in Canada</t>
  </si>
  <si>
    <t>https://doi.org/10.5281/zenodo.1107700</t>
  </si>
  <si>
    <t>﻿http://dx.doi.org/10.1016/j.ijsbe.2014.09.001</t>
  </si>
  <si>
    <r>
      <t xml:space="preserve">Reza, B., Sadiq, R., &amp; Hewage, K. (2014). Emergy-based life cycle assessment (Em-LCA) of multi-unit and single-family residential buildings in Canada. </t>
    </r>
    <r>
      <rPr>
        <i/>
        <sz val="12"/>
        <color theme="1"/>
        <rFont val="Calibri"/>
        <family val="2"/>
        <scheme val="minor"/>
      </rPr>
      <t>International Journal of Sustainable Built Environment</t>
    </r>
    <r>
      <rPr>
        <sz val="12"/>
        <color theme="1"/>
        <rFont val="Calibri"/>
        <family val="2"/>
        <scheme val="minor"/>
      </rPr>
      <t xml:space="preserve">, </t>
    </r>
    <r>
      <rPr>
        <i/>
        <sz val="12"/>
        <color theme="1"/>
        <rFont val="Calibri"/>
        <family val="2"/>
        <scheme val="minor"/>
      </rPr>
      <t>3</t>
    </r>
    <r>
      <rPr>
        <sz val="12"/>
        <color theme="1"/>
        <rFont val="Calibri"/>
        <family val="2"/>
        <scheme val="minor"/>
      </rPr>
      <t>(2), 207–224. https://doi.org/10.1016/j.ijsbe.2014.09.001</t>
    </r>
  </si>
  <si>
    <t xml:space="preserve">
Concrete columns and beams for structure load bearing, whereas, other houses have traditional strip footing foundations.</t>
  </si>
  <si>
    <t>﻿http://www.umich.edu/~css</t>
  </si>
  <si>
    <t>https://doi.org/10.1016/j.enbuild.2013.09.046</t>
  </si>
  <si>
    <t>https://doi.org/10.1111/jiec.12211</t>
  </si>
  <si>
    <t>https://doi.org/10.1016/j.conbuildmat.2018.02.045</t>
  </si>
  <si>
    <t>Evangelista, Kiperstok, Torres, &amp; Gonçalves, 2018</t>
  </si>
  <si>
    <r>
      <t xml:space="preserve">Condeixa, K., Haddad, A., &amp; Boer, D. (2017). Material flow analysis of the residential building stock at the city of Rio de Janeiro. </t>
    </r>
    <r>
      <rPr>
        <i/>
        <sz val="12"/>
        <color theme="1"/>
        <rFont val="Calibri"/>
        <family val="2"/>
        <scheme val="minor"/>
      </rPr>
      <t>Journal of Cleaner Production</t>
    </r>
    <r>
      <rPr>
        <sz val="12"/>
        <color theme="1"/>
        <rFont val="Calibri"/>
        <family val="2"/>
        <scheme val="minor"/>
      </rPr>
      <t>. https://doi.org/10.1016/j.jclepro.2017.02.080</t>
    </r>
  </si>
  <si>
    <t>https://doi.org/10.1016/j.jclepro.2017.02.080</t>
  </si>
  <si>
    <t>https://doi.org/10.1111/jiec.12723</t>
  </si>
  <si>
    <t>Geospatial characterization of material stock in the residential sector of a Latin-American cty</t>
  </si>
  <si>
    <t>https://doi.org/10.1016/j.jclepro.2014.01.090</t>
  </si>
  <si>
    <t>https://doi.org/10.1016/j.scitotenv.2010.02.021</t>
  </si>
  <si>
    <t>Ortiz-Rodríguez, Castells, &amp; Sonnemann, 2010</t>
  </si>
  <si>
    <t>https://doi.org/10.3934/energy.2014.1.18</t>
  </si>
  <si>
    <t>Embodied energy and CO2 analyses of mud-brick and cement-block houses</t>
  </si>
  <si>
    <t>F.Henry, G.Elambo, J.H.M., E.N.Fabrice, &amp; M.Blanche, 2014</t>
  </si>
  <si>
    <t>http://www.ripublication.com</t>
  </si>
  <si>
    <t>https://hdl.handle.net/10520/EJC97582</t>
  </si>
  <si>
    <t>https://doi.org/10.2791/38942</t>
  </si>
  <si>
    <t>https://doi.org/10.1016/j.enbuild.2015.06.008</t>
  </si>
  <si>
    <t>https://doi.org/10.1016/j.energy.2014.07.028</t>
  </si>
  <si>
    <t>Life cycle assessment of a three-bedroom house in Saudi Arabia</t>
  </si>
  <si>
    <t>between 2008 and 2011</t>
  </si>
  <si>
    <t>between 2008 and 2012</t>
  </si>
  <si>
    <t>https://doi.org/10.1016/j.enbuild.2014.05.034</t>
  </si>
  <si>
    <t>Effect of construction materials on embodied energy and cost of buildings - A case study of residential houses in India up to 60 m2 of plinth area</t>
  </si>
  <si>
    <t>https://doi.org/10.1016/j.enbuild.2013.11.006</t>
  </si>
  <si>
    <t>https://doi.org/10.1016/j.hbrcj.2015.11.003</t>
  </si>
  <si>
    <t>https://doi.org/10.1016/j.apenergy.2011.05.054</t>
  </si>
  <si>
    <t>https://doi.org/10.1016/j.renene.2008.04.002</t>
  </si>
  <si>
    <t>https://doi.org/10.1016/j.rser.2017.03.038</t>
  </si>
  <si>
    <t>https://doi.org/10.1016/j.enbuild.2012.02.041</t>
  </si>
  <si>
    <t>https://doi.org/10.3390/su71215830</t>
  </si>
  <si>
    <t>Green template for life cycle assessment of buildings based on building information modeling: Focus on embodied environmental impact</t>
  </si>
  <si>
    <t>﻿www.elsevier.com/locate/energy</t>
  </si>
  <si>
    <t>https://doi.org/10.1016/j.resconrec.2012.12.013</t>
  </si>
  <si>
    <t>https://doi.org/10.1016/j.habitatint.2016.07.003</t>
  </si>
  <si>
    <t>https://doi.org/10.1016/j.enbuild.2016.03.070</t>
  </si>
  <si>
    <t>https://doi.org/10.1016/j.jclepro.2018.02.070</t>
  </si>
  <si>
    <t>https://doi.org/10.1016/j.enbuild.2014.12.002</t>
  </si>
  <si>
    <t>Environmental impact analysis on residential building in Malaysia using life cycle assessment</t>
  </si>
  <si>
    <t>https://doi.org/10.3390/su9030329</t>
  </si>
  <si>
    <t>https://doi.org/10.1016/j.enbuild.2009.07.025</t>
  </si>
  <si>
    <t>High-rise apartment</t>
  </si>
  <si>
    <t>https://doi.org/10.1016/0378-7788(95)00914-J</t>
  </si>
  <si>
    <t>https://doi.org/10.1080/09613210903169394</t>
  </si>
  <si>
    <t>https://doi.org/10.1016/j.resconrec.2017.09.022</t>
  </si>
  <si>
    <t>https://doi.org/10.1016/j.energy.2014.10.093</t>
  </si>
  <si>
    <t>A comparative life cycle assessment of alternative constructions of a typical Australian house design</t>
  </si>
  <si>
    <t>﻿www.fwpa.com.au</t>
  </si>
  <si>
    <t>www.elsevier.com/locate/buildenv</t>
  </si>
  <si>
    <t>https://doi.org/10.1016/j.enbuild.2011.11.049</t>
  </si>
  <si>
    <t>https://doi.org/10.1080/096132100369073</t>
  </si>
  <si>
    <t>www.fwpa.com.au</t>
  </si>
  <si>
    <t>https://doi.org/10.1659/MRD-JOURNAL-D-15-00043.1</t>
  </si>
  <si>
    <t xml:space="preserve">Global construction materials database and stock analysis of the residential buildings between 1970-2050 </t>
  </si>
  <si>
    <t>Appendix B. Supplementary data: The material quantities database</t>
  </si>
  <si>
    <t>Content</t>
  </si>
  <si>
    <t>Tables</t>
  </si>
  <si>
    <t xml:space="preserve">Database </t>
  </si>
  <si>
    <r>
      <rPr>
        <b/>
        <sz val="12"/>
        <color theme="1"/>
        <rFont val="Calibri"/>
        <family val="2"/>
        <scheme val="minor"/>
      </rPr>
      <t>Table 1.</t>
    </r>
    <r>
      <rPr>
        <sz val="12"/>
        <color theme="1"/>
        <rFont val="Calibri"/>
        <family val="2"/>
        <scheme val="minor"/>
      </rPr>
      <t xml:space="preserve"> Data availability across regions and building types</t>
    </r>
  </si>
  <si>
    <r>
      <rPr>
        <b/>
        <sz val="12"/>
        <color theme="1"/>
        <rFont val="Calibri"/>
        <family val="2"/>
        <scheme val="minor"/>
      </rPr>
      <t>Table 2.</t>
    </r>
    <r>
      <rPr>
        <sz val="12"/>
        <color theme="1"/>
        <rFont val="Calibri"/>
        <family val="2"/>
        <scheme val="minor"/>
      </rPr>
      <t xml:space="preserve"> Data availability across regions and construction materials </t>
    </r>
  </si>
  <si>
    <t>1. Data availability across regions and building types</t>
  </si>
  <si>
    <t xml:space="preserve">2. Data availability across regions and construction materials </t>
  </si>
  <si>
    <r>
      <t>Sylvia Marinova, Sebastiaan Deetman, Ester van der Voet</t>
    </r>
    <r>
      <rPr>
        <sz val="16"/>
        <color theme="1"/>
        <rFont val="Calibri"/>
        <family val="2"/>
        <scheme val="minor"/>
      </rPr>
      <t>, Vassilis Daioglou</t>
    </r>
  </si>
  <si>
    <t>Checked (value seemed an outlier, but is reported correctly)</t>
  </si>
  <si>
    <t>Niel, Belgium</t>
  </si>
  <si>
    <t>Heeren et al., 2019</t>
  </si>
  <si>
    <t>Vienna, Austria</t>
  </si>
  <si>
    <t>Case study OBG</t>
  </si>
  <si>
    <t>Final Bill WHA PGH.</t>
  </si>
  <si>
    <t>LCA Data JAS</t>
  </si>
  <si>
    <t>LCA Data IBO1</t>
  </si>
  <si>
    <t>LCA Data IBO2</t>
  </si>
  <si>
    <t>LCA Data IBO3</t>
  </si>
  <si>
    <t>LCA Data IBO4</t>
  </si>
  <si>
    <t>LCA Data IBO5</t>
  </si>
  <si>
    <t>LCA Data IBO6</t>
  </si>
  <si>
    <t>LCA Data IBO7</t>
  </si>
  <si>
    <t>LCA Data IBO8</t>
  </si>
  <si>
    <t>LCA Data IBO9</t>
  </si>
  <si>
    <t>LCA Data IBO10</t>
  </si>
  <si>
    <t>MFH</t>
  </si>
  <si>
    <t>SFH, MFH</t>
  </si>
  <si>
    <t>Grenada</t>
  </si>
  <si>
    <t>Concrete Structure A (Concrete block walls; Concrete slab floor; Concrete pillar foundation; Timber + sheet steel roof)</t>
  </si>
  <si>
    <t>Timber Structure (Timber walls + siding; Timber floor; Concrete footing foundation; Timber + sheet steel roof)</t>
  </si>
  <si>
    <t>Concrete/Timber Mix Structure (Concrete block walls, concrete slab floor, concrete slab foundation; Timber + sheet steel roof)</t>
  </si>
  <si>
    <t>Heeren et al., 2020</t>
  </si>
  <si>
    <t>Heeren et al., 2021</t>
  </si>
  <si>
    <t>Heeren et al., 2022</t>
  </si>
  <si>
    <r>
      <t xml:space="preserve">Blanchard, S., &amp; Reppe, P. (1998). </t>
    </r>
    <r>
      <rPr>
        <sz val="12"/>
        <color theme="1"/>
        <rFont val="Calibri"/>
        <family val="2"/>
        <scheme val="minor"/>
      </rPr>
      <t>Life Cycle Analysis of a Residential Home in Michigan. Retrieved from http://www.umich.edu/~css</t>
    </r>
  </si>
  <si>
    <t>Heeren, N. and Fishman, T. (2019). A database seed for a community-driven material intensity research platform. Scientific Data, 6(1).</t>
  </si>
  <si>
    <t>https://doi.org/10.1038/s41597-019-0021-x</t>
  </si>
  <si>
    <t>A database seed for a community-driven material intensity research platform</t>
  </si>
  <si>
    <t xml:space="preserve">Shallow foundation, conventional structure in reinforced concrete, masonry in ceramic blocks. Walls and ceilings coated with PVA paint, floors and facade – granite, natural rocks and ceramic tiles and gypsum ceilings cladding. Wood structure and fiber  roof tiles </t>
  </si>
  <si>
    <t>RC apartment buildings are composed of structural frames with columns, beams, and shear walls, which support similar floors as the ones described in the brick masonry houses. Typically, interior walls are made of hollow clay bricks</t>
  </si>
  <si>
    <t>The avarage dwelling size is taken from another source. The number of residents is assumed.</t>
  </si>
  <si>
    <t>Comment 1</t>
  </si>
  <si>
    <t>It is assumed that one solid CC block weights 26 kg</t>
  </si>
  <si>
    <t>Residential building, urban, simple</t>
  </si>
  <si>
    <t>Residential building, urban, medium</t>
  </si>
  <si>
    <t>Residential building, urban, luxurious</t>
  </si>
  <si>
    <t>Residential building, urban</t>
  </si>
  <si>
    <t>Bandung, Indonesia</t>
  </si>
  <si>
    <t>Utama, A., &amp; Gheewala, S. H. (2008). Life cycle energy of single landed houses in Indonesia. Energy and Buildings. https://doi.org/10.1016/j.enbuild.2008.04.018</t>
  </si>
  <si>
    <t>https://doi.org/10.1016/j.enbuild.2008.04.018</t>
  </si>
  <si>
    <t>Timber construction</t>
  </si>
  <si>
    <t>Towards a more circular construction sector: Estimating and spatialising current and future non-structural material replacement flows to maintain urban building stocks</t>
  </si>
  <si>
    <t>South European Countries</t>
  </si>
  <si>
    <t>CF1</t>
  </si>
  <si>
    <t>CF2</t>
  </si>
  <si>
    <t>CF3</t>
  </si>
  <si>
    <t>MR1</t>
  </si>
  <si>
    <t>BU1</t>
  </si>
  <si>
    <t>BU2</t>
  </si>
  <si>
    <t>BU3</t>
  </si>
  <si>
    <t>Small residential 1</t>
  </si>
  <si>
    <t>Small residential 2</t>
  </si>
  <si>
    <t>Small residential 3</t>
  </si>
  <si>
    <t>MIA1</t>
  </si>
  <si>
    <t>MIA2</t>
  </si>
  <si>
    <t>MIA3</t>
  </si>
  <si>
    <t>MIA4</t>
  </si>
  <si>
    <t>MIA5</t>
  </si>
  <si>
    <t>MIA6</t>
  </si>
  <si>
    <t>AS1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</si>
</sst>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9" x14ac:knownFonts="1">
    <font>
      <sz val="11"/>
      <color theme="1"/>
      <name val="Calibri"/>
      <family val="2"/>
      <scheme val="minor"/>
    </font>
    <font>
      <sz val="12"/>
      <color theme="1"/>
      <name val="Calibri"/>
      <family val="2"/>
      <scheme val="minor"/>
    </font>
    <font>
      <sz val="12"/>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1"/>
      <color rgb="FFFF0000"/>
      <name val="Calibri"/>
      <family val="2"/>
      <scheme val="minor"/>
    </font>
    <font>
      <b/>
      <sz val="11"/>
      <color rgb="FF000000"/>
      <name val="Calibri"/>
      <family val="2"/>
    </font>
    <font>
      <u/>
      <sz val="11"/>
      <color theme="10"/>
      <name val="Calibri"/>
      <family val="2"/>
      <scheme val="minor"/>
    </font>
    <font>
      <i/>
      <sz val="12"/>
      <color theme="1"/>
      <name val="Calibri"/>
      <family val="2"/>
      <scheme val="minor"/>
    </font>
    <font>
      <i/>
      <sz val="11"/>
      <color theme="1"/>
      <name val="Calibri"/>
      <family val="2"/>
      <scheme val="minor"/>
    </font>
    <font>
      <b/>
      <sz val="11"/>
      <color theme="0"/>
      <name val="Calibri"/>
      <family val="2"/>
      <scheme val="minor"/>
    </font>
    <font>
      <b/>
      <sz val="12"/>
      <color theme="1"/>
      <name val="Calibri"/>
      <family val="2"/>
      <scheme val="minor"/>
    </font>
    <font>
      <vertAlign val="superscript"/>
      <sz val="12"/>
      <color theme="1"/>
      <name val="Calibri"/>
      <family val="2"/>
      <scheme val="minor"/>
    </font>
    <font>
      <sz val="20"/>
      <color rgb="FF365F91"/>
      <name val="Cambria"/>
      <family val="1"/>
    </font>
    <font>
      <sz val="16"/>
      <color theme="1"/>
      <name val="Calibri"/>
      <family val="2"/>
      <scheme val="minor"/>
    </font>
    <font>
      <sz val="8"/>
      <color rgb="FF24292E"/>
      <name val="Segoe UI"/>
      <family val="2"/>
    </font>
    <font>
      <sz val="11"/>
      <name val="Calibri"/>
      <family val="2"/>
      <scheme val="minor"/>
    </font>
    <font>
      <sz val="8"/>
      <name val="Calibri"/>
      <family val="2"/>
      <scheme val="minor"/>
    </font>
  </fonts>
  <fills count="9">
    <fill>
      <patternFill patternType="none"/>
    </fill>
    <fill>
      <patternFill patternType="gray125"/>
    </fill>
    <fill>
      <patternFill patternType="solid">
        <fgColor rgb="FFC0C0C0"/>
        <bgColor rgb="FFC0C0C0"/>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5"/>
        <bgColor theme="5"/>
      </patternFill>
    </fill>
    <fill>
      <patternFill patternType="solid">
        <fgColor rgb="FFFFFFFF"/>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thin">
        <color rgb="FFEEECE1"/>
      </left>
      <right style="thin">
        <color rgb="FFEEECE1"/>
      </right>
      <top style="thin">
        <color rgb="FFEEECE1"/>
      </top>
      <bottom style="thin">
        <color rgb="FFEEECE1"/>
      </bottom>
      <diagonal/>
    </border>
    <border>
      <left style="thin">
        <color rgb="FFEEECE1"/>
      </left>
      <right style="thin">
        <color rgb="FFEEECE1"/>
      </right>
      <top/>
      <bottom/>
      <diagonal/>
    </border>
    <border>
      <left/>
      <right style="thin">
        <color rgb="FFC00000"/>
      </right>
      <top/>
      <bottom/>
      <diagonal/>
    </border>
    <border>
      <left style="thin">
        <color rgb="FFC00000"/>
      </left>
      <right style="thin">
        <color rgb="FFC00000"/>
      </right>
      <top/>
      <bottom/>
      <diagonal/>
    </border>
    <border>
      <left style="thin">
        <color rgb="FFC00000"/>
      </left>
      <right style="thin">
        <color rgb="FFC00000"/>
      </right>
      <top style="thin">
        <color rgb="FFC00000"/>
      </top>
      <bottom style="thin">
        <color rgb="FFC00000"/>
      </bottom>
      <diagonal/>
    </border>
    <border>
      <left style="thin">
        <color rgb="FFC00000"/>
      </left>
      <right style="thin">
        <color rgb="FFC00000"/>
      </right>
      <top style="thin">
        <color rgb="FFC00000"/>
      </top>
      <bottom/>
      <diagonal/>
    </border>
    <border>
      <left style="thin">
        <color rgb="FFC00000"/>
      </left>
      <right style="thin">
        <color rgb="FFC00000"/>
      </right>
      <top/>
      <bottom style="thin">
        <color rgb="FFC00000"/>
      </bottom>
      <diagonal/>
    </border>
    <border>
      <left style="thin">
        <color rgb="FFC00000"/>
      </left>
      <right/>
      <top/>
      <bottom/>
      <diagonal/>
    </border>
    <border>
      <left/>
      <right style="thin">
        <color rgb="FFC00000"/>
      </right>
      <top/>
      <bottom style="thin">
        <color rgb="FFC00000"/>
      </bottom>
      <diagonal/>
    </border>
    <border>
      <left/>
      <right style="thin">
        <color rgb="FFC00000"/>
      </right>
      <top style="thin">
        <color rgb="FFC00000"/>
      </top>
      <bottom style="thin">
        <color rgb="FFC00000"/>
      </bottom>
      <diagonal/>
    </border>
    <border>
      <left/>
      <right/>
      <top style="thin">
        <color rgb="FFC00000"/>
      </top>
      <bottom style="thin">
        <color rgb="FFC00000"/>
      </bottom>
      <diagonal/>
    </border>
    <border>
      <left/>
      <right/>
      <top style="thin">
        <color rgb="FFC00000"/>
      </top>
      <bottom/>
      <diagonal/>
    </border>
    <border>
      <left/>
      <right style="thin">
        <color indexed="64"/>
      </right>
      <top/>
      <bottom/>
      <diagonal/>
    </border>
    <border>
      <left/>
      <right style="thin">
        <color rgb="FFC00000"/>
      </right>
      <top style="thin">
        <color rgb="FFC00000"/>
      </top>
      <bottom/>
      <diagonal/>
    </border>
    <border>
      <left/>
      <right/>
      <top/>
      <bottom style="thin">
        <color rgb="FFC00000"/>
      </bottom>
      <diagonal/>
    </border>
    <border>
      <left style="thin">
        <color rgb="FFC00000"/>
      </left>
      <right/>
      <top style="thin">
        <color rgb="FFC00000"/>
      </top>
      <bottom style="thin">
        <color rgb="FFC00000"/>
      </bottom>
      <diagonal/>
    </border>
    <border>
      <left style="thin">
        <color indexed="64"/>
      </left>
      <right style="thin">
        <color rgb="FFC00000"/>
      </right>
      <top/>
      <bottom style="thin">
        <color rgb="FFC00000"/>
      </bottom>
      <diagonal/>
    </border>
    <border>
      <left style="medium">
        <color rgb="FFDFE2E5"/>
      </left>
      <right style="medium">
        <color rgb="FFDFE2E5"/>
      </right>
      <top style="medium">
        <color rgb="FFDFE2E5"/>
      </top>
      <bottom style="medium">
        <color rgb="FFDFE2E5"/>
      </bottom>
      <diagonal/>
    </border>
  </borders>
  <cellStyleXfs count="2">
    <xf numFmtId="0" fontId="0" fillId="0" borderId="0"/>
    <xf numFmtId="0" fontId="8" fillId="0" borderId="0" applyNumberFormat="0" applyFill="0" applyBorder="0" applyAlignment="0" applyProtection="0"/>
  </cellStyleXfs>
  <cellXfs count="79">
    <xf numFmtId="0" fontId="0" fillId="0" borderId="0" xfId="0"/>
    <xf numFmtId="0" fontId="0" fillId="0" borderId="0" xfId="0" applyAlignment="1">
      <alignment horizontal="center"/>
    </xf>
    <xf numFmtId="0" fontId="3" fillId="0" borderId="0" xfId="0" applyFont="1"/>
    <xf numFmtId="0" fontId="4" fillId="0" borderId="2" xfId="0" applyFont="1" applyBorder="1" applyAlignment="1">
      <alignment horizontal="left" vertical="center" wrapText="1"/>
    </xf>
    <xf numFmtId="0" fontId="0" fillId="0" borderId="0" xfId="0" applyAlignment="1">
      <alignment vertical="center"/>
    </xf>
    <xf numFmtId="0" fontId="0" fillId="0" borderId="0" xfId="0" applyAlignment="1">
      <alignment horizontal="center" vertical="center"/>
    </xf>
    <xf numFmtId="0" fontId="5" fillId="2" borderId="1" xfId="0" applyFont="1" applyFill="1" applyBorder="1" applyAlignment="1">
      <alignment horizontal="center"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horizontal="left"/>
    </xf>
    <xf numFmtId="2" fontId="0" fillId="0" borderId="4" xfId="0" applyNumberFormat="1" applyBorder="1" applyAlignment="1">
      <alignment horizontal="center" vertical="center"/>
    </xf>
    <xf numFmtId="2" fontId="0" fillId="0" borderId="5" xfId="0" applyNumberFormat="1" applyBorder="1" applyAlignment="1">
      <alignment horizontal="center" vertical="center"/>
    </xf>
    <xf numFmtId="2" fontId="0" fillId="0" borderId="0" xfId="0" applyNumberFormat="1" applyAlignment="1">
      <alignment horizontal="center" vertical="center"/>
    </xf>
    <xf numFmtId="2" fontId="0" fillId="0" borderId="8" xfId="0" applyNumberFormat="1" applyBorder="1" applyAlignment="1">
      <alignment horizontal="center" vertical="center"/>
    </xf>
    <xf numFmtId="2" fontId="0" fillId="0" borderId="9" xfId="0" applyNumberFormat="1" applyBorder="1" applyAlignment="1">
      <alignment horizontal="center" vertical="center"/>
    </xf>
    <xf numFmtId="2" fontId="0" fillId="0" borderId="10" xfId="0" applyNumberFormat="1" applyBorder="1" applyAlignment="1">
      <alignment horizontal="center" vertical="center"/>
    </xf>
    <xf numFmtId="2" fontId="0" fillId="0" borderId="6" xfId="0" applyNumberFormat="1" applyBorder="1" applyAlignment="1">
      <alignment horizontal="center" vertical="center"/>
    </xf>
    <xf numFmtId="0" fontId="0" fillId="0" borderId="5" xfId="0" applyBorder="1" applyAlignment="1">
      <alignment horizontal="left" vertical="center"/>
    </xf>
    <xf numFmtId="0" fontId="6" fillId="0" borderId="8" xfId="0" applyFont="1" applyBorder="1" applyAlignment="1">
      <alignment horizontal="left" vertical="center"/>
    </xf>
    <xf numFmtId="0" fontId="0" fillId="0" borderId="6" xfId="0" applyBorder="1" applyAlignment="1">
      <alignment horizontal="left" vertical="center"/>
    </xf>
    <xf numFmtId="0" fontId="0" fillId="3" borderId="7" xfId="0" applyFill="1" applyBorder="1"/>
    <xf numFmtId="2" fontId="0" fillId="0" borderId="11" xfId="0" applyNumberFormat="1" applyBorder="1" applyAlignment="1">
      <alignment horizontal="center" vertical="center"/>
    </xf>
    <xf numFmtId="2" fontId="0" fillId="0" borderId="12" xfId="0" applyNumberFormat="1" applyBorder="1" applyAlignment="1">
      <alignment horizontal="center" vertical="center"/>
    </xf>
    <xf numFmtId="0" fontId="0" fillId="0" borderId="6" xfId="0" applyBorder="1" applyAlignment="1">
      <alignment horizontal="left" vertical="center" wrapText="1"/>
    </xf>
    <xf numFmtId="0" fontId="6" fillId="0" borderId="6" xfId="0" applyFont="1" applyBorder="1" applyAlignment="1">
      <alignment horizontal="left" vertical="center"/>
    </xf>
    <xf numFmtId="0" fontId="0" fillId="3" borderId="6" xfId="0" applyFill="1" applyBorder="1"/>
    <xf numFmtId="0" fontId="0" fillId="0" borderId="4" xfId="0" applyBorder="1" applyAlignment="1">
      <alignment vertical="center"/>
    </xf>
    <xf numFmtId="2" fontId="0" fillId="0" borderId="0" xfId="0" applyNumberFormat="1" applyAlignment="1">
      <alignment horizontal="center" vertical="center" wrapText="1"/>
    </xf>
    <xf numFmtId="0" fontId="4" fillId="0" borderId="0" xfId="0" applyFont="1" applyAlignment="1">
      <alignment horizontal="left" vertical="center" wrapText="1"/>
    </xf>
    <xf numFmtId="1" fontId="0" fillId="0" borderId="0" xfId="0" applyNumberFormat="1" applyAlignment="1">
      <alignment horizontal="center" vertical="center" wrapText="1"/>
    </xf>
    <xf numFmtId="0" fontId="0" fillId="0" borderId="0" xfId="0" applyAlignment="1">
      <alignment horizontal="left" wrapText="1"/>
    </xf>
    <xf numFmtId="0" fontId="8" fillId="0" borderId="0" xfId="1" applyAlignment="1">
      <alignment horizontal="left" vertical="center" wrapText="1"/>
    </xf>
    <xf numFmtId="0" fontId="0" fillId="0" borderId="0" xfId="0" applyAlignment="1">
      <alignment horizontal="center" wrapText="1"/>
    </xf>
    <xf numFmtId="0" fontId="4" fillId="0" borderId="3" xfId="0" applyFont="1" applyBorder="1" applyAlignment="1">
      <alignment horizontal="left" vertical="center" wrapText="1"/>
    </xf>
    <xf numFmtId="0" fontId="0" fillId="5" borderId="6" xfId="0" applyFill="1" applyBorder="1"/>
    <xf numFmtId="0" fontId="0" fillId="4" borderId="6" xfId="0" applyFill="1" applyBorder="1"/>
    <xf numFmtId="0" fontId="0" fillId="6" borderId="6" xfId="0" applyFill="1" applyBorder="1"/>
    <xf numFmtId="0" fontId="0" fillId="3" borderId="5" xfId="0" applyFill="1" applyBorder="1"/>
    <xf numFmtId="0" fontId="0" fillId="6" borderId="8" xfId="0" applyFill="1" applyBorder="1"/>
    <xf numFmtId="1" fontId="0" fillId="0" borderId="0" xfId="0" applyNumberFormat="1" applyAlignment="1">
      <alignment horizontal="left" vertical="center" wrapText="1"/>
    </xf>
    <xf numFmtId="2" fontId="0" fillId="0" borderId="0" xfId="0" applyNumberFormat="1" applyAlignment="1">
      <alignment horizontal="left" vertical="center" wrapText="1"/>
    </xf>
    <xf numFmtId="0" fontId="5" fillId="2" borderId="1" xfId="0" applyFont="1" applyFill="1" applyBorder="1" applyAlignment="1">
      <alignment horizontal="left" vertical="center" wrapText="1"/>
    </xf>
    <xf numFmtId="0" fontId="7" fillId="2" borderId="1" xfId="0" applyFont="1" applyFill="1" applyBorder="1" applyAlignment="1">
      <alignment horizontal="left" vertical="center" wrapText="1"/>
    </xf>
    <xf numFmtId="0" fontId="7" fillId="2" borderId="1" xfId="0" applyFont="1" applyFill="1" applyBorder="1" applyAlignment="1">
      <alignment horizontal="left" vertical="center"/>
    </xf>
    <xf numFmtId="2" fontId="0" fillId="0" borderId="0" xfId="0" applyNumberFormat="1" applyAlignment="1">
      <alignment horizontal="left" vertical="center"/>
    </xf>
    <xf numFmtId="164" fontId="0" fillId="0" borderId="0" xfId="0" applyNumberFormat="1" applyAlignment="1">
      <alignment horizontal="left" vertical="center" wrapText="1"/>
    </xf>
    <xf numFmtId="0" fontId="5" fillId="2" borderId="1" xfId="0" applyFont="1" applyFill="1" applyBorder="1" applyAlignment="1">
      <alignment horizontal="left" vertical="center"/>
    </xf>
    <xf numFmtId="1" fontId="0" fillId="0" borderId="0" xfId="0" applyNumberFormat="1" applyAlignment="1">
      <alignment horizontal="left" vertical="center"/>
    </xf>
    <xf numFmtId="0" fontId="0" fillId="0" borderId="13" xfId="0" applyBorder="1"/>
    <xf numFmtId="16" fontId="0" fillId="0" borderId="0" xfId="0" applyNumberFormat="1" applyAlignment="1">
      <alignment horizontal="left" vertical="center" wrapText="1"/>
    </xf>
    <xf numFmtId="0" fontId="0" fillId="0" borderId="4" xfId="0" applyBorder="1"/>
    <xf numFmtId="0" fontId="0" fillId="0" borderId="7" xfId="0" applyBorder="1"/>
    <xf numFmtId="0" fontId="0" fillId="0" borderId="8" xfId="0" applyBorder="1"/>
    <xf numFmtId="0" fontId="0" fillId="0" borderId="6" xfId="0" applyBorder="1"/>
    <xf numFmtId="0" fontId="0" fillId="0" borderId="11" xfId="0" applyBorder="1"/>
    <xf numFmtId="2" fontId="0" fillId="0" borderId="14" xfId="0" applyNumberFormat="1" applyBorder="1" applyAlignment="1">
      <alignment horizontal="center"/>
    </xf>
    <xf numFmtId="2" fontId="0" fillId="0" borderId="11" xfId="0" applyNumberFormat="1" applyBorder="1" applyAlignment="1">
      <alignment horizontal="center"/>
    </xf>
    <xf numFmtId="0" fontId="0" fillId="0" borderId="16" xfId="0" applyBorder="1" applyAlignment="1">
      <alignment horizontal="center"/>
    </xf>
    <xf numFmtId="2" fontId="0" fillId="0" borderId="4" xfId="0" applyNumberFormat="1" applyBorder="1" applyAlignment="1">
      <alignment horizontal="center"/>
    </xf>
    <xf numFmtId="2" fontId="0" fillId="0" borderId="10" xfId="0" applyNumberFormat="1" applyBorder="1" applyAlignment="1">
      <alignment horizontal="center"/>
    </xf>
    <xf numFmtId="0" fontId="0" fillId="0" borderId="15" xfId="0" applyBorder="1" applyAlignment="1">
      <alignment horizontal="left"/>
    </xf>
    <xf numFmtId="0" fontId="0" fillId="0" borderId="4" xfId="0" applyBorder="1" applyAlignment="1">
      <alignment horizontal="left"/>
    </xf>
    <xf numFmtId="0" fontId="0" fillId="0" borderId="10" xfId="0" applyBorder="1" applyAlignment="1">
      <alignment horizontal="left"/>
    </xf>
    <xf numFmtId="2" fontId="0" fillId="0" borderId="5" xfId="0" applyNumberFormat="1" applyBorder="1" applyAlignment="1">
      <alignment horizontal="center"/>
    </xf>
    <xf numFmtId="2" fontId="0" fillId="0" borderId="18" xfId="0" applyNumberFormat="1" applyBorder="1" applyAlignment="1">
      <alignment horizontal="center" vertical="center"/>
    </xf>
    <xf numFmtId="0" fontId="8" fillId="0" borderId="0" xfId="1" applyAlignment="1">
      <alignment horizontal="left" wrapText="1"/>
    </xf>
    <xf numFmtId="0" fontId="13" fillId="0" borderId="0" xfId="0" applyFont="1" applyAlignment="1">
      <alignment vertical="center"/>
    </xf>
    <xf numFmtId="0" fontId="14" fillId="0" borderId="0" xfId="0" applyFont="1" applyAlignment="1">
      <alignment vertical="center"/>
    </xf>
    <xf numFmtId="0" fontId="15" fillId="0" borderId="0" xfId="0" applyFont="1" applyAlignment="1">
      <alignment vertical="center"/>
    </xf>
    <xf numFmtId="0" fontId="14" fillId="0" borderId="0" xfId="0" applyFont="1"/>
    <xf numFmtId="0" fontId="2" fillId="0" borderId="0" xfId="0" applyFont="1" applyAlignment="1">
      <alignment horizontal="left" vertical="center"/>
    </xf>
    <xf numFmtId="0" fontId="16" fillId="8" borderId="19" xfId="0" applyFont="1" applyFill="1" applyBorder="1" applyAlignment="1">
      <alignment vertical="center" wrapText="1"/>
    </xf>
    <xf numFmtId="0" fontId="17" fillId="0" borderId="6" xfId="0" applyFont="1" applyBorder="1" applyAlignment="1">
      <alignment horizontal="left" vertical="center"/>
    </xf>
    <xf numFmtId="0" fontId="3" fillId="0" borderId="16" xfId="0" applyFont="1" applyBorder="1" applyAlignment="1">
      <alignment horizontal="center"/>
    </xf>
    <xf numFmtId="0" fontId="11" fillId="7" borderId="17" xfId="0" applyFont="1" applyFill="1" applyBorder="1" applyAlignment="1">
      <alignment horizontal="center" vertical="center" wrapText="1"/>
    </xf>
    <xf numFmtId="0" fontId="11" fillId="7" borderId="12" xfId="0" applyFont="1" applyFill="1" applyBorder="1" applyAlignment="1">
      <alignment horizontal="center" vertical="center" wrapText="1"/>
    </xf>
  </cellXfs>
  <cellStyles count="2">
    <cellStyle name="Hyperlink" xfId="1" builtinId="8"/>
    <cellStyle name="Normal" xfId="0" builtinId="0"/>
  </cellStyles>
  <dxfs count="19">
    <dxf>
      <numFmt numFmtId="2" formatCode="0.00"/>
      <alignment horizontal="center" vertical="bottom" textRotation="0" wrapText="0" indent="0" justifyLastLine="0" shrinkToFit="0" readingOrder="0"/>
      <border diagonalUp="0" diagonalDown="0">
        <left style="thin">
          <color indexed="64"/>
        </left>
        <right style="thin">
          <color indexed="64"/>
        </right>
        <top/>
        <bottom/>
        <vertical/>
        <horizontal/>
      </border>
    </dxf>
    <dxf>
      <numFmt numFmtId="2" formatCode="0.00"/>
      <alignment horizontal="center" vertical="bottom" textRotation="0" wrapText="0" indent="0" justifyLastLine="0" shrinkToFit="0" readingOrder="0"/>
      <border diagonalUp="0" diagonalDown="0">
        <left style="thin">
          <color indexed="64"/>
        </left>
        <right style="thin">
          <color rgb="FFC00000"/>
        </right>
        <top/>
        <bottom/>
        <vertical/>
      </border>
    </dxf>
    <dxf>
      <numFmt numFmtId="2" formatCode="0.00"/>
      <alignment horizontal="center" vertical="bottom" textRotation="0" wrapText="0" indent="0" justifyLastLine="0" shrinkToFit="0" readingOrder="0"/>
      <border diagonalUp="0" diagonalDown="0">
        <left style="thin">
          <color indexed="64"/>
        </left>
        <right style="thin">
          <color rgb="FFC00000"/>
        </right>
        <top/>
        <bottom/>
        <vertical/>
      </border>
    </dxf>
    <dxf>
      <numFmt numFmtId="2" formatCode="0.00"/>
      <alignment horizontal="center" vertical="bottom" textRotation="0" wrapText="0" indent="0" justifyLastLine="0" shrinkToFit="0" readingOrder="0"/>
      <border diagonalUp="0" diagonalDown="0">
        <left style="thin">
          <color indexed="64"/>
        </left>
        <right style="thin">
          <color rgb="FFC00000"/>
        </right>
        <top/>
        <bottom/>
        <vertical/>
      </border>
    </dxf>
    <dxf>
      <numFmt numFmtId="2" formatCode="0.00"/>
      <alignment horizontal="center" vertical="bottom" textRotation="0" wrapText="0" indent="0" justifyLastLine="0" shrinkToFit="0" readingOrder="0"/>
      <border diagonalUp="0" diagonalDown="0">
        <left style="thin">
          <color indexed="64"/>
        </left>
        <right style="thin">
          <color rgb="FFC00000"/>
        </right>
        <top/>
        <bottom/>
        <vertical/>
      </border>
    </dxf>
    <dxf>
      <numFmt numFmtId="2" formatCode="0.00"/>
      <alignment horizontal="center" vertical="bottom" textRotation="0" wrapText="0" indent="0" justifyLastLine="0" shrinkToFit="0" readingOrder="0"/>
      <border diagonalUp="0" diagonalDown="0">
        <left style="thin">
          <color indexed="64"/>
        </left>
        <right style="thin">
          <color rgb="FFC00000"/>
        </right>
        <top/>
        <bottom/>
        <vertical/>
      </border>
    </dxf>
    <dxf>
      <alignment horizontal="center" vertical="bottom" textRotation="0" wrapText="0" indent="0" justifyLastLine="0" shrinkToFit="0" readingOrder="0"/>
      <border diagonalUp="0" diagonalDown="0">
        <left style="thin">
          <color indexed="64"/>
        </left>
        <right style="thin">
          <color rgb="FFC00000"/>
        </right>
        <top/>
        <bottom/>
        <vertical/>
        <horizontal/>
      </border>
    </dxf>
    <dxf>
      <alignment horizontal="center" vertical="bottom" textRotation="0" wrapText="0" indent="0" justifyLastLine="0" shrinkToFit="0" readingOrder="0"/>
    </dxf>
    <dxf>
      <alignment horizontal="center" vertical="bottom" textRotation="0" wrapText="0" indent="0" justifyLastLine="0" shrinkToFit="0" readingOrder="0"/>
    </dxf>
    <dxf>
      <numFmt numFmtId="2" formatCode="0.00"/>
      <alignment horizontal="center" vertical="center" textRotation="0" wrapText="0" indent="0" justifyLastLine="0" shrinkToFit="0" readingOrder="0"/>
      <border diagonalUp="0" diagonalDown="0">
        <left style="thin">
          <color auto="1"/>
        </left>
        <right style="thin">
          <color rgb="FFC00000"/>
        </right>
        <top/>
        <bottom/>
        <vertical style="thin">
          <color auto="1"/>
        </vertical>
        <horizontal/>
      </border>
    </dxf>
    <dxf>
      <numFmt numFmtId="2" formatCode="0.00"/>
      <alignment horizontal="center" vertical="center" textRotation="0" wrapText="0" indent="0" justifyLastLine="0" shrinkToFit="0" readingOrder="0"/>
      <border diagonalUp="0" diagonalDown="0">
        <left style="thin">
          <color rgb="FFC00000"/>
        </left>
        <right style="thin">
          <color auto="1"/>
        </right>
        <top/>
        <bottom/>
        <vertical style="thin">
          <color auto="1"/>
        </vertical>
        <horizontal/>
      </border>
    </dxf>
    <dxf>
      <numFmt numFmtId="2" formatCode="0.00"/>
      <alignment horizontal="center" vertical="center" textRotation="0" wrapText="0" indent="0" justifyLastLine="0" shrinkToFit="0" readingOrder="0"/>
      <border diagonalUp="0" diagonalDown="0">
        <left style="thin">
          <color rgb="FFC00000"/>
        </left>
        <right style="thin">
          <color rgb="FFC00000"/>
        </right>
        <top/>
        <bottom/>
        <vertical/>
        <horizontal/>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bottom/>
      </border>
    </dxf>
    <dxf>
      <numFmt numFmtId="2" formatCode="0.00"/>
      <alignment horizontal="center" vertical="center" textRotation="0" wrapText="0" indent="0" justifyLastLine="0" shrinkToFit="0" readingOrder="0"/>
      <border diagonalUp="0" diagonalDown="0" outline="0">
        <left style="thin">
          <color indexed="64"/>
        </left>
        <right style="thin">
          <color indexed="64"/>
        </right>
        <top/>
        <bottom/>
      </border>
    </dxf>
    <dxf>
      <numFmt numFmtId="2" formatCode="0.00"/>
      <alignment horizontal="center" vertical="center" textRotation="0" wrapText="0" indent="0" justifyLastLine="0" shrinkToFit="0" readingOrder="0"/>
      <border diagonalUp="0" diagonalDown="0">
        <left/>
        <right style="thin">
          <color rgb="FFC00000"/>
        </right>
        <top/>
        <bottom/>
        <vertical/>
        <horizontal/>
      </border>
    </dxf>
    <dxf>
      <alignment horizontal="left" vertical="center" textRotation="0" wrapText="0" indent="0" justifyLastLine="0" shrinkToFit="0" readingOrder="0"/>
      <border diagonalUp="0" diagonalDown="0">
        <left style="thin">
          <color indexed="64"/>
        </left>
        <right style="thin">
          <color indexed="64"/>
        </right>
        <top/>
        <bottom/>
        <vertical/>
        <horizontal/>
      </border>
    </dxf>
    <dxf>
      <alignment horizontal="center" vertical="center" textRotation="0" wrapText="0" indent="0" justifyLastLine="0" shrinkToFit="0" readingOrder="0"/>
      <border diagonalUp="0" diagonalDown="0" outline="0">
        <left style="thin">
          <color indexed="64"/>
        </left>
        <right style="thin">
          <color indexed="64"/>
        </right>
        <top/>
        <bottom/>
      </border>
    </dxf>
    <dxf>
      <alignment horizontal="center" vertical="center" textRotation="0" wrapText="0" indent="0" justifyLastLine="0" shrinkToFit="0" readingOrder="0"/>
    </dxf>
    <dxf>
      <alignment horizontal="center" vertical="center" textRotation="0" wrapText="1" indent="0" justifyLastLine="0" shrinkToFit="0" readingOrder="0"/>
    </dxf>
  </dxfs>
  <tableStyles count="0" defaultTableStyle="TableStyleMedium2" defaultPivotStyle="PivotStyleLight16"/>
  <colors>
    <mruColors>
      <color rgb="FFD81A1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B3:I29" totalsRowShown="0" headerRowDxfId="18" dataDxfId="17">
  <autoFilter ref="B3:I29" xr:uid="{00000000-0009-0000-0100-000002000000}"/>
  <tableColumns count="8">
    <tableColumn id="1" xr3:uid="{00000000-0010-0000-0000-000001000000}" name="Info ready " dataDxfId="16"/>
    <tableColumn id="4" xr3:uid="{00000000-0010-0000-0000-000004000000}" name="Region (Countries available)" dataDxfId="15"/>
    <tableColumn id="2" xr3:uid="{00000000-0010-0000-0000-000002000000}" name="Detached Houses" dataDxfId="14"/>
    <tableColumn id="3" xr3:uid="{00000000-0010-0000-0000-000003000000}" name="Row Houses " dataDxfId="13"/>
    <tableColumn id="5" xr3:uid="{00000000-0010-0000-0000-000005000000}" name="Apartment Buildings (below 4 floors) " dataDxfId="12"/>
    <tableColumn id="6" xr3:uid="{00000000-0010-0000-0000-000006000000}" name="High-Rise Buildings (above 4 floors)" dataDxfId="11"/>
    <tableColumn id="8" xr3:uid="{00000000-0010-0000-0000-000008000000}" name="Urban " dataDxfId="10"/>
    <tableColumn id="9" xr3:uid="{00000000-0010-0000-0000-000009000000}" name="Rural" dataDxfId="9"/>
  </tableColumns>
  <tableStyleInfo name="TableStyleLight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1" displayName="Table1" ref="B3:H29" totalsRowShown="0" headerRowDxfId="8" dataDxfId="7">
  <autoFilter ref="B3:H29" xr:uid="{00000000-0009-0000-0100-000001000000}"/>
  <tableColumns count="7">
    <tableColumn id="1" xr3:uid="{00000000-0010-0000-0100-000001000000}" name="Region " dataDxfId="6"/>
    <tableColumn id="2" xr3:uid="{00000000-0010-0000-0100-000002000000}" name="Steel " dataDxfId="5"/>
    <tableColumn id="5" xr3:uid="{00000000-0010-0000-0100-000005000000}" name="Concrete " dataDxfId="4"/>
    <tableColumn id="6" xr3:uid="{00000000-0010-0000-0100-000006000000}" name="Wood " dataDxfId="3"/>
    <tableColumn id="7" xr3:uid="{00000000-0010-0000-0100-000007000000}" name="Copper " dataDxfId="2"/>
    <tableColumn id="8" xr3:uid="{00000000-0010-0000-0100-000008000000}" name="Aluminium " dataDxfId="1"/>
    <tableColumn id="10" xr3:uid="{00000000-0010-0000-0100-00000A000000}" name="Glass " dataDxfId="0"/>
  </tableColumns>
  <tableStyleInfo name="TableStyleLight10"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doi.org/10.1038/s41597-019-0021-x"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1.xml.rels><?xml version="1.0" encoding="UTF-8" standalone="yes"?>
<Relationships xmlns="http://schemas.openxmlformats.org/package/2006/relationships"><Relationship Id="rId2" Type="http://schemas.openxmlformats.org/officeDocument/2006/relationships/hyperlink" Target="https://doi.org/10.1038/s41597-019-0021-x" TargetMode="External"/><Relationship Id="rId1" Type="http://schemas.openxmlformats.org/officeDocument/2006/relationships/hyperlink" Target="http://www.amaarblock.com/hollow.html" TargetMode="External"/></Relationships>
</file>

<file path=xl/worksheets/_rels/sheet22.xml.rels><?xml version="1.0" encoding="UTF-8" standalone="yes"?>
<Relationships xmlns="http://schemas.openxmlformats.org/package/2006/relationships"><Relationship Id="rId1" Type="http://schemas.openxmlformats.org/officeDocument/2006/relationships/hyperlink" Target="https://uk.saint-gobain-building-glass.com/en-gb/architects/physical-properties" TargetMode="Externa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s://doi.org/10.1038/s41597-019-0021-x" TargetMode="External"/></Relationships>
</file>

<file path=xl/worksheets/_rels/sheet26.xml.rels><?xml version="1.0" encoding="UTF-8" standalone="yes"?>
<Relationships xmlns="http://schemas.openxmlformats.org/package/2006/relationships"><Relationship Id="rId3" Type="http://schemas.openxmlformats.org/officeDocument/2006/relationships/printerSettings" Target="../printerSettings/printerSettings15.bin"/><Relationship Id="rId2" Type="http://schemas.openxmlformats.org/officeDocument/2006/relationships/hyperlink" Target="https://doi.org/10.1038/s41597-019-0021-x" TargetMode="External"/><Relationship Id="rId1" Type="http://schemas.openxmlformats.org/officeDocument/2006/relationships/hyperlink" Target="https://doi.org/10.1016/0378-7788(95)00914-J" TargetMode="External"/></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8.xml.rels><?xml version="1.0" encoding="UTF-8" standalone="yes"?>
<Relationships xmlns="http://schemas.openxmlformats.org/package/2006/relationships"><Relationship Id="rId1" Type="http://schemas.openxmlformats.org/officeDocument/2006/relationships/hyperlink" Target="http://siteresources.worldbank.org/ICPINT/Resources/270056-1255977254560/6483625-1291755426408/12_ICPBook_Dwellings_FINAL.pdf" TargetMode="Externa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hyperlink" Target="https://doi.org/10.1038/s41597-019-0021-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s://doi.org/10.1016/j.conbuildmat.2018.02.045"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2"/>
  <sheetViews>
    <sheetView zoomScaleNormal="100" workbookViewId="0"/>
  </sheetViews>
  <sheetFormatPr baseColWidth="10" defaultColWidth="10.83203125" defaultRowHeight="15" x14ac:dyDescent="0.2"/>
  <sheetData>
    <row r="1" spans="1:3" ht="25" x14ac:dyDescent="0.25">
      <c r="A1" s="72" t="s">
        <v>852</v>
      </c>
    </row>
    <row r="4" spans="1:3" ht="25" x14ac:dyDescent="0.2">
      <c r="A4" s="70" t="s">
        <v>851</v>
      </c>
    </row>
    <row r="5" spans="1:3" ht="21" x14ac:dyDescent="0.2">
      <c r="A5" s="71" t="s">
        <v>860</v>
      </c>
    </row>
    <row r="8" spans="1:3" ht="25" x14ac:dyDescent="0.25">
      <c r="A8" s="72" t="s">
        <v>853</v>
      </c>
      <c r="C8" s="69"/>
    </row>
    <row r="9" spans="1:3" ht="21" x14ac:dyDescent="0.2">
      <c r="A9" s="71" t="s">
        <v>854</v>
      </c>
      <c r="C9" s="69"/>
    </row>
    <row r="10" spans="1:3" ht="21" x14ac:dyDescent="0.2">
      <c r="A10" s="71" t="s">
        <v>858</v>
      </c>
      <c r="C10" s="69"/>
    </row>
    <row r="11" spans="1:3" ht="21" x14ac:dyDescent="0.2">
      <c r="A11" s="71" t="s">
        <v>859</v>
      </c>
    </row>
    <row r="12" spans="1:3" ht="21" x14ac:dyDescent="0.2">
      <c r="A12" s="71" t="s">
        <v>855</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rgb="FFFF0000"/>
  </sheetPr>
  <dimension ref="A1:AB1"/>
  <sheetViews>
    <sheetView zoomScaleNormal="100" workbookViewId="0"/>
  </sheetViews>
  <sheetFormatPr baseColWidth="10" defaultColWidth="8.83203125" defaultRowHeight="15" x14ac:dyDescent="0.2"/>
  <cols>
    <col min="1" max="1" width="4.6640625" customWidth="1"/>
    <col min="2" max="2" width="10.6640625" customWidth="1"/>
    <col min="3" max="4" width="13" customWidth="1"/>
    <col min="5" max="6" width="25" customWidth="1"/>
    <col min="8" max="8" width="16.33203125" customWidth="1"/>
    <col min="9" max="9" width="27.6640625" customWidth="1"/>
    <col min="10" max="10" width="16" customWidth="1"/>
    <col min="11" max="11" width="12.5" customWidth="1"/>
    <col min="12" max="13" width="22.5" customWidth="1"/>
    <col min="14" max="14" width="23" customWidth="1"/>
    <col min="15" max="15" width="13.33203125" customWidth="1"/>
    <col min="16" max="16" width="13.5" customWidth="1"/>
    <col min="17" max="18" width="12.1640625" customWidth="1"/>
    <col min="19" max="19" width="13.33203125" customWidth="1"/>
    <col min="20" max="20" width="11.5" customWidth="1"/>
    <col min="21" max="21" width="11.33203125" customWidth="1"/>
    <col min="22" max="22" width="13.6640625" customWidth="1"/>
    <col min="23" max="23" width="9.1640625"/>
    <col min="24" max="24" width="10.1640625" customWidth="1"/>
  </cols>
  <sheetData>
    <row r="1" spans="1:28"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6" t="s">
        <v>195</v>
      </c>
      <c r="P1" s="44" t="s">
        <v>194</v>
      </c>
      <c r="Q1" s="44" t="s">
        <v>413</v>
      </c>
      <c r="R1" s="44" t="s">
        <v>414</v>
      </c>
      <c r="S1" s="44" t="s">
        <v>193</v>
      </c>
      <c r="T1" s="44" t="s">
        <v>419</v>
      </c>
      <c r="U1" s="44" t="s">
        <v>519</v>
      </c>
      <c r="V1" s="44" t="s">
        <v>192</v>
      </c>
      <c r="W1" s="44" t="s">
        <v>384</v>
      </c>
      <c r="X1" s="44" t="s">
        <v>416</v>
      </c>
      <c r="Y1" s="44" t="s">
        <v>242</v>
      </c>
      <c r="Z1" s="44" t="s">
        <v>191</v>
      </c>
      <c r="AA1" s="44" t="s">
        <v>190</v>
      </c>
      <c r="AB1" s="44"/>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92D050"/>
  </sheetPr>
  <dimension ref="A1:AA13"/>
  <sheetViews>
    <sheetView zoomScaleNormal="100" workbookViewId="0"/>
  </sheetViews>
  <sheetFormatPr baseColWidth="10" defaultColWidth="9.1640625" defaultRowHeight="15" x14ac:dyDescent="0.2"/>
  <cols>
    <col min="1" max="1" width="3.83203125" style="7" customWidth="1"/>
    <col min="2" max="2" width="11.83203125" style="7" customWidth="1"/>
    <col min="3" max="3" width="41.6640625" style="7" customWidth="1"/>
    <col min="4" max="4" width="22.5" style="7" customWidth="1"/>
    <col min="5" max="6" width="25" style="7" customWidth="1"/>
    <col min="7" max="7" width="10.83203125" style="11" customWidth="1"/>
    <col min="8" max="8" width="16.33203125" style="7" customWidth="1"/>
    <col min="9" max="9" width="27.6640625" style="7" customWidth="1"/>
    <col min="10" max="10" width="16" style="7" customWidth="1"/>
    <col min="11" max="11" width="17.83203125" style="7" customWidth="1"/>
    <col min="12" max="13" width="22.5" style="7" customWidth="1"/>
    <col min="14" max="14" width="23" style="7" customWidth="1"/>
    <col min="15" max="15" width="13.33203125" style="7" customWidth="1"/>
    <col min="16" max="16" width="13.5" style="7" customWidth="1"/>
    <col min="17" max="18" width="15.1640625" style="7" customWidth="1"/>
    <col min="19" max="19" width="16.5" style="30" customWidth="1"/>
    <col min="20" max="20" width="12.83203125" style="7" customWidth="1"/>
    <col min="21" max="21" width="14.83203125" style="7" customWidth="1"/>
    <col min="22" max="22" width="9.1640625" style="7"/>
    <col min="23" max="23" width="13.6640625" style="30" customWidth="1"/>
    <col min="24" max="24" width="12.5" style="32" customWidth="1"/>
    <col min="25" max="25" width="9.1640625" style="7"/>
    <col min="26" max="26" width="10.1640625" style="7" customWidth="1"/>
    <col min="27" max="27" width="42.5" style="33" customWidth="1"/>
    <col min="28" max="16384" width="9.1640625" style="7"/>
  </cols>
  <sheetData>
    <row r="1" spans="1:27"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241</v>
      </c>
      <c r="R1" s="44" t="s">
        <v>414</v>
      </c>
      <c r="S1" s="44" t="s">
        <v>193</v>
      </c>
      <c r="T1" s="44" t="s">
        <v>419</v>
      </c>
      <c r="U1" s="44" t="s">
        <v>519</v>
      </c>
      <c r="V1" s="44" t="s">
        <v>192</v>
      </c>
      <c r="W1" s="44" t="s">
        <v>384</v>
      </c>
      <c r="X1" s="44" t="s">
        <v>416</v>
      </c>
      <c r="Y1" s="44" t="s">
        <v>242</v>
      </c>
      <c r="Z1" s="44" t="s">
        <v>191</v>
      </c>
      <c r="AA1" s="44" t="s">
        <v>190</v>
      </c>
    </row>
    <row r="2" spans="1:27" ht="40" customHeight="1" x14ac:dyDescent="0.2">
      <c r="A2" s="10">
        <v>1</v>
      </c>
      <c r="B2" s="10" t="s">
        <v>665</v>
      </c>
      <c r="C2" s="10" t="s">
        <v>810</v>
      </c>
      <c r="D2" s="10" t="s">
        <v>809</v>
      </c>
      <c r="E2" s="10" t="s">
        <v>523</v>
      </c>
      <c r="F2" s="10"/>
      <c r="G2" s="10" t="s">
        <v>58</v>
      </c>
      <c r="H2" s="10" t="s">
        <v>444</v>
      </c>
      <c r="I2" s="10" t="s">
        <v>389</v>
      </c>
      <c r="J2" s="10" t="s">
        <v>284</v>
      </c>
      <c r="K2" s="10" t="s">
        <v>285</v>
      </c>
      <c r="L2" s="10"/>
      <c r="M2" s="10">
        <v>1</v>
      </c>
      <c r="N2" s="10">
        <v>1</v>
      </c>
      <c r="O2" s="10">
        <v>4</v>
      </c>
      <c r="P2" s="48">
        <v>68.7</v>
      </c>
      <c r="Q2" s="42">
        <f t="shared" ref="Q2:Q6" si="0">(9 - 3*0.2) * (8 - 3*0.2)</f>
        <v>62.160000000000004</v>
      </c>
      <c r="R2" s="42">
        <f t="shared" ref="R2:R11" si="1">Q2/O2</f>
        <v>15.540000000000001</v>
      </c>
      <c r="S2" s="43" t="s">
        <v>65</v>
      </c>
      <c r="T2" s="10"/>
      <c r="U2" s="43">
        <f>6600+9600+20856+7200</f>
        <v>44256</v>
      </c>
      <c r="V2" s="10" t="s">
        <v>244</v>
      </c>
      <c r="W2" s="43">
        <f t="shared" ref="W2:W13" si="2">U2/Q2</f>
        <v>711.96911196911196</v>
      </c>
      <c r="X2" s="42">
        <v>1</v>
      </c>
      <c r="Y2" s="43">
        <f t="shared" ref="Y2:Y13" si="3">U2/O2</f>
        <v>11064</v>
      </c>
      <c r="Z2" s="10"/>
      <c r="AA2" s="10" t="s">
        <v>288</v>
      </c>
    </row>
    <row r="3" spans="1:27" ht="40" customHeight="1" x14ac:dyDescent="0.2">
      <c r="A3" s="10">
        <v>1</v>
      </c>
      <c r="B3" s="10" t="s">
        <v>811</v>
      </c>
      <c r="C3" s="10"/>
      <c r="D3" s="10"/>
      <c r="E3" s="10" t="s">
        <v>523</v>
      </c>
      <c r="F3" s="10"/>
      <c r="G3" s="10" t="s">
        <v>58</v>
      </c>
      <c r="H3" s="10"/>
      <c r="I3" s="10" t="s">
        <v>389</v>
      </c>
      <c r="J3" s="10" t="s">
        <v>284</v>
      </c>
      <c r="K3" s="10" t="s">
        <v>285</v>
      </c>
      <c r="L3" s="10"/>
      <c r="M3" s="10">
        <v>1</v>
      </c>
      <c r="N3" s="10">
        <v>1</v>
      </c>
      <c r="O3" s="10">
        <v>4</v>
      </c>
      <c r="P3" s="48">
        <v>68.7</v>
      </c>
      <c r="Q3" s="42">
        <f t="shared" si="0"/>
        <v>62.160000000000004</v>
      </c>
      <c r="R3" s="42">
        <f t="shared" si="1"/>
        <v>15.540000000000001</v>
      </c>
      <c r="S3" s="43" t="s">
        <v>67</v>
      </c>
      <c r="T3" s="10"/>
      <c r="U3" s="43">
        <f>63+126+76.5+22.5+21+154</f>
        <v>463</v>
      </c>
      <c r="V3" s="10" t="s">
        <v>244</v>
      </c>
      <c r="W3" s="43">
        <f t="shared" si="2"/>
        <v>7.448519948519948</v>
      </c>
      <c r="X3" s="42">
        <v>1</v>
      </c>
      <c r="Y3" s="43">
        <f t="shared" si="3"/>
        <v>115.75</v>
      </c>
      <c r="Z3" s="10"/>
      <c r="AA3" s="10"/>
    </row>
    <row r="4" spans="1:27" ht="40" customHeight="1" x14ac:dyDescent="0.2">
      <c r="A4" s="10">
        <v>1</v>
      </c>
      <c r="B4" s="10" t="s">
        <v>811</v>
      </c>
      <c r="C4" s="10"/>
      <c r="D4" s="10"/>
      <c r="E4" s="10" t="s">
        <v>523</v>
      </c>
      <c r="F4" s="10"/>
      <c r="G4" s="10" t="s">
        <v>58</v>
      </c>
      <c r="H4" s="10"/>
      <c r="I4" s="10" t="s">
        <v>389</v>
      </c>
      <c r="J4" s="10" t="s">
        <v>284</v>
      </c>
      <c r="K4" s="10" t="s">
        <v>285</v>
      </c>
      <c r="L4" s="10"/>
      <c r="M4" s="10">
        <v>1</v>
      </c>
      <c r="N4" s="10">
        <v>1</v>
      </c>
      <c r="O4" s="10">
        <v>4</v>
      </c>
      <c r="P4" s="48">
        <v>68.7</v>
      </c>
      <c r="Q4" s="42">
        <f t="shared" si="0"/>
        <v>62.160000000000004</v>
      </c>
      <c r="R4" s="42">
        <f t="shared" si="1"/>
        <v>15.540000000000001</v>
      </c>
      <c r="S4" s="43" t="s">
        <v>290</v>
      </c>
      <c r="T4" s="10"/>
      <c r="U4" s="43">
        <f>162+5.4+16.2+3+4</f>
        <v>190.6</v>
      </c>
      <c r="V4" s="10" t="s">
        <v>244</v>
      </c>
      <c r="W4" s="43">
        <f t="shared" si="2"/>
        <v>3.0662805662805659</v>
      </c>
      <c r="X4" s="42">
        <v>1</v>
      </c>
      <c r="Y4" s="43">
        <f t="shared" si="3"/>
        <v>47.65</v>
      </c>
      <c r="Z4" s="10"/>
      <c r="AA4" s="10"/>
    </row>
    <row r="5" spans="1:27" ht="40" customHeight="1" x14ac:dyDescent="0.2">
      <c r="A5" s="10">
        <v>1</v>
      </c>
      <c r="B5" s="10" t="s">
        <v>811</v>
      </c>
      <c r="C5" s="10"/>
      <c r="D5" s="10"/>
      <c r="E5" s="10" t="s">
        <v>523</v>
      </c>
      <c r="F5" s="10"/>
      <c r="G5" s="10" t="s">
        <v>58</v>
      </c>
      <c r="H5" s="10"/>
      <c r="I5" s="10" t="s">
        <v>389</v>
      </c>
      <c r="J5" s="10" t="s">
        <v>284</v>
      </c>
      <c r="K5" s="10" t="s">
        <v>285</v>
      </c>
      <c r="L5" s="10"/>
      <c r="M5" s="10">
        <v>1</v>
      </c>
      <c r="N5" s="10">
        <v>1</v>
      </c>
      <c r="O5" s="10">
        <v>4</v>
      </c>
      <c r="P5" s="48">
        <v>68.7</v>
      </c>
      <c r="Q5" s="42">
        <f t="shared" si="0"/>
        <v>62.160000000000004</v>
      </c>
      <c r="R5" s="42">
        <f t="shared" si="1"/>
        <v>15.540000000000001</v>
      </c>
      <c r="S5" s="43" t="s">
        <v>30</v>
      </c>
      <c r="T5" s="10"/>
      <c r="U5" s="43">
        <v>588.75</v>
      </c>
      <c r="V5" s="10" t="s">
        <v>244</v>
      </c>
      <c r="W5" s="43">
        <f t="shared" si="2"/>
        <v>9.4715250965250952</v>
      </c>
      <c r="X5" s="42">
        <v>1</v>
      </c>
      <c r="Y5" s="43">
        <f t="shared" si="3"/>
        <v>147.1875</v>
      </c>
      <c r="Z5" s="10"/>
      <c r="AA5" s="10"/>
    </row>
    <row r="6" spans="1:27" ht="40" customHeight="1" x14ac:dyDescent="0.2">
      <c r="A6" s="10">
        <v>1</v>
      </c>
      <c r="B6" s="10" t="s">
        <v>811</v>
      </c>
      <c r="C6" s="10"/>
      <c r="D6" s="10"/>
      <c r="E6" s="10" t="s">
        <v>523</v>
      </c>
      <c r="F6" s="10"/>
      <c r="G6" s="10" t="s">
        <v>58</v>
      </c>
      <c r="H6" s="10"/>
      <c r="I6" s="10" t="s">
        <v>389</v>
      </c>
      <c r="J6" s="10" t="s">
        <v>284</v>
      </c>
      <c r="K6" s="10" t="s">
        <v>285</v>
      </c>
      <c r="L6" s="10"/>
      <c r="M6" s="10">
        <v>1</v>
      </c>
      <c r="N6" s="10">
        <v>1</v>
      </c>
      <c r="O6" s="10">
        <v>4</v>
      </c>
      <c r="P6" s="48">
        <v>68.7</v>
      </c>
      <c r="Q6" s="42">
        <f t="shared" si="0"/>
        <v>62.160000000000004</v>
      </c>
      <c r="R6" s="42">
        <f t="shared" si="1"/>
        <v>15.540000000000001</v>
      </c>
      <c r="S6" s="43" t="s">
        <v>435</v>
      </c>
      <c r="T6" s="10"/>
      <c r="U6" s="43">
        <v>2.25</v>
      </c>
      <c r="V6" s="10" t="s">
        <v>244</v>
      </c>
      <c r="W6" s="43">
        <f t="shared" si="2"/>
        <v>3.6196911196911194E-2</v>
      </c>
      <c r="X6" s="42">
        <v>1</v>
      </c>
      <c r="Y6" s="43">
        <f t="shared" si="3"/>
        <v>0.5625</v>
      </c>
      <c r="Z6" s="10"/>
      <c r="AA6" s="10"/>
    </row>
    <row r="7" spans="1:27" ht="40" customHeight="1" x14ac:dyDescent="0.2">
      <c r="A7" s="10">
        <v>1</v>
      </c>
      <c r="B7" s="10" t="s">
        <v>811</v>
      </c>
      <c r="C7" s="10"/>
      <c r="D7" s="10"/>
      <c r="E7" s="10" t="s">
        <v>523</v>
      </c>
      <c r="F7" s="10"/>
      <c r="G7" s="10" t="s">
        <v>58</v>
      </c>
      <c r="H7" s="10"/>
      <c r="I7" s="10" t="s">
        <v>389</v>
      </c>
      <c r="J7" s="10" t="s">
        <v>286</v>
      </c>
      <c r="K7" s="10" t="s">
        <v>287</v>
      </c>
      <c r="L7" s="10"/>
      <c r="M7" s="10">
        <v>1</v>
      </c>
      <c r="N7" s="10">
        <v>1</v>
      </c>
      <c r="O7" s="10">
        <v>5</v>
      </c>
      <c r="P7" s="48">
        <v>95.36</v>
      </c>
      <c r="Q7" s="48">
        <f t="shared" ref="Q7:Q11" si="4">(12 - 3*0.2) * (9 - 4*0.2)</f>
        <v>93.47999999999999</v>
      </c>
      <c r="R7" s="42">
        <f t="shared" si="1"/>
        <v>18.695999999999998</v>
      </c>
      <c r="S7" s="43" t="s">
        <v>65</v>
      </c>
      <c r="T7" s="10"/>
      <c r="U7" s="43">
        <f>8470+14016+81+27600+9600</f>
        <v>59767</v>
      </c>
      <c r="V7" s="10" t="s">
        <v>244</v>
      </c>
      <c r="W7" s="43">
        <f t="shared" si="2"/>
        <v>639.35601198117251</v>
      </c>
      <c r="X7" s="42">
        <v>1</v>
      </c>
      <c r="Y7" s="43">
        <f t="shared" si="3"/>
        <v>11953.4</v>
      </c>
      <c r="Z7" s="10"/>
      <c r="AA7" s="10" t="s">
        <v>289</v>
      </c>
    </row>
    <row r="8" spans="1:27" ht="40" customHeight="1" x14ac:dyDescent="0.2">
      <c r="A8" s="10">
        <v>1</v>
      </c>
      <c r="B8" s="10" t="s">
        <v>811</v>
      </c>
      <c r="C8" s="10"/>
      <c r="D8" s="10"/>
      <c r="E8" s="10" t="s">
        <v>523</v>
      </c>
      <c r="F8" s="10"/>
      <c r="G8" s="10" t="s">
        <v>58</v>
      </c>
      <c r="H8" s="10"/>
      <c r="I8" s="10" t="s">
        <v>389</v>
      </c>
      <c r="J8" s="10" t="s">
        <v>286</v>
      </c>
      <c r="K8" s="10" t="s">
        <v>287</v>
      </c>
      <c r="L8" s="10"/>
      <c r="M8" s="10">
        <v>1</v>
      </c>
      <c r="N8" s="10">
        <v>1</v>
      </c>
      <c r="O8" s="10">
        <v>5</v>
      </c>
      <c r="P8" s="48">
        <v>95.36</v>
      </c>
      <c r="Q8" s="48">
        <f t="shared" si="4"/>
        <v>93.47999999999999</v>
      </c>
      <c r="R8" s="42">
        <f t="shared" si="1"/>
        <v>18.695999999999998</v>
      </c>
      <c r="S8" s="43" t="s">
        <v>67</v>
      </c>
      <c r="T8" s="10"/>
      <c r="U8" s="43">
        <f>153+94.5+31.5+18.2+154+140</f>
        <v>591.20000000000005</v>
      </c>
      <c r="V8" s="10" t="s">
        <v>244</v>
      </c>
      <c r="W8" s="43">
        <f t="shared" si="2"/>
        <v>6.3243474540008568</v>
      </c>
      <c r="X8" s="42">
        <v>1</v>
      </c>
      <c r="Y8" s="43">
        <f t="shared" si="3"/>
        <v>118.24000000000001</v>
      </c>
      <c r="Z8" s="10"/>
      <c r="AA8" s="10"/>
    </row>
    <row r="9" spans="1:27" ht="40" customHeight="1" x14ac:dyDescent="0.2">
      <c r="A9" s="10">
        <v>1</v>
      </c>
      <c r="B9" s="10" t="s">
        <v>811</v>
      </c>
      <c r="C9" s="10"/>
      <c r="D9" s="10"/>
      <c r="E9" s="10" t="s">
        <v>523</v>
      </c>
      <c r="F9" s="10"/>
      <c r="G9" s="10" t="s">
        <v>58</v>
      </c>
      <c r="H9" s="10"/>
      <c r="I9" s="10" t="s">
        <v>389</v>
      </c>
      <c r="J9" s="10" t="s">
        <v>286</v>
      </c>
      <c r="K9" s="10" t="s">
        <v>287</v>
      </c>
      <c r="L9" s="10"/>
      <c r="M9" s="10">
        <v>1</v>
      </c>
      <c r="N9" s="10">
        <v>1</v>
      </c>
      <c r="O9" s="10">
        <v>5</v>
      </c>
      <c r="P9" s="48">
        <v>95.36</v>
      </c>
      <c r="Q9" s="48">
        <f t="shared" si="4"/>
        <v>93.47999999999999</v>
      </c>
      <c r="R9" s="42">
        <f t="shared" si="1"/>
        <v>18.695999999999998</v>
      </c>
      <c r="S9" s="43" t="s">
        <v>290</v>
      </c>
      <c r="T9" s="10"/>
      <c r="U9" s="43">
        <f>216+8.1+18.9+4+6</f>
        <v>253</v>
      </c>
      <c r="V9" s="10" t="s">
        <v>244</v>
      </c>
      <c r="W9" s="43">
        <f t="shared" si="2"/>
        <v>2.7064612751390675</v>
      </c>
      <c r="X9" s="42">
        <v>1</v>
      </c>
      <c r="Y9" s="43">
        <f t="shared" si="3"/>
        <v>50.6</v>
      </c>
      <c r="Z9" s="10"/>
      <c r="AA9" s="10"/>
    </row>
    <row r="10" spans="1:27" ht="40" customHeight="1" x14ac:dyDescent="0.2">
      <c r="A10" s="10">
        <v>1</v>
      </c>
      <c r="B10" s="10" t="s">
        <v>811</v>
      </c>
      <c r="C10" s="10"/>
      <c r="D10" s="10"/>
      <c r="E10" s="10" t="s">
        <v>523</v>
      </c>
      <c r="F10" s="10"/>
      <c r="G10" s="10" t="s">
        <v>58</v>
      </c>
      <c r="H10" s="10"/>
      <c r="I10" s="10" t="s">
        <v>389</v>
      </c>
      <c r="J10" s="10" t="s">
        <v>286</v>
      </c>
      <c r="K10" s="10" t="s">
        <v>287</v>
      </c>
      <c r="L10" s="10"/>
      <c r="M10" s="10">
        <v>1</v>
      </c>
      <c r="N10" s="10">
        <v>1</v>
      </c>
      <c r="O10" s="10">
        <v>5</v>
      </c>
      <c r="P10" s="48">
        <v>95.36</v>
      </c>
      <c r="Q10" s="48">
        <f t="shared" si="4"/>
        <v>93.47999999999999</v>
      </c>
      <c r="R10" s="42">
        <f t="shared" si="1"/>
        <v>18.695999999999998</v>
      </c>
      <c r="S10" s="43" t="s">
        <v>30</v>
      </c>
      <c r="T10" s="10"/>
      <c r="U10" s="43">
        <v>785</v>
      </c>
      <c r="V10" s="10" t="s">
        <v>244</v>
      </c>
      <c r="W10" s="43">
        <f t="shared" si="2"/>
        <v>8.397518185708174</v>
      </c>
      <c r="X10" s="42">
        <v>1</v>
      </c>
      <c r="Y10" s="43">
        <f t="shared" si="3"/>
        <v>157</v>
      </c>
      <c r="Z10" s="10"/>
      <c r="AA10" s="10"/>
    </row>
    <row r="11" spans="1:27" ht="40" customHeight="1" x14ac:dyDescent="0.2">
      <c r="A11" s="10">
        <v>1</v>
      </c>
      <c r="B11" s="10" t="s">
        <v>811</v>
      </c>
      <c r="C11" s="10"/>
      <c r="D11" s="10"/>
      <c r="E11" s="10" t="s">
        <v>523</v>
      </c>
      <c r="F11" s="10"/>
      <c r="G11" s="10" t="s">
        <v>58</v>
      </c>
      <c r="H11" s="10"/>
      <c r="I11" s="10" t="s">
        <v>389</v>
      </c>
      <c r="J11" s="10" t="s">
        <v>286</v>
      </c>
      <c r="K11" s="10" t="s">
        <v>287</v>
      </c>
      <c r="L11" s="10"/>
      <c r="M11" s="10">
        <v>1</v>
      </c>
      <c r="N11" s="10">
        <v>1</v>
      </c>
      <c r="O11" s="10">
        <v>5</v>
      </c>
      <c r="P11" s="48">
        <v>95.36</v>
      </c>
      <c r="Q11" s="48">
        <f t="shared" si="4"/>
        <v>93.47999999999999</v>
      </c>
      <c r="R11" s="42">
        <f t="shared" si="1"/>
        <v>18.695999999999998</v>
      </c>
      <c r="S11" s="43" t="s">
        <v>435</v>
      </c>
      <c r="T11" s="10"/>
      <c r="U11" s="43">
        <v>3.25</v>
      </c>
      <c r="V11" s="10" t="s">
        <v>244</v>
      </c>
      <c r="W11" s="43">
        <f t="shared" si="2"/>
        <v>3.4766795036371423E-2</v>
      </c>
      <c r="X11" s="42">
        <v>1</v>
      </c>
      <c r="Y11" s="43">
        <f t="shared" si="3"/>
        <v>0.65</v>
      </c>
      <c r="Z11" s="10"/>
      <c r="AA11" s="10"/>
    </row>
    <row r="12" spans="1:27" ht="40" customHeight="1" x14ac:dyDescent="0.2">
      <c r="A12" s="10">
        <v>2</v>
      </c>
      <c r="B12" s="10" t="s">
        <v>667</v>
      </c>
      <c r="C12" s="10" t="s">
        <v>532</v>
      </c>
      <c r="D12" s="10" t="s">
        <v>812</v>
      </c>
      <c r="E12" s="10" t="s">
        <v>533</v>
      </c>
      <c r="F12" s="10"/>
      <c r="G12" s="10" t="s">
        <v>58</v>
      </c>
      <c r="H12" s="10"/>
      <c r="I12" s="9" t="s">
        <v>439</v>
      </c>
      <c r="J12" s="10" t="s">
        <v>534</v>
      </c>
      <c r="K12" s="10" t="s">
        <v>287</v>
      </c>
      <c r="L12" s="10">
        <v>2013</v>
      </c>
      <c r="M12" s="10">
        <v>3</v>
      </c>
      <c r="N12" s="10">
        <v>6</v>
      </c>
      <c r="O12" s="10">
        <f>4*N12</f>
        <v>24</v>
      </c>
      <c r="P12" s="10">
        <v>720</v>
      </c>
      <c r="Q12" s="48">
        <f>P12*0.9</f>
        <v>648</v>
      </c>
      <c r="R12" s="10">
        <f>Q12/O12</f>
        <v>27</v>
      </c>
      <c r="S12" s="43" t="s">
        <v>30</v>
      </c>
      <c r="T12" s="10"/>
      <c r="U12" s="43">
        <v>17320</v>
      </c>
      <c r="V12" s="10" t="s">
        <v>244</v>
      </c>
      <c r="W12" s="43">
        <f t="shared" si="2"/>
        <v>26.728395061728396</v>
      </c>
      <c r="X12" s="42">
        <v>3</v>
      </c>
      <c r="Y12" s="43">
        <f t="shared" si="3"/>
        <v>721.66666666666663</v>
      </c>
      <c r="Z12" s="10"/>
      <c r="AA12" s="10"/>
    </row>
    <row r="13" spans="1:27" ht="40" customHeight="1" x14ac:dyDescent="0.2">
      <c r="A13" s="10">
        <v>2</v>
      </c>
      <c r="B13" s="10" t="s">
        <v>666</v>
      </c>
      <c r="C13" s="10"/>
      <c r="D13" s="10"/>
      <c r="E13" s="10" t="s">
        <v>533</v>
      </c>
      <c r="F13" s="10"/>
      <c r="G13" s="10" t="s">
        <v>58</v>
      </c>
      <c r="H13" s="10"/>
      <c r="I13" s="9" t="s">
        <v>439</v>
      </c>
      <c r="J13" s="10" t="s">
        <v>534</v>
      </c>
      <c r="K13" s="10" t="s">
        <v>287</v>
      </c>
      <c r="L13" s="10">
        <v>2013</v>
      </c>
      <c r="M13" s="10">
        <v>3</v>
      </c>
      <c r="N13" s="10">
        <v>6</v>
      </c>
      <c r="O13" s="10">
        <f>4*N13</f>
        <v>24</v>
      </c>
      <c r="P13" s="10">
        <v>720</v>
      </c>
      <c r="Q13" s="48">
        <f>P13*0.9</f>
        <v>648</v>
      </c>
      <c r="R13" s="10">
        <f>Q13/O13</f>
        <v>27</v>
      </c>
      <c r="S13" s="43" t="s">
        <v>67</v>
      </c>
      <c r="T13" s="10"/>
      <c r="U13" s="43">
        <v>27253</v>
      </c>
      <c r="V13" s="10" t="s">
        <v>244</v>
      </c>
      <c r="W13" s="43">
        <f t="shared" si="2"/>
        <v>42.057098765432102</v>
      </c>
      <c r="X13" s="42">
        <v>3</v>
      </c>
      <c r="Y13" s="43">
        <f t="shared" si="3"/>
        <v>1135.5416666666667</v>
      </c>
      <c r="Z13" s="10"/>
      <c r="AA13"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rgb="FFFF0000"/>
  </sheetPr>
  <dimension ref="A1:AA1"/>
  <sheetViews>
    <sheetView zoomScaleNormal="100" workbookViewId="0"/>
  </sheetViews>
  <sheetFormatPr baseColWidth="10" defaultColWidth="9.1640625" defaultRowHeight="15" x14ac:dyDescent="0.2"/>
  <cols>
    <col min="1" max="1" width="4.83203125" style="5" customWidth="1"/>
    <col min="2" max="2" width="10.6640625" style="5" customWidth="1"/>
    <col min="3" max="4" width="13" style="5" customWidth="1"/>
    <col min="5" max="6" width="25" style="5" customWidth="1"/>
    <col min="7" max="7" width="9.1640625" style="5"/>
    <col min="8" max="8" width="16.33203125" style="5" customWidth="1"/>
    <col min="9" max="9" width="27.6640625" style="5" customWidth="1"/>
    <col min="10" max="10" width="16" style="5" customWidth="1"/>
    <col min="11" max="11" width="12.5" style="5" customWidth="1"/>
    <col min="12" max="13" width="22.5" style="5" customWidth="1"/>
    <col min="14" max="14" width="23" style="5" customWidth="1"/>
    <col min="15" max="15" width="13.33203125" style="5" customWidth="1"/>
    <col min="16" max="16" width="13.5" style="5" customWidth="1"/>
    <col min="17" max="17" width="12.1640625" style="5" customWidth="1"/>
    <col min="18" max="19" width="13.33203125" style="5" customWidth="1"/>
    <col min="20" max="20" width="11.5" style="5" customWidth="1"/>
    <col min="21" max="21" width="12" style="5" customWidth="1"/>
    <col min="22" max="22" width="14.33203125" style="5" customWidth="1"/>
    <col min="23" max="23" width="16.1640625" style="5" customWidth="1"/>
    <col min="24" max="24" width="10.1640625" style="5" customWidth="1"/>
    <col min="25" max="16384" width="9.1640625" style="5"/>
  </cols>
  <sheetData>
    <row r="1" spans="1:27" ht="44.25" customHeight="1" x14ac:dyDescent="0.2">
      <c r="A1" s="6"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6" t="s">
        <v>195</v>
      </c>
      <c r="P1" s="44" t="s">
        <v>194</v>
      </c>
      <c r="Q1" s="44" t="s">
        <v>413</v>
      </c>
      <c r="R1" s="44" t="s">
        <v>414</v>
      </c>
      <c r="S1" s="44" t="s">
        <v>193</v>
      </c>
      <c r="T1" s="44" t="s">
        <v>419</v>
      </c>
      <c r="U1" s="44" t="s">
        <v>519</v>
      </c>
      <c r="V1" s="44" t="s">
        <v>192</v>
      </c>
      <c r="W1" s="44" t="s">
        <v>384</v>
      </c>
      <c r="X1" s="44" t="s">
        <v>416</v>
      </c>
      <c r="Y1" s="44" t="s">
        <v>242</v>
      </c>
      <c r="Z1" s="46" t="s">
        <v>191</v>
      </c>
      <c r="AA1" s="44" t="s">
        <v>190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rgb="FFFFC000"/>
  </sheetPr>
  <dimension ref="A1:AA3"/>
  <sheetViews>
    <sheetView zoomScaleNormal="100" workbookViewId="0"/>
  </sheetViews>
  <sheetFormatPr baseColWidth="10" defaultColWidth="8.83203125" defaultRowHeight="15" x14ac:dyDescent="0.2"/>
  <cols>
    <col min="1" max="1" width="3.83203125" customWidth="1"/>
    <col min="2" max="2" width="13" customWidth="1"/>
    <col min="3" max="3" width="32.1640625" customWidth="1"/>
    <col min="4" max="4" width="26.33203125" customWidth="1"/>
    <col min="5" max="6" width="25" customWidth="1"/>
    <col min="7" max="7" width="8.83203125" style="11"/>
    <col min="8" max="8" width="16.33203125" customWidth="1"/>
    <col min="9" max="9" width="27.6640625" customWidth="1"/>
    <col min="10" max="10" width="16" customWidth="1"/>
    <col min="11" max="11" width="12.5" customWidth="1"/>
    <col min="12" max="13" width="22.5" customWidth="1"/>
    <col min="14" max="14" width="23" customWidth="1"/>
    <col min="15" max="15" width="13.33203125" customWidth="1"/>
    <col min="16" max="16" width="13.5" customWidth="1"/>
    <col min="17" max="17" width="12.1640625" customWidth="1"/>
    <col min="18" max="18" width="12.1640625" style="11" customWidth="1"/>
    <col min="19" max="19" width="15.5" style="11" customWidth="1"/>
    <col min="20" max="20" width="13.33203125" customWidth="1"/>
    <col min="21" max="21" width="11.5" customWidth="1"/>
    <col min="23" max="23" width="14.83203125" style="30" customWidth="1"/>
    <col min="24" max="24" width="14.83203125" style="11" customWidth="1"/>
    <col min="26" max="26" width="10.1640625" customWidth="1"/>
    <col min="27" max="27" width="60.33203125" customWidth="1"/>
  </cols>
  <sheetData>
    <row r="1" spans="1:27" ht="46.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241</v>
      </c>
      <c r="R1" s="44" t="s">
        <v>414</v>
      </c>
      <c r="S1" s="44" t="s">
        <v>193</v>
      </c>
      <c r="T1" s="44" t="s">
        <v>419</v>
      </c>
      <c r="U1" s="44" t="s">
        <v>519</v>
      </c>
      <c r="V1" s="44" t="s">
        <v>192</v>
      </c>
      <c r="W1" s="44" t="s">
        <v>384</v>
      </c>
      <c r="X1" s="44" t="s">
        <v>416</v>
      </c>
      <c r="Y1" s="44" t="s">
        <v>242</v>
      </c>
      <c r="Z1" s="44" t="s">
        <v>191</v>
      </c>
      <c r="AA1" s="44" t="s">
        <v>190</v>
      </c>
    </row>
    <row r="2" spans="1:27" ht="40" customHeight="1" x14ac:dyDescent="0.2">
      <c r="A2" s="10">
        <v>1</v>
      </c>
      <c r="B2" s="10" t="s">
        <v>669</v>
      </c>
      <c r="C2" s="10" t="s">
        <v>294</v>
      </c>
      <c r="D2" s="10" t="s">
        <v>813</v>
      </c>
      <c r="E2" s="10" t="s">
        <v>535</v>
      </c>
      <c r="F2" s="10"/>
      <c r="G2" s="10" t="s">
        <v>58</v>
      </c>
      <c r="H2" s="10"/>
      <c r="I2" s="10" t="s">
        <v>389</v>
      </c>
      <c r="J2" s="10" t="s">
        <v>292</v>
      </c>
      <c r="K2" s="10"/>
      <c r="L2" s="10"/>
      <c r="M2" s="10"/>
      <c r="N2" s="10"/>
      <c r="O2" s="10">
        <v>3</v>
      </c>
      <c r="P2" s="10"/>
      <c r="Q2" s="10">
        <v>41</v>
      </c>
      <c r="R2" s="43">
        <f>Q2/O2</f>
        <v>13.666666666666666</v>
      </c>
      <c r="S2" s="10" t="s">
        <v>412</v>
      </c>
      <c r="T2" s="10"/>
      <c r="U2" s="10">
        <v>31.4</v>
      </c>
      <c r="V2" s="10" t="s">
        <v>244</v>
      </c>
      <c r="W2" s="43">
        <f>U2/Q2</f>
        <v>0.76585365853658538</v>
      </c>
      <c r="X2" s="10">
        <v>1</v>
      </c>
      <c r="Y2" s="10"/>
      <c r="Z2" s="10"/>
      <c r="AA2" s="10" t="s">
        <v>893</v>
      </c>
    </row>
    <row r="3" spans="1:27" ht="40" customHeight="1" x14ac:dyDescent="0.2">
      <c r="A3" s="10">
        <v>1</v>
      </c>
      <c r="B3" s="10" t="s">
        <v>668</v>
      </c>
      <c r="C3" s="10"/>
      <c r="D3" s="10"/>
      <c r="E3" s="10" t="s">
        <v>535</v>
      </c>
      <c r="F3" s="10"/>
      <c r="G3" s="10" t="s">
        <v>58</v>
      </c>
      <c r="H3" s="10"/>
      <c r="I3" s="9" t="s">
        <v>439</v>
      </c>
      <c r="J3" s="10" t="s">
        <v>293</v>
      </c>
      <c r="K3" s="10"/>
      <c r="L3" s="10"/>
      <c r="M3" s="10"/>
      <c r="N3" s="10"/>
      <c r="O3" s="10">
        <v>3</v>
      </c>
      <c r="P3" s="10"/>
      <c r="Q3" s="10">
        <v>41</v>
      </c>
      <c r="R3" s="43">
        <f>Q3/O3</f>
        <v>13.666666666666666</v>
      </c>
      <c r="S3" s="10" t="s">
        <v>412</v>
      </c>
      <c r="T3" s="10"/>
      <c r="U3" s="10">
        <v>16</v>
      </c>
      <c r="V3" s="10" t="s">
        <v>244</v>
      </c>
      <c r="W3" s="43">
        <f>U3/Q3</f>
        <v>0.3902439024390244</v>
      </c>
      <c r="X3" s="10">
        <v>3</v>
      </c>
      <c r="Y3" s="10"/>
      <c r="Z3" s="10"/>
      <c r="AA3" s="10"/>
    </row>
  </sheetData>
  <pageMargins left="0.7" right="0.7" top="0.75" bottom="0.75" header="0.3" footer="0.3"/>
  <pageSetup paperSize="9" orientation="portrait" horizontalDpi="0"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7D2E0-6398-4021-91E6-DA2F24C14AE0}">
  <sheetPr>
    <tabColor rgb="FF00B050"/>
  </sheetPr>
  <dimension ref="A1:AB391"/>
  <sheetViews>
    <sheetView topLeftCell="B1" zoomScale="63" zoomScaleNormal="100" workbookViewId="0">
      <selection activeCell="B315" sqref="B314:B315"/>
    </sheetView>
  </sheetViews>
  <sheetFormatPr baseColWidth="10" defaultColWidth="9.1640625" defaultRowHeight="15" x14ac:dyDescent="0.2"/>
  <cols>
    <col min="1" max="1" width="4.5" style="11" customWidth="1"/>
    <col min="2" max="2" width="14.6640625" style="10" customWidth="1"/>
    <col min="3" max="3" width="36" style="11" customWidth="1"/>
    <col min="4" max="4" width="19.83203125" style="11" customWidth="1"/>
    <col min="5" max="5" width="19.5" style="11" customWidth="1"/>
    <col min="6" max="6" width="15" style="11" customWidth="1"/>
    <col min="7" max="7" width="9.1640625" style="11"/>
    <col min="8" max="8" width="37" style="11" customWidth="1"/>
    <col min="9" max="9" width="19" style="11" customWidth="1"/>
    <col min="10" max="10" width="16" style="11" customWidth="1"/>
    <col min="11" max="13" width="22.5" style="11" customWidth="1"/>
    <col min="14" max="14" width="23" style="11" customWidth="1"/>
    <col min="15" max="15" width="13.33203125" style="11" customWidth="1"/>
    <col min="16" max="16" width="13.5" style="11" customWidth="1"/>
    <col min="17" max="17" width="12.1640625" style="11" customWidth="1"/>
    <col min="18" max="18" width="13.33203125" style="11" customWidth="1"/>
    <col min="19" max="19" width="12.6640625" style="11" customWidth="1"/>
    <col min="20" max="20" width="9.1640625" style="11"/>
    <col min="21" max="21" width="10.6640625" style="11" bestFit="1" customWidth="1"/>
    <col min="22" max="22" width="9.1640625" style="11"/>
    <col min="23" max="23" width="9.1640625" style="30"/>
    <col min="24" max="24" width="10.1640625" style="11" customWidth="1"/>
    <col min="25" max="25" width="9.1640625" style="11"/>
    <col min="26" max="26" width="9.1640625" style="30"/>
    <col min="27" max="27" width="12" style="10" customWidth="1"/>
    <col min="28" max="28" width="10.1640625" style="10" customWidth="1"/>
    <col min="29" max="16384" width="9.1640625" style="11"/>
  </cols>
  <sheetData>
    <row r="1" spans="1:28"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413</v>
      </c>
      <c r="R1" s="44" t="s">
        <v>414</v>
      </c>
      <c r="S1" s="44" t="s">
        <v>193</v>
      </c>
      <c r="T1" s="44" t="s">
        <v>419</v>
      </c>
      <c r="U1" s="44" t="s">
        <v>519</v>
      </c>
      <c r="V1" s="44" t="s">
        <v>192</v>
      </c>
      <c r="W1" s="44" t="s">
        <v>384</v>
      </c>
      <c r="X1" s="44" t="s">
        <v>416</v>
      </c>
      <c r="Y1" s="44" t="s">
        <v>242</v>
      </c>
      <c r="Z1" s="44" t="s">
        <v>191</v>
      </c>
      <c r="AA1" s="44" t="s">
        <v>190</v>
      </c>
      <c r="AB1" s="44" t="s">
        <v>190</v>
      </c>
    </row>
    <row r="2" spans="1:28" ht="40" customHeight="1" x14ac:dyDescent="0.2">
      <c r="A2" s="10">
        <v>1</v>
      </c>
      <c r="B2" s="10" t="s">
        <v>670</v>
      </c>
      <c r="C2" s="7" t="s">
        <v>742</v>
      </c>
      <c r="D2" s="10" t="s">
        <v>814</v>
      </c>
      <c r="E2" s="10" t="s">
        <v>905</v>
      </c>
      <c r="F2" s="10"/>
      <c r="G2" s="10" t="s">
        <v>58</v>
      </c>
      <c r="H2" s="10" t="s">
        <v>189</v>
      </c>
      <c r="I2" s="10" t="s">
        <v>389</v>
      </c>
      <c r="J2" s="10" t="s">
        <v>301</v>
      </c>
      <c r="K2" s="10" t="s">
        <v>119</v>
      </c>
      <c r="L2" s="10" t="s">
        <v>140</v>
      </c>
      <c r="M2" s="10">
        <v>2</v>
      </c>
      <c r="N2" s="10" t="s">
        <v>295</v>
      </c>
      <c r="O2" s="10">
        <v>4.2</v>
      </c>
      <c r="P2" s="10">
        <f t="shared" ref="P2:P19" si="0">(10*9)*M2</f>
        <v>180</v>
      </c>
      <c r="Q2" s="10">
        <f t="shared" ref="Q2:Q4" si="1">((10-2*0.5)*(9-2*0.5))*M2</f>
        <v>144</v>
      </c>
      <c r="R2" s="10">
        <f t="shared" ref="R2:R65" si="2">Q2/O2</f>
        <v>34.285714285714285</v>
      </c>
      <c r="S2" s="10" t="s">
        <v>67</v>
      </c>
      <c r="T2" s="10"/>
      <c r="U2" s="10">
        <f>4000+1750+2500+2484+1250+1242</f>
        <v>13226</v>
      </c>
      <c r="V2" s="10" t="s">
        <v>244</v>
      </c>
      <c r="W2" s="43">
        <f t="shared" ref="W2:W65" si="3">U2/Q2</f>
        <v>91.847222222222229</v>
      </c>
      <c r="X2" s="10">
        <v>1</v>
      </c>
      <c r="Y2" s="43"/>
      <c r="Z2" s="42"/>
    </row>
    <row r="3" spans="1:28" ht="40" customHeight="1" x14ac:dyDescent="0.2">
      <c r="A3" s="9">
        <v>1</v>
      </c>
      <c r="B3" s="10" t="s">
        <v>670</v>
      </c>
      <c r="C3" s="10"/>
      <c r="D3" s="10"/>
      <c r="E3" s="10" t="s">
        <v>538</v>
      </c>
      <c r="F3" s="10"/>
      <c r="G3" s="10" t="s">
        <v>58</v>
      </c>
      <c r="H3" s="10"/>
      <c r="I3" s="10" t="s">
        <v>389</v>
      </c>
      <c r="J3" s="10" t="s">
        <v>302</v>
      </c>
      <c r="K3" s="10" t="s">
        <v>188</v>
      </c>
      <c r="L3" s="10" t="s">
        <v>140</v>
      </c>
      <c r="M3" s="10">
        <v>2</v>
      </c>
      <c r="N3" s="10" t="s">
        <v>296</v>
      </c>
      <c r="O3" s="10">
        <v>4.2</v>
      </c>
      <c r="P3" s="10">
        <f t="shared" si="0"/>
        <v>180</v>
      </c>
      <c r="Q3" s="10">
        <f t="shared" si="1"/>
        <v>144</v>
      </c>
      <c r="R3" s="10">
        <f t="shared" si="2"/>
        <v>34.285714285714285</v>
      </c>
      <c r="S3" s="10" t="s">
        <v>67</v>
      </c>
      <c r="T3" s="10"/>
      <c r="U3" s="10">
        <f>400+1750+2500+2484+1242</f>
        <v>8376</v>
      </c>
      <c r="V3" s="10" t="s">
        <v>244</v>
      </c>
      <c r="W3" s="43">
        <f t="shared" si="3"/>
        <v>58.166666666666664</v>
      </c>
      <c r="X3" s="10">
        <v>1</v>
      </c>
      <c r="Y3" s="43"/>
      <c r="Z3" s="42"/>
    </row>
    <row r="4" spans="1:28" ht="40" customHeight="1" x14ac:dyDescent="0.2">
      <c r="A4" s="9">
        <v>1</v>
      </c>
      <c r="B4" s="10" t="s">
        <v>670</v>
      </c>
      <c r="C4" s="10"/>
      <c r="D4" s="10"/>
      <c r="E4" s="10" t="s">
        <v>538</v>
      </c>
      <c r="F4" s="10"/>
      <c r="G4" s="10" t="s">
        <v>58</v>
      </c>
      <c r="H4" s="10"/>
      <c r="I4" s="10" t="s">
        <v>389</v>
      </c>
      <c r="J4" s="10" t="s">
        <v>303</v>
      </c>
      <c r="K4" s="10" t="s">
        <v>187</v>
      </c>
      <c r="L4" s="10" t="s">
        <v>140</v>
      </c>
      <c r="M4" s="10">
        <v>2</v>
      </c>
      <c r="N4" s="10" t="s">
        <v>186</v>
      </c>
      <c r="O4" s="10">
        <v>4.5</v>
      </c>
      <c r="P4" s="10">
        <f t="shared" si="0"/>
        <v>180</v>
      </c>
      <c r="Q4" s="10">
        <f t="shared" si="1"/>
        <v>144</v>
      </c>
      <c r="R4" s="10">
        <f t="shared" si="2"/>
        <v>32</v>
      </c>
      <c r="S4" s="10" t="s">
        <v>67</v>
      </c>
      <c r="T4" s="10"/>
      <c r="U4" s="10">
        <f>400+1259+5200+1250+1242</f>
        <v>9351</v>
      </c>
      <c r="V4" s="10" t="s">
        <v>244</v>
      </c>
      <c r="W4" s="43">
        <f t="shared" si="3"/>
        <v>64.9375</v>
      </c>
      <c r="X4" s="10">
        <v>1</v>
      </c>
      <c r="Y4" s="43"/>
      <c r="Z4" s="42"/>
    </row>
    <row r="5" spans="1:28" ht="40" customHeight="1" x14ac:dyDescent="0.2">
      <c r="A5" s="9">
        <v>1</v>
      </c>
      <c r="B5" s="10" t="s">
        <v>670</v>
      </c>
      <c r="C5" s="10"/>
      <c r="D5" s="10"/>
      <c r="E5" s="10" t="s">
        <v>538</v>
      </c>
      <c r="F5" s="10"/>
      <c r="G5" s="10" t="s">
        <v>58</v>
      </c>
      <c r="H5" s="10"/>
      <c r="I5" s="10" t="s">
        <v>389</v>
      </c>
      <c r="J5" s="10" t="s">
        <v>304</v>
      </c>
      <c r="K5" s="10" t="s">
        <v>151</v>
      </c>
      <c r="L5" s="10" t="s">
        <v>172</v>
      </c>
      <c r="M5" s="10">
        <v>1</v>
      </c>
      <c r="N5" s="10" t="s">
        <v>185</v>
      </c>
      <c r="O5" s="10">
        <v>3.8</v>
      </c>
      <c r="P5" s="10">
        <f t="shared" si="0"/>
        <v>90</v>
      </c>
      <c r="Q5" s="10">
        <f t="shared" ref="Q5:Q18" si="4">((10-2*0.3)*(9-2*0.3))*M5</f>
        <v>78.960000000000008</v>
      </c>
      <c r="R5" s="10">
        <f t="shared" si="2"/>
        <v>20.778947368421054</v>
      </c>
      <c r="S5" s="10" t="s">
        <v>65</v>
      </c>
      <c r="T5" s="10"/>
      <c r="U5" s="10">
        <f>(17.3+38.4+34.6+21.6+30)*1000</f>
        <v>141900</v>
      </c>
      <c r="V5" s="10" t="s">
        <v>244</v>
      </c>
      <c r="W5" s="43">
        <f t="shared" si="3"/>
        <v>1797.1124620060789</v>
      </c>
      <c r="X5" s="10">
        <v>1</v>
      </c>
      <c r="Y5" s="43"/>
      <c r="Z5" s="42"/>
    </row>
    <row r="6" spans="1:28" ht="40" customHeight="1" x14ac:dyDescent="0.2">
      <c r="A6" s="9">
        <v>1</v>
      </c>
      <c r="B6" s="10" t="s">
        <v>670</v>
      </c>
      <c r="C6" s="10"/>
      <c r="D6" s="10"/>
      <c r="E6" s="10" t="s">
        <v>538</v>
      </c>
      <c r="F6" s="10"/>
      <c r="G6" s="10" t="s">
        <v>58</v>
      </c>
      <c r="H6" s="10"/>
      <c r="I6" s="10" t="s">
        <v>389</v>
      </c>
      <c r="J6" s="10" t="s">
        <v>304</v>
      </c>
      <c r="K6" s="10" t="s">
        <v>151</v>
      </c>
      <c r="L6" s="10" t="s">
        <v>172</v>
      </c>
      <c r="M6" s="10">
        <v>1</v>
      </c>
      <c r="N6" s="10" t="s">
        <v>185</v>
      </c>
      <c r="O6" s="10">
        <v>3.8</v>
      </c>
      <c r="P6" s="10">
        <f t="shared" si="0"/>
        <v>90</v>
      </c>
      <c r="Q6" s="10">
        <f t="shared" si="4"/>
        <v>78.960000000000008</v>
      </c>
      <c r="R6" s="10">
        <f t="shared" si="2"/>
        <v>20.778947368421054</v>
      </c>
      <c r="S6" s="10" t="s">
        <v>67</v>
      </c>
      <c r="T6" s="10"/>
      <c r="U6" s="10">
        <f>400+1750+250</f>
        <v>2400</v>
      </c>
      <c r="V6" s="10" t="s">
        <v>244</v>
      </c>
      <c r="W6" s="43">
        <f t="shared" si="3"/>
        <v>30.3951367781155</v>
      </c>
      <c r="X6" s="10">
        <v>1</v>
      </c>
      <c r="Y6" s="43"/>
      <c r="Z6" s="42"/>
    </row>
    <row r="7" spans="1:28" ht="40" customHeight="1" x14ac:dyDescent="0.2">
      <c r="A7" s="9">
        <v>1</v>
      </c>
      <c r="B7" s="10" t="s">
        <v>670</v>
      </c>
      <c r="C7" s="10"/>
      <c r="D7" s="10"/>
      <c r="E7" s="10" t="s">
        <v>538</v>
      </c>
      <c r="F7" s="10"/>
      <c r="G7" s="10" t="s">
        <v>58</v>
      </c>
      <c r="H7" s="10"/>
      <c r="I7" s="10" t="s">
        <v>389</v>
      </c>
      <c r="J7" s="10" t="s">
        <v>305</v>
      </c>
      <c r="K7" s="10" t="s">
        <v>183</v>
      </c>
      <c r="L7" s="10" t="s">
        <v>166</v>
      </c>
      <c r="M7" s="10">
        <v>1</v>
      </c>
      <c r="N7" s="10" t="s">
        <v>184</v>
      </c>
      <c r="O7" s="10">
        <v>4</v>
      </c>
      <c r="P7" s="10">
        <f t="shared" si="0"/>
        <v>90</v>
      </c>
      <c r="Q7" s="10">
        <f t="shared" si="4"/>
        <v>78.960000000000008</v>
      </c>
      <c r="R7" s="10">
        <f t="shared" si="2"/>
        <v>19.740000000000002</v>
      </c>
      <c r="S7" s="10" t="s">
        <v>65</v>
      </c>
      <c r="T7" s="10"/>
      <c r="U7" s="10">
        <f>69120+38400+34560+21600+30000</f>
        <v>193680</v>
      </c>
      <c r="V7" s="10" t="s">
        <v>244</v>
      </c>
      <c r="W7" s="43">
        <f t="shared" si="3"/>
        <v>2452.8875379939209</v>
      </c>
      <c r="X7" s="10">
        <v>1</v>
      </c>
      <c r="Y7" s="43"/>
      <c r="Z7" s="42"/>
    </row>
    <row r="8" spans="1:28" ht="40" customHeight="1" x14ac:dyDescent="0.2">
      <c r="A8" s="9">
        <v>1</v>
      </c>
      <c r="B8" s="10" t="s">
        <v>670</v>
      </c>
      <c r="C8" s="10"/>
      <c r="D8" s="10"/>
      <c r="E8" s="10" t="s">
        <v>538</v>
      </c>
      <c r="F8" s="10"/>
      <c r="G8" s="10" t="s">
        <v>58</v>
      </c>
      <c r="H8" s="10"/>
      <c r="I8" s="10" t="s">
        <v>389</v>
      </c>
      <c r="J8" s="10" t="s">
        <v>305</v>
      </c>
      <c r="K8" s="10" t="s">
        <v>183</v>
      </c>
      <c r="L8" s="10" t="s">
        <v>166</v>
      </c>
      <c r="M8" s="10">
        <v>1</v>
      </c>
      <c r="N8" s="10" t="s">
        <v>184</v>
      </c>
      <c r="O8" s="10">
        <v>4</v>
      </c>
      <c r="P8" s="10">
        <f t="shared" si="0"/>
        <v>90</v>
      </c>
      <c r="Q8" s="10">
        <f t="shared" si="4"/>
        <v>78.960000000000008</v>
      </c>
      <c r="R8" s="10">
        <f t="shared" si="2"/>
        <v>19.740000000000002</v>
      </c>
      <c r="S8" s="10" t="s">
        <v>67</v>
      </c>
      <c r="T8" s="10"/>
      <c r="U8" s="10">
        <f>400+1750+250</f>
        <v>2400</v>
      </c>
      <c r="V8" s="10" t="s">
        <v>244</v>
      </c>
      <c r="W8" s="43">
        <f t="shared" si="3"/>
        <v>30.3951367781155</v>
      </c>
      <c r="X8" s="10">
        <v>1</v>
      </c>
      <c r="Y8" s="43"/>
      <c r="Z8" s="42"/>
    </row>
    <row r="9" spans="1:28" ht="40" customHeight="1" x14ac:dyDescent="0.2">
      <c r="A9" s="9">
        <v>1</v>
      </c>
      <c r="B9" s="10" t="s">
        <v>670</v>
      </c>
      <c r="C9" s="10"/>
      <c r="D9" s="10"/>
      <c r="E9" s="10" t="s">
        <v>538</v>
      </c>
      <c r="F9" s="10"/>
      <c r="G9" s="10" t="s">
        <v>58</v>
      </c>
      <c r="H9" s="10"/>
      <c r="I9" s="10" t="s">
        <v>389</v>
      </c>
      <c r="J9" s="10" t="s">
        <v>306</v>
      </c>
      <c r="K9" s="10" t="s">
        <v>183</v>
      </c>
      <c r="L9" s="10" t="s">
        <v>68</v>
      </c>
      <c r="M9" s="10">
        <v>1</v>
      </c>
      <c r="N9" s="10" t="s">
        <v>178</v>
      </c>
      <c r="O9" s="10">
        <v>4</v>
      </c>
      <c r="P9" s="10">
        <f t="shared" si="0"/>
        <v>90</v>
      </c>
      <c r="Q9" s="10">
        <f t="shared" si="4"/>
        <v>78.960000000000008</v>
      </c>
      <c r="R9" s="10">
        <f t="shared" si="2"/>
        <v>19.740000000000002</v>
      </c>
      <c r="S9" s="10" t="s">
        <v>65</v>
      </c>
      <c r="T9" s="10"/>
      <c r="U9" s="10">
        <f>69120+38400+34560+21600+30000</f>
        <v>193680</v>
      </c>
      <c r="V9" s="10" t="s">
        <v>244</v>
      </c>
      <c r="W9" s="43">
        <f t="shared" si="3"/>
        <v>2452.8875379939209</v>
      </c>
      <c r="X9" s="10">
        <v>1</v>
      </c>
      <c r="Y9" s="43"/>
      <c r="Z9" s="42"/>
    </row>
    <row r="10" spans="1:28" ht="40" customHeight="1" x14ac:dyDescent="0.2">
      <c r="A10" s="9">
        <v>1</v>
      </c>
      <c r="B10" s="10" t="s">
        <v>670</v>
      </c>
      <c r="C10" s="10"/>
      <c r="D10" s="10"/>
      <c r="E10" s="10" t="s">
        <v>538</v>
      </c>
      <c r="F10" s="10"/>
      <c r="G10" s="10" t="s">
        <v>58</v>
      </c>
      <c r="H10" s="10"/>
      <c r="I10" s="10" t="s">
        <v>389</v>
      </c>
      <c r="J10" s="10" t="s">
        <v>306</v>
      </c>
      <c r="K10" s="10" t="s">
        <v>183</v>
      </c>
      <c r="L10" s="10" t="s">
        <v>68</v>
      </c>
      <c r="M10" s="10">
        <v>1</v>
      </c>
      <c r="N10" s="10" t="s">
        <v>178</v>
      </c>
      <c r="O10" s="10">
        <v>4</v>
      </c>
      <c r="P10" s="10">
        <f t="shared" si="0"/>
        <v>90</v>
      </c>
      <c r="Q10" s="10">
        <f t="shared" si="4"/>
        <v>78.960000000000008</v>
      </c>
      <c r="R10" s="10">
        <f t="shared" si="2"/>
        <v>19.740000000000002</v>
      </c>
      <c r="S10" s="10" t="s">
        <v>67</v>
      </c>
      <c r="T10" s="10"/>
      <c r="U10" s="10">
        <f>400+1750+250</f>
        <v>2400</v>
      </c>
      <c r="V10" s="10" t="s">
        <v>244</v>
      </c>
      <c r="W10" s="43">
        <f t="shared" si="3"/>
        <v>30.3951367781155</v>
      </c>
      <c r="X10" s="10">
        <v>1</v>
      </c>
      <c r="Y10" s="43"/>
      <c r="Z10" s="42"/>
    </row>
    <row r="11" spans="1:28" ht="40" customHeight="1" x14ac:dyDescent="0.2">
      <c r="A11" s="9">
        <v>1</v>
      </c>
      <c r="B11" s="10" t="s">
        <v>670</v>
      </c>
      <c r="C11" s="10"/>
      <c r="D11" s="10"/>
      <c r="E11" s="10" t="s">
        <v>538</v>
      </c>
      <c r="F11" s="10"/>
      <c r="G11" s="10" t="s">
        <v>58</v>
      </c>
      <c r="H11" s="10"/>
      <c r="I11" s="10" t="s">
        <v>389</v>
      </c>
      <c r="J11" s="10" t="s">
        <v>308</v>
      </c>
      <c r="K11" s="10" t="s">
        <v>181</v>
      </c>
      <c r="L11" s="10" t="s">
        <v>166</v>
      </c>
      <c r="M11" s="10">
        <v>1</v>
      </c>
      <c r="N11" s="10" t="s">
        <v>182</v>
      </c>
      <c r="O11" s="10">
        <v>4</v>
      </c>
      <c r="P11" s="10">
        <f t="shared" si="0"/>
        <v>90</v>
      </c>
      <c r="Q11" s="10">
        <f t="shared" si="4"/>
        <v>78.960000000000008</v>
      </c>
      <c r="R11" s="10">
        <f t="shared" si="2"/>
        <v>19.740000000000002</v>
      </c>
      <c r="S11" s="10" t="s">
        <v>65</v>
      </c>
      <c r="T11" s="10"/>
      <c r="U11" s="10">
        <f>69120+38400+34560+21600+30000</f>
        <v>193680</v>
      </c>
      <c r="V11" s="10" t="s">
        <v>244</v>
      </c>
      <c r="W11" s="43">
        <f t="shared" si="3"/>
        <v>2452.8875379939209</v>
      </c>
      <c r="X11" s="10">
        <v>1</v>
      </c>
      <c r="Y11" s="43"/>
      <c r="Z11" s="42"/>
    </row>
    <row r="12" spans="1:28" ht="40" customHeight="1" x14ac:dyDescent="0.2">
      <c r="A12" s="9">
        <v>1</v>
      </c>
      <c r="B12" s="10" t="s">
        <v>670</v>
      </c>
      <c r="C12" s="10"/>
      <c r="D12" s="10"/>
      <c r="E12" s="10" t="s">
        <v>538</v>
      </c>
      <c r="F12" s="10"/>
      <c r="G12" s="10" t="s">
        <v>58</v>
      </c>
      <c r="H12" s="10"/>
      <c r="I12" s="10" t="s">
        <v>389</v>
      </c>
      <c r="J12" s="10" t="s">
        <v>308</v>
      </c>
      <c r="K12" s="10" t="s">
        <v>181</v>
      </c>
      <c r="L12" s="10" t="s">
        <v>166</v>
      </c>
      <c r="M12" s="10">
        <v>1</v>
      </c>
      <c r="N12" s="10" t="s">
        <v>182</v>
      </c>
      <c r="O12" s="10">
        <v>4</v>
      </c>
      <c r="P12" s="10">
        <f t="shared" si="0"/>
        <v>90</v>
      </c>
      <c r="Q12" s="10">
        <f t="shared" si="4"/>
        <v>78.960000000000008</v>
      </c>
      <c r="R12" s="10">
        <f t="shared" si="2"/>
        <v>19.740000000000002</v>
      </c>
      <c r="S12" s="10" t="s">
        <v>67</v>
      </c>
      <c r="T12" s="10"/>
      <c r="U12" s="10">
        <v>400</v>
      </c>
      <c r="V12" s="10" t="s">
        <v>244</v>
      </c>
      <c r="W12" s="43">
        <f t="shared" si="3"/>
        <v>5.0658561296859164</v>
      </c>
      <c r="X12" s="10">
        <v>1</v>
      </c>
      <c r="Y12" s="43"/>
      <c r="Z12" s="42"/>
    </row>
    <row r="13" spans="1:28" ht="40" customHeight="1" x14ac:dyDescent="0.2">
      <c r="A13" s="9">
        <v>1</v>
      </c>
      <c r="B13" s="10" t="s">
        <v>670</v>
      </c>
      <c r="C13" s="10"/>
      <c r="D13" s="10"/>
      <c r="E13" s="10" t="s">
        <v>538</v>
      </c>
      <c r="F13" s="10"/>
      <c r="G13" s="10" t="s">
        <v>58</v>
      </c>
      <c r="H13" s="10"/>
      <c r="I13" s="10" t="s">
        <v>389</v>
      </c>
      <c r="J13" s="10" t="s">
        <v>307</v>
      </c>
      <c r="K13" s="10" t="s">
        <v>181</v>
      </c>
      <c r="L13" s="10" t="s">
        <v>68</v>
      </c>
      <c r="M13" s="10">
        <v>1</v>
      </c>
      <c r="N13" s="10" t="s">
        <v>178</v>
      </c>
      <c r="O13" s="10">
        <v>4</v>
      </c>
      <c r="P13" s="10">
        <f t="shared" si="0"/>
        <v>90</v>
      </c>
      <c r="Q13" s="10">
        <f t="shared" si="4"/>
        <v>78.960000000000008</v>
      </c>
      <c r="R13" s="10">
        <f t="shared" si="2"/>
        <v>19.740000000000002</v>
      </c>
      <c r="S13" s="10" t="s">
        <v>65</v>
      </c>
      <c r="T13" s="10"/>
      <c r="U13" s="10">
        <f>34560+69120+38400+34566+21600+30000</f>
        <v>228246</v>
      </c>
      <c r="V13" s="10" t="s">
        <v>244</v>
      </c>
      <c r="W13" s="43">
        <f t="shared" si="3"/>
        <v>2890.6534954407293</v>
      </c>
      <c r="X13" s="10">
        <v>1</v>
      </c>
      <c r="Y13" s="43"/>
      <c r="Z13" s="42"/>
    </row>
    <row r="14" spans="1:28" ht="40" customHeight="1" x14ac:dyDescent="0.2">
      <c r="A14" s="9">
        <v>1</v>
      </c>
      <c r="B14" s="10" t="s">
        <v>670</v>
      </c>
      <c r="C14" s="10"/>
      <c r="D14" s="10"/>
      <c r="E14" s="10" t="s">
        <v>538</v>
      </c>
      <c r="F14" s="10"/>
      <c r="G14" s="10" t="s">
        <v>58</v>
      </c>
      <c r="H14" s="10"/>
      <c r="I14" s="10" t="s">
        <v>389</v>
      </c>
      <c r="J14" s="10" t="s">
        <v>307</v>
      </c>
      <c r="K14" s="10" t="s">
        <v>181</v>
      </c>
      <c r="L14" s="10" t="s">
        <v>68</v>
      </c>
      <c r="M14" s="10">
        <v>1</v>
      </c>
      <c r="N14" s="10" t="s">
        <v>178</v>
      </c>
      <c r="O14" s="10">
        <v>4</v>
      </c>
      <c r="P14" s="10">
        <f t="shared" si="0"/>
        <v>90</v>
      </c>
      <c r="Q14" s="10">
        <f t="shared" si="4"/>
        <v>78.960000000000008</v>
      </c>
      <c r="R14" s="10">
        <f t="shared" si="2"/>
        <v>19.740000000000002</v>
      </c>
      <c r="S14" s="10" t="s">
        <v>67</v>
      </c>
      <c r="T14" s="10"/>
      <c r="U14" s="10">
        <v>400</v>
      </c>
      <c r="V14" s="10" t="s">
        <v>244</v>
      </c>
      <c r="W14" s="43">
        <f t="shared" si="3"/>
        <v>5.0658561296859164</v>
      </c>
      <c r="X14" s="10">
        <v>1</v>
      </c>
      <c r="Y14" s="47"/>
      <c r="Z14" s="43"/>
      <c r="AA14" s="31"/>
    </row>
    <row r="15" spans="1:28" ht="40" customHeight="1" x14ac:dyDescent="0.2">
      <c r="A15" s="9">
        <v>1</v>
      </c>
      <c r="B15" s="10" t="s">
        <v>670</v>
      </c>
      <c r="C15" s="10"/>
      <c r="D15" s="10"/>
      <c r="E15" s="10" t="s">
        <v>538</v>
      </c>
      <c r="F15" s="10"/>
      <c r="G15" s="10" t="s">
        <v>58</v>
      </c>
      <c r="H15" s="10"/>
      <c r="I15" s="10" t="s">
        <v>389</v>
      </c>
      <c r="J15" s="10" t="s">
        <v>309</v>
      </c>
      <c r="K15" s="10" t="s">
        <v>179</v>
      </c>
      <c r="L15" s="10" t="s">
        <v>169</v>
      </c>
      <c r="M15" s="10">
        <v>1</v>
      </c>
      <c r="N15" s="10" t="s">
        <v>180</v>
      </c>
      <c r="O15" s="10">
        <v>4</v>
      </c>
      <c r="P15" s="10">
        <f t="shared" si="0"/>
        <v>90</v>
      </c>
      <c r="Q15" s="10">
        <f t="shared" si="4"/>
        <v>78.960000000000008</v>
      </c>
      <c r="R15" s="10">
        <f t="shared" si="2"/>
        <v>19.740000000000002</v>
      </c>
      <c r="S15" s="10" t="s">
        <v>65</v>
      </c>
      <c r="T15" s="10"/>
      <c r="U15" s="10">
        <f>69120+38400+34560+21600+30000</f>
        <v>193680</v>
      </c>
      <c r="V15" s="10" t="s">
        <v>244</v>
      </c>
      <c r="W15" s="43">
        <f t="shared" si="3"/>
        <v>2452.8875379939209</v>
      </c>
      <c r="X15" s="10">
        <v>1</v>
      </c>
      <c r="Y15" s="47"/>
      <c r="Z15" s="43"/>
      <c r="AA15" s="31"/>
    </row>
    <row r="16" spans="1:28" ht="40" customHeight="1" x14ac:dyDescent="0.2">
      <c r="A16" s="9">
        <v>1</v>
      </c>
      <c r="B16" s="10" t="s">
        <v>670</v>
      </c>
      <c r="C16" s="10"/>
      <c r="D16" s="10"/>
      <c r="E16" s="10" t="s">
        <v>538</v>
      </c>
      <c r="F16" s="10"/>
      <c r="G16" s="10" t="s">
        <v>58</v>
      </c>
      <c r="H16" s="10"/>
      <c r="I16" s="10" t="s">
        <v>389</v>
      </c>
      <c r="J16" s="10" t="s">
        <v>309</v>
      </c>
      <c r="K16" s="10" t="s">
        <v>179</v>
      </c>
      <c r="L16" s="10" t="s">
        <v>169</v>
      </c>
      <c r="M16" s="10">
        <v>1</v>
      </c>
      <c r="N16" s="10" t="s">
        <v>180</v>
      </c>
      <c r="O16" s="10">
        <v>4</v>
      </c>
      <c r="P16" s="10">
        <f t="shared" si="0"/>
        <v>90</v>
      </c>
      <c r="Q16" s="10">
        <f t="shared" si="4"/>
        <v>78.960000000000008</v>
      </c>
      <c r="R16" s="10">
        <f t="shared" si="2"/>
        <v>19.740000000000002</v>
      </c>
      <c r="S16" s="10" t="s">
        <v>67</v>
      </c>
      <c r="T16" s="10"/>
      <c r="U16" s="10">
        <f>400+1740+250</f>
        <v>2390</v>
      </c>
      <c r="V16" s="10" t="s">
        <v>244</v>
      </c>
      <c r="W16" s="43">
        <f t="shared" si="3"/>
        <v>30.268490374873352</v>
      </c>
      <c r="X16" s="10">
        <v>1</v>
      </c>
      <c r="Y16" s="47"/>
      <c r="Z16" s="43"/>
      <c r="AA16" s="31"/>
    </row>
    <row r="17" spans="1:27" ht="40" customHeight="1" x14ac:dyDescent="0.2">
      <c r="A17" s="9">
        <v>1</v>
      </c>
      <c r="B17" s="10" t="s">
        <v>670</v>
      </c>
      <c r="C17" s="10"/>
      <c r="D17" s="10"/>
      <c r="E17" s="10" t="s">
        <v>538</v>
      </c>
      <c r="F17" s="10"/>
      <c r="G17" s="10" t="s">
        <v>58</v>
      </c>
      <c r="H17" s="10"/>
      <c r="I17" s="10" t="s">
        <v>389</v>
      </c>
      <c r="J17" s="10" t="s">
        <v>310</v>
      </c>
      <c r="K17" s="10" t="s">
        <v>179</v>
      </c>
      <c r="L17" s="10" t="s">
        <v>68</v>
      </c>
      <c r="M17" s="10">
        <v>1</v>
      </c>
      <c r="N17" s="10" t="s">
        <v>178</v>
      </c>
      <c r="O17" s="10">
        <v>4</v>
      </c>
      <c r="P17" s="10">
        <f t="shared" si="0"/>
        <v>90</v>
      </c>
      <c r="Q17" s="10">
        <f t="shared" si="4"/>
        <v>78.960000000000008</v>
      </c>
      <c r="R17" s="10">
        <f t="shared" si="2"/>
        <v>19.740000000000002</v>
      </c>
      <c r="S17" s="10" t="s">
        <v>65</v>
      </c>
      <c r="T17" s="10"/>
      <c r="U17" s="10">
        <f>69120+38400+34560+21600+30000</f>
        <v>193680</v>
      </c>
      <c r="V17" s="10" t="s">
        <v>244</v>
      </c>
      <c r="W17" s="43">
        <f t="shared" si="3"/>
        <v>2452.8875379939209</v>
      </c>
      <c r="X17" s="10">
        <v>1</v>
      </c>
      <c r="Y17" s="47"/>
      <c r="Z17" s="43"/>
      <c r="AA17" s="31"/>
    </row>
    <row r="18" spans="1:27" ht="40" customHeight="1" x14ac:dyDescent="0.2">
      <c r="A18" s="9">
        <v>1</v>
      </c>
      <c r="B18" s="10" t="s">
        <v>670</v>
      </c>
      <c r="C18" s="10"/>
      <c r="D18" s="10"/>
      <c r="E18" s="10" t="s">
        <v>538</v>
      </c>
      <c r="F18" s="10"/>
      <c r="G18" s="10" t="s">
        <v>58</v>
      </c>
      <c r="H18" s="10"/>
      <c r="I18" s="10" t="s">
        <v>389</v>
      </c>
      <c r="J18" s="10" t="s">
        <v>310</v>
      </c>
      <c r="K18" s="10" t="s">
        <v>179</v>
      </c>
      <c r="L18" s="10" t="s">
        <v>68</v>
      </c>
      <c r="M18" s="10">
        <v>1</v>
      </c>
      <c r="N18" s="10" t="s">
        <v>178</v>
      </c>
      <c r="O18" s="10">
        <v>4</v>
      </c>
      <c r="P18" s="10">
        <f t="shared" si="0"/>
        <v>90</v>
      </c>
      <c r="Q18" s="10">
        <f t="shared" si="4"/>
        <v>78.960000000000008</v>
      </c>
      <c r="R18" s="10">
        <f t="shared" si="2"/>
        <v>19.740000000000002</v>
      </c>
      <c r="S18" s="10" t="s">
        <v>67</v>
      </c>
      <c r="T18" s="10"/>
      <c r="U18" s="10">
        <f>400+1740+250</f>
        <v>2390</v>
      </c>
      <c r="V18" s="10" t="s">
        <v>244</v>
      </c>
      <c r="W18" s="43">
        <f t="shared" si="3"/>
        <v>30.268490374873352</v>
      </c>
      <c r="X18" s="10">
        <v>1</v>
      </c>
      <c r="Y18" s="47"/>
      <c r="Z18" s="43"/>
      <c r="AA18" s="31"/>
    </row>
    <row r="19" spans="1:27" ht="40" customHeight="1" x14ac:dyDescent="0.2">
      <c r="A19" s="9">
        <v>1</v>
      </c>
      <c r="B19" s="10" t="s">
        <v>670</v>
      </c>
      <c r="C19" s="10"/>
      <c r="D19" s="10"/>
      <c r="E19" s="10" t="s">
        <v>538</v>
      </c>
      <c r="F19" s="10"/>
      <c r="G19" s="10" t="s">
        <v>58</v>
      </c>
      <c r="H19" s="10"/>
      <c r="I19" s="10" t="s">
        <v>389</v>
      </c>
      <c r="J19" s="10" t="s">
        <v>311</v>
      </c>
      <c r="K19" s="10" t="s">
        <v>138</v>
      </c>
      <c r="L19" s="10" t="s">
        <v>140</v>
      </c>
      <c r="M19" s="10">
        <v>1</v>
      </c>
      <c r="N19" s="10" t="s">
        <v>177</v>
      </c>
      <c r="O19" s="10">
        <v>4</v>
      </c>
      <c r="P19" s="10">
        <f t="shared" si="0"/>
        <v>90</v>
      </c>
      <c r="Q19" s="10">
        <f>((10-2*0.32)*(9-2*0.32))*M19</f>
        <v>78.249599999999987</v>
      </c>
      <c r="R19" s="10">
        <f t="shared" si="2"/>
        <v>19.562399999999997</v>
      </c>
      <c r="S19" s="10" t="s">
        <v>67</v>
      </c>
      <c r="T19" s="10"/>
      <c r="U19" s="10">
        <f>3200+1600+400+1750+250+2700+2500+2484+1250+1242</f>
        <v>17376</v>
      </c>
      <c r="V19" s="10" t="s">
        <v>244</v>
      </c>
      <c r="W19" s="43">
        <f t="shared" si="3"/>
        <v>222.05864311127473</v>
      </c>
      <c r="X19" s="10">
        <v>1</v>
      </c>
      <c r="Y19" s="47"/>
      <c r="Z19" s="43"/>
      <c r="AA19" s="31"/>
    </row>
    <row r="20" spans="1:27" ht="40" customHeight="1" x14ac:dyDescent="0.2">
      <c r="A20" s="9">
        <v>1</v>
      </c>
      <c r="B20" s="10" t="s">
        <v>670</v>
      </c>
      <c r="C20" s="10"/>
      <c r="D20" s="10"/>
      <c r="E20" s="10" t="s">
        <v>538</v>
      </c>
      <c r="F20" s="10"/>
      <c r="G20" s="10" t="s">
        <v>58</v>
      </c>
      <c r="H20" s="10"/>
      <c r="I20" s="10" t="s">
        <v>433</v>
      </c>
      <c r="J20" s="10" t="s">
        <v>312</v>
      </c>
      <c r="K20" s="10" t="s">
        <v>103</v>
      </c>
      <c r="L20" s="10" t="s">
        <v>116</v>
      </c>
      <c r="M20" s="10">
        <v>4</v>
      </c>
      <c r="N20" s="10" t="s">
        <v>300</v>
      </c>
      <c r="O20" s="10">
        <v>45.7</v>
      </c>
      <c r="P20" s="10">
        <f t="shared" ref="P20:P39" si="5">(32*12)*M20</f>
        <v>1536</v>
      </c>
      <c r="Q20" s="10">
        <f>((32-2*0.5)*(12-2*0.5))*M20</f>
        <v>1364</v>
      </c>
      <c r="R20" s="10">
        <f t="shared" si="2"/>
        <v>29.846827133479209</v>
      </c>
      <c r="S20" s="10" t="s">
        <v>67</v>
      </c>
      <c r="T20" s="10"/>
      <c r="U20" s="10">
        <f>5600+7000+1250+22800+22000+20976+2500+5244</f>
        <v>87370</v>
      </c>
      <c r="V20" s="10" t="s">
        <v>244</v>
      </c>
      <c r="W20" s="43">
        <f t="shared" si="3"/>
        <v>64.054252199413483</v>
      </c>
      <c r="X20" s="10">
        <v>3</v>
      </c>
      <c r="Y20" s="47"/>
      <c r="Z20" s="43"/>
      <c r="AA20" s="31"/>
    </row>
    <row r="21" spans="1:27" ht="40" customHeight="1" x14ac:dyDescent="0.2">
      <c r="A21" s="9">
        <v>1</v>
      </c>
      <c r="B21" s="10" t="s">
        <v>670</v>
      </c>
      <c r="C21" s="10"/>
      <c r="D21" s="10"/>
      <c r="E21" s="10" t="s">
        <v>538</v>
      </c>
      <c r="F21" s="10"/>
      <c r="G21" s="10" t="s">
        <v>58</v>
      </c>
      <c r="H21" s="10"/>
      <c r="I21" s="10" t="s">
        <v>433</v>
      </c>
      <c r="J21" s="10" t="s">
        <v>313</v>
      </c>
      <c r="K21" s="10" t="s">
        <v>176</v>
      </c>
      <c r="L21" s="10" t="s">
        <v>175</v>
      </c>
      <c r="M21" s="10">
        <v>4</v>
      </c>
      <c r="N21" s="10" t="s">
        <v>174</v>
      </c>
      <c r="O21" s="10">
        <v>45.7</v>
      </c>
      <c r="P21" s="10">
        <f t="shared" si="5"/>
        <v>1536</v>
      </c>
      <c r="Q21" s="10">
        <f>((32-2*0.5)*(12-2*0.5))*M21</f>
        <v>1364</v>
      </c>
      <c r="R21" s="10">
        <f t="shared" si="2"/>
        <v>29.846827133479209</v>
      </c>
      <c r="S21" s="10" t="s">
        <v>67</v>
      </c>
      <c r="T21" s="10"/>
      <c r="U21" s="10">
        <f>5600+7000+1250+22800+22000+20976+2500+5244</f>
        <v>87370</v>
      </c>
      <c r="V21" s="10" t="s">
        <v>244</v>
      </c>
      <c r="W21" s="43">
        <f t="shared" si="3"/>
        <v>64.054252199413483</v>
      </c>
      <c r="X21" s="10">
        <v>3</v>
      </c>
      <c r="Y21" s="47"/>
      <c r="Z21" s="43"/>
      <c r="AA21" s="31"/>
    </row>
    <row r="22" spans="1:27" ht="40" customHeight="1" x14ac:dyDescent="0.2">
      <c r="A22" s="9">
        <v>1</v>
      </c>
      <c r="B22" s="10" t="s">
        <v>670</v>
      </c>
      <c r="C22" s="10"/>
      <c r="D22" s="10"/>
      <c r="E22" s="10" t="s">
        <v>538</v>
      </c>
      <c r="F22" s="10"/>
      <c r="G22" s="10" t="s">
        <v>58</v>
      </c>
      <c r="H22" s="10"/>
      <c r="I22" s="10" t="s">
        <v>433</v>
      </c>
      <c r="J22" s="10" t="s">
        <v>314</v>
      </c>
      <c r="K22" s="10" t="s">
        <v>173</v>
      </c>
      <c r="L22" s="10" t="s">
        <v>172</v>
      </c>
      <c r="M22" s="10">
        <v>4</v>
      </c>
      <c r="N22" s="10" t="s">
        <v>171</v>
      </c>
      <c r="O22" s="10">
        <v>45.7</v>
      </c>
      <c r="P22" s="10">
        <f t="shared" si="5"/>
        <v>1536</v>
      </c>
      <c r="Q22" s="10">
        <f>((32-2*0.35)*(12-2*0.35))*M22</f>
        <v>1414.7600000000002</v>
      </c>
      <c r="R22" s="10">
        <f t="shared" si="2"/>
        <v>30.957549234135669</v>
      </c>
      <c r="S22" s="10" t="s">
        <v>65</v>
      </c>
      <c r="T22" s="10"/>
      <c r="U22" s="10">
        <f>145920+259200+145920+91200+108000</f>
        <v>750240</v>
      </c>
      <c r="V22" s="10" t="s">
        <v>244</v>
      </c>
      <c r="W22" s="43">
        <f t="shared" si="3"/>
        <v>530.29489100624835</v>
      </c>
      <c r="X22" s="10">
        <v>3</v>
      </c>
      <c r="Y22" s="47"/>
      <c r="Z22" s="43"/>
      <c r="AA22" s="31"/>
    </row>
    <row r="23" spans="1:27" ht="40" customHeight="1" x14ac:dyDescent="0.2">
      <c r="A23" s="9">
        <v>1</v>
      </c>
      <c r="B23" s="10" t="s">
        <v>670</v>
      </c>
      <c r="C23" s="10"/>
      <c r="D23" s="10"/>
      <c r="E23" s="10" t="s">
        <v>538</v>
      </c>
      <c r="F23" s="10"/>
      <c r="G23" s="10" t="s">
        <v>58</v>
      </c>
      <c r="H23" s="10"/>
      <c r="I23" s="10" t="s">
        <v>433</v>
      </c>
      <c r="J23" s="10" t="s">
        <v>314</v>
      </c>
      <c r="K23" s="10" t="s">
        <v>173</v>
      </c>
      <c r="L23" s="10" t="s">
        <v>172</v>
      </c>
      <c r="M23" s="10">
        <v>4</v>
      </c>
      <c r="N23" s="10" t="s">
        <v>171</v>
      </c>
      <c r="O23" s="10">
        <v>45.7</v>
      </c>
      <c r="P23" s="10">
        <f t="shared" si="5"/>
        <v>1536</v>
      </c>
      <c r="Q23" s="10">
        <f>((32-2*0.35)*(12-2*0.35))*M23</f>
        <v>1414.7600000000002</v>
      </c>
      <c r="R23" s="10">
        <f t="shared" si="2"/>
        <v>30.957549234135669</v>
      </c>
      <c r="S23" s="10" t="s">
        <v>67</v>
      </c>
      <c r="T23" s="10"/>
      <c r="U23" s="10">
        <f>5600+7000+1250</f>
        <v>13850</v>
      </c>
      <c r="V23" s="10" t="s">
        <v>244</v>
      </c>
      <c r="W23" s="43">
        <f t="shared" si="3"/>
        <v>9.7896463004325813</v>
      </c>
      <c r="X23" s="10">
        <v>3</v>
      </c>
      <c r="Y23" s="47"/>
      <c r="Z23" s="43"/>
      <c r="AA23" s="31"/>
    </row>
    <row r="24" spans="1:27" ht="40" customHeight="1" x14ac:dyDescent="0.2">
      <c r="A24" s="9">
        <v>1</v>
      </c>
      <c r="B24" s="10" t="s">
        <v>670</v>
      </c>
      <c r="C24" s="10"/>
      <c r="D24" s="10"/>
      <c r="E24" s="10" t="s">
        <v>538</v>
      </c>
      <c r="F24" s="10"/>
      <c r="G24" s="10" t="s">
        <v>58</v>
      </c>
      <c r="H24" s="10"/>
      <c r="I24" s="10" t="s">
        <v>433</v>
      </c>
      <c r="J24" s="10" t="s">
        <v>317</v>
      </c>
      <c r="K24" s="10" t="s">
        <v>170</v>
      </c>
      <c r="L24" s="10" t="s">
        <v>169</v>
      </c>
      <c r="M24" s="10">
        <v>4</v>
      </c>
      <c r="N24" s="10" t="s">
        <v>168</v>
      </c>
      <c r="O24" s="10">
        <v>40</v>
      </c>
      <c r="P24" s="10">
        <f t="shared" si="5"/>
        <v>1536</v>
      </c>
      <c r="Q24" s="10">
        <f t="shared" ref="Q24:Q27" si="6">((32-2*0.3)*(12-2*0.3))*M24</f>
        <v>1431.84</v>
      </c>
      <c r="R24" s="10">
        <f t="shared" si="2"/>
        <v>35.795999999999999</v>
      </c>
      <c r="S24" s="10" t="s">
        <v>65</v>
      </c>
      <c r="T24" s="10"/>
      <c r="U24" s="10">
        <f>154800+132000+437760+259200+145920+91200+108000</f>
        <v>1328880</v>
      </c>
      <c r="V24" s="10" t="s">
        <v>244</v>
      </c>
      <c r="W24" s="43">
        <f t="shared" si="3"/>
        <v>928.09252430439165</v>
      </c>
      <c r="X24" s="10">
        <v>3</v>
      </c>
      <c r="Y24" s="47"/>
      <c r="Z24" s="43"/>
      <c r="AA24" s="31"/>
    </row>
    <row r="25" spans="1:27" ht="40" customHeight="1" x14ac:dyDescent="0.2">
      <c r="A25" s="9">
        <v>1</v>
      </c>
      <c r="B25" s="10" t="s">
        <v>670</v>
      </c>
      <c r="C25" s="10"/>
      <c r="D25" s="10"/>
      <c r="E25" s="10" t="s">
        <v>538</v>
      </c>
      <c r="F25" s="10"/>
      <c r="G25" s="10" t="s">
        <v>58</v>
      </c>
      <c r="H25" s="10"/>
      <c r="I25" s="10" t="s">
        <v>433</v>
      </c>
      <c r="J25" s="10" t="s">
        <v>317</v>
      </c>
      <c r="K25" s="10" t="s">
        <v>170</v>
      </c>
      <c r="L25" s="10" t="s">
        <v>169</v>
      </c>
      <c r="M25" s="10">
        <v>4</v>
      </c>
      <c r="N25" s="10" t="s">
        <v>168</v>
      </c>
      <c r="O25" s="10">
        <v>40</v>
      </c>
      <c r="P25" s="10">
        <f t="shared" si="5"/>
        <v>1536</v>
      </c>
      <c r="Q25" s="10">
        <f t="shared" si="6"/>
        <v>1431.84</v>
      </c>
      <c r="R25" s="10">
        <f t="shared" si="2"/>
        <v>35.795999999999999</v>
      </c>
      <c r="S25" s="10" t="s">
        <v>67</v>
      </c>
      <c r="T25" s="10"/>
      <c r="U25" s="10">
        <f>5600+7000+1250</f>
        <v>13850</v>
      </c>
      <c r="V25" s="10" t="s">
        <v>244</v>
      </c>
      <c r="W25" s="43">
        <f t="shared" si="3"/>
        <v>9.6728684769247959</v>
      </c>
      <c r="X25" s="10">
        <v>3</v>
      </c>
      <c r="Y25" s="47"/>
      <c r="Z25" s="43"/>
      <c r="AA25" s="31"/>
    </row>
    <row r="26" spans="1:27" ht="40" customHeight="1" x14ac:dyDescent="0.2">
      <c r="A26" s="9">
        <v>1</v>
      </c>
      <c r="B26" s="10" t="s">
        <v>670</v>
      </c>
      <c r="C26" s="10"/>
      <c r="D26" s="10"/>
      <c r="E26" s="10" t="s">
        <v>538</v>
      </c>
      <c r="F26" s="10"/>
      <c r="G26" s="10" t="s">
        <v>58</v>
      </c>
      <c r="H26" s="10"/>
      <c r="I26" s="10" t="s">
        <v>433</v>
      </c>
      <c r="J26" s="10" t="s">
        <v>315</v>
      </c>
      <c r="K26" s="10" t="s">
        <v>167</v>
      </c>
      <c r="L26" s="10" t="s">
        <v>68</v>
      </c>
      <c r="M26" s="10">
        <v>4</v>
      </c>
      <c r="N26" s="10" t="s">
        <v>299</v>
      </c>
      <c r="O26" s="10">
        <v>43.5</v>
      </c>
      <c r="P26" s="10">
        <f t="shared" si="5"/>
        <v>1536</v>
      </c>
      <c r="Q26" s="10">
        <f t="shared" si="6"/>
        <v>1431.84</v>
      </c>
      <c r="R26" s="10">
        <f t="shared" si="2"/>
        <v>32.915862068965517</v>
      </c>
      <c r="S26" s="10" t="s">
        <v>65</v>
      </c>
      <c r="T26" s="10"/>
      <c r="U26" s="10">
        <f>154800+132000+437760+259200+145920+91200+108000</f>
        <v>1328880</v>
      </c>
      <c r="V26" s="10" t="s">
        <v>244</v>
      </c>
      <c r="W26" s="43">
        <f t="shared" si="3"/>
        <v>928.09252430439165</v>
      </c>
      <c r="X26" s="10">
        <v>3</v>
      </c>
      <c r="Y26" s="47"/>
      <c r="Z26" s="43"/>
      <c r="AA26" s="31"/>
    </row>
    <row r="27" spans="1:27" ht="40" customHeight="1" x14ac:dyDescent="0.2">
      <c r="A27" s="9">
        <v>1</v>
      </c>
      <c r="B27" s="10" t="s">
        <v>670</v>
      </c>
      <c r="C27" s="10"/>
      <c r="D27" s="10"/>
      <c r="E27" s="10" t="s">
        <v>538</v>
      </c>
      <c r="F27" s="10"/>
      <c r="G27" s="10" t="s">
        <v>58</v>
      </c>
      <c r="H27" s="10"/>
      <c r="I27" s="10" t="s">
        <v>433</v>
      </c>
      <c r="J27" s="10" t="s">
        <v>315</v>
      </c>
      <c r="K27" s="10" t="s">
        <v>167</v>
      </c>
      <c r="L27" s="10" t="s">
        <v>68</v>
      </c>
      <c r="M27" s="10">
        <v>4</v>
      </c>
      <c r="N27" s="10" t="s">
        <v>299</v>
      </c>
      <c r="O27" s="10">
        <v>43.5</v>
      </c>
      <c r="P27" s="10">
        <f t="shared" si="5"/>
        <v>1536</v>
      </c>
      <c r="Q27" s="10">
        <f t="shared" si="6"/>
        <v>1431.84</v>
      </c>
      <c r="R27" s="10">
        <f t="shared" si="2"/>
        <v>32.915862068965517</v>
      </c>
      <c r="S27" s="10" t="s">
        <v>67</v>
      </c>
      <c r="T27" s="10"/>
      <c r="U27" s="10">
        <f>5600+7000+1250</f>
        <v>13850</v>
      </c>
      <c r="V27" s="10" t="s">
        <v>244</v>
      </c>
      <c r="W27" s="43">
        <f t="shared" si="3"/>
        <v>9.6728684769247959</v>
      </c>
      <c r="X27" s="10">
        <v>3</v>
      </c>
      <c r="Y27" s="47"/>
      <c r="Z27" s="43"/>
      <c r="AA27" s="31"/>
    </row>
    <row r="28" spans="1:27" ht="40" customHeight="1" x14ac:dyDescent="0.2">
      <c r="A28" s="9">
        <v>1</v>
      </c>
      <c r="B28" s="10" t="s">
        <v>670</v>
      </c>
      <c r="C28" s="10"/>
      <c r="D28" s="10"/>
      <c r="E28" s="10" t="s">
        <v>538</v>
      </c>
      <c r="F28" s="10"/>
      <c r="G28" s="10" t="s">
        <v>58</v>
      </c>
      <c r="H28" s="10"/>
      <c r="I28" s="10" t="s">
        <v>433</v>
      </c>
      <c r="J28" s="10" t="s">
        <v>316</v>
      </c>
      <c r="K28" s="10" t="s">
        <v>76</v>
      </c>
      <c r="L28" s="10" t="s">
        <v>166</v>
      </c>
      <c r="M28" s="10">
        <v>4</v>
      </c>
      <c r="N28" s="10" t="s">
        <v>165</v>
      </c>
      <c r="O28" s="10">
        <v>43.5</v>
      </c>
      <c r="P28" s="10">
        <f t="shared" si="5"/>
        <v>1536</v>
      </c>
      <c r="Q28" s="10">
        <f>((32-2*0.2)*(12-2*0.2))*M28</f>
        <v>1466.24</v>
      </c>
      <c r="R28" s="10">
        <f t="shared" si="2"/>
        <v>33.706666666666663</v>
      </c>
      <c r="S28" s="10" t="s">
        <v>65</v>
      </c>
      <c r="T28" s="10"/>
      <c r="U28" s="10">
        <f>384000+528000+145920+437760+259200+145920+91200+108000</f>
        <v>2100000</v>
      </c>
      <c r="V28" s="10" t="s">
        <v>244</v>
      </c>
      <c r="W28" s="43">
        <f t="shared" si="3"/>
        <v>1432.2348319511129</v>
      </c>
      <c r="X28" s="10">
        <v>3</v>
      </c>
      <c r="Y28" s="47"/>
      <c r="Z28" s="43"/>
      <c r="AA28" s="31"/>
    </row>
    <row r="29" spans="1:27" ht="40" customHeight="1" x14ac:dyDescent="0.2">
      <c r="A29" s="9">
        <v>1</v>
      </c>
      <c r="B29" s="10" t="s">
        <v>670</v>
      </c>
      <c r="C29" s="10"/>
      <c r="D29" s="10"/>
      <c r="E29" s="10" t="s">
        <v>538</v>
      </c>
      <c r="F29" s="10"/>
      <c r="G29" s="10" t="s">
        <v>58</v>
      </c>
      <c r="H29" s="10"/>
      <c r="I29" s="10" t="s">
        <v>433</v>
      </c>
      <c r="J29" s="10" t="s">
        <v>316</v>
      </c>
      <c r="K29" s="10" t="s">
        <v>76</v>
      </c>
      <c r="L29" s="10" t="s">
        <v>166</v>
      </c>
      <c r="M29" s="10">
        <v>4</v>
      </c>
      <c r="N29" s="10" t="s">
        <v>165</v>
      </c>
      <c r="O29" s="10">
        <v>43.5</v>
      </c>
      <c r="P29" s="10">
        <f t="shared" si="5"/>
        <v>1536</v>
      </c>
      <c r="Q29" s="10">
        <f>((32-2*0.2)*(12-2*0.2))*M29</f>
        <v>1466.24</v>
      </c>
      <c r="R29" s="10">
        <f t="shared" si="2"/>
        <v>33.706666666666663</v>
      </c>
      <c r="S29" s="10" t="s">
        <v>67</v>
      </c>
      <c r="T29" s="10"/>
      <c r="U29" s="10">
        <v>5600</v>
      </c>
      <c r="V29" s="10" t="s">
        <v>244</v>
      </c>
      <c r="W29" s="43">
        <f t="shared" si="3"/>
        <v>3.8192928852029682</v>
      </c>
      <c r="X29" s="10">
        <v>3</v>
      </c>
      <c r="Y29" s="47"/>
      <c r="Z29" s="43"/>
      <c r="AA29" s="31"/>
    </row>
    <row r="30" spans="1:27" ht="40" customHeight="1" x14ac:dyDescent="0.2">
      <c r="A30" s="9">
        <v>1</v>
      </c>
      <c r="B30" s="10" t="s">
        <v>670</v>
      </c>
      <c r="C30" s="10"/>
      <c r="D30" s="10"/>
      <c r="E30" s="10" t="s">
        <v>538</v>
      </c>
      <c r="F30" s="10"/>
      <c r="G30" s="10" t="s">
        <v>58</v>
      </c>
      <c r="H30" s="10"/>
      <c r="I30" s="10" t="s">
        <v>433</v>
      </c>
      <c r="J30" s="10" t="s">
        <v>319</v>
      </c>
      <c r="K30" s="10" t="s">
        <v>74</v>
      </c>
      <c r="L30" s="10" t="s">
        <v>164</v>
      </c>
      <c r="M30" s="10">
        <v>4</v>
      </c>
      <c r="N30" s="10" t="s">
        <v>163</v>
      </c>
      <c r="O30" s="10">
        <v>43.5</v>
      </c>
      <c r="P30" s="10">
        <f t="shared" si="5"/>
        <v>1536</v>
      </c>
      <c r="Q30" s="10">
        <f t="shared" ref="Q30:Q33" si="7">((32-2*0.35)*(12-2*0.35))*M30</f>
        <v>1414.7600000000002</v>
      </c>
      <c r="R30" s="10">
        <f t="shared" si="2"/>
        <v>32.523218390804601</v>
      </c>
      <c r="S30" s="10" t="s">
        <v>65</v>
      </c>
      <c r="T30" s="10"/>
      <c r="U30" s="10">
        <f>145920+583680+259200+145920+91200+108000</f>
        <v>1333920</v>
      </c>
      <c r="V30" s="10" t="s">
        <v>244</v>
      </c>
      <c r="W30" s="43">
        <f t="shared" si="3"/>
        <v>942.8595662868612</v>
      </c>
      <c r="X30" s="10">
        <v>3</v>
      </c>
      <c r="Y30" s="47"/>
      <c r="Z30" s="43"/>
      <c r="AA30" s="31"/>
    </row>
    <row r="31" spans="1:27" ht="40" customHeight="1" x14ac:dyDescent="0.2">
      <c r="A31" s="9">
        <v>1</v>
      </c>
      <c r="B31" s="10" t="s">
        <v>670</v>
      </c>
      <c r="C31" s="10"/>
      <c r="D31" s="10"/>
      <c r="E31" s="10" t="s">
        <v>538</v>
      </c>
      <c r="F31" s="10"/>
      <c r="G31" s="10" t="s">
        <v>58</v>
      </c>
      <c r="H31" s="10"/>
      <c r="I31" s="10" t="s">
        <v>433</v>
      </c>
      <c r="J31" s="10" t="s">
        <v>319</v>
      </c>
      <c r="K31" s="10" t="s">
        <v>74</v>
      </c>
      <c r="L31" s="10" t="s">
        <v>164</v>
      </c>
      <c r="M31" s="10">
        <v>4</v>
      </c>
      <c r="N31" s="10" t="s">
        <v>163</v>
      </c>
      <c r="O31" s="10">
        <v>43.5</v>
      </c>
      <c r="P31" s="10">
        <f t="shared" si="5"/>
        <v>1536</v>
      </c>
      <c r="Q31" s="10">
        <f t="shared" si="7"/>
        <v>1414.7600000000002</v>
      </c>
      <c r="R31" s="10">
        <f t="shared" si="2"/>
        <v>32.523218390804601</v>
      </c>
      <c r="S31" s="10" t="s">
        <v>67</v>
      </c>
      <c r="T31" s="10"/>
      <c r="U31" s="10">
        <v>5600</v>
      </c>
      <c r="V31" s="10" t="s">
        <v>244</v>
      </c>
      <c r="W31" s="43">
        <f t="shared" si="3"/>
        <v>3.9582685402471083</v>
      </c>
      <c r="X31" s="10">
        <v>3</v>
      </c>
      <c r="Y31" s="47"/>
      <c r="Z31" s="43"/>
      <c r="AA31" s="31"/>
    </row>
    <row r="32" spans="1:27" ht="40" customHeight="1" x14ac:dyDescent="0.2">
      <c r="A32" s="9">
        <v>1</v>
      </c>
      <c r="B32" s="10" t="s">
        <v>670</v>
      </c>
      <c r="C32" s="10"/>
      <c r="D32" s="10"/>
      <c r="E32" s="10" t="s">
        <v>538</v>
      </c>
      <c r="F32" s="10"/>
      <c r="G32" s="10" t="s">
        <v>58</v>
      </c>
      <c r="H32" s="10"/>
      <c r="I32" s="10" t="s">
        <v>433</v>
      </c>
      <c r="J32" s="10" t="s">
        <v>318</v>
      </c>
      <c r="K32" s="10" t="s">
        <v>121</v>
      </c>
      <c r="L32" s="10" t="s">
        <v>68</v>
      </c>
      <c r="M32" s="10">
        <v>4</v>
      </c>
      <c r="N32" s="10" t="s">
        <v>299</v>
      </c>
      <c r="O32" s="10">
        <v>43.52</v>
      </c>
      <c r="P32" s="10">
        <f t="shared" si="5"/>
        <v>1536</v>
      </c>
      <c r="Q32" s="10">
        <f t="shared" si="7"/>
        <v>1414.7600000000002</v>
      </c>
      <c r="R32" s="10">
        <f t="shared" si="2"/>
        <v>32.508272058823529</v>
      </c>
      <c r="S32" s="10" t="s">
        <v>65</v>
      </c>
      <c r="T32" s="10"/>
      <c r="U32" s="10">
        <f>145920+583680+259200+145920+91200+108000</f>
        <v>1333920</v>
      </c>
      <c r="V32" s="10" t="s">
        <v>244</v>
      </c>
      <c r="W32" s="43">
        <f t="shared" si="3"/>
        <v>942.8595662868612</v>
      </c>
      <c r="X32" s="10">
        <v>3</v>
      </c>
      <c r="Y32" s="47"/>
      <c r="Z32" s="43"/>
      <c r="AA32" s="31"/>
    </row>
    <row r="33" spans="1:27" ht="40" customHeight="1" x14ac:dyDescent="0.2">
      <c r="A33" s="9">
        <v>1</v>
      </c>
      <c r="B33" s="10" t="s">
        <v>670</v>
      </c>
      <c r="C33" s="10"/>
      <c r="D33" s="10"/>
      <c r="E33" s="10" t="s">
        <v>538</v>
      </c>
      <c r="F33" s="10"/>
      <c r="G33" s="10" t="s">
        <v>58</v>
      </c>
      <c r="H33" s="10"/>
      <c r="I33" s="10" t="s">
        <v>433</v>
      </c>
      <c r="J33" s="10" t="s">
        <v>318</v>
      </c>
      <c r="K33" s="10" t="s">
        <v>121</v>
      </c>
      <c r="L33" s="10" t="s">
        <v>68</v>
      </c>
      <c r="M33" s="10">
        <v>4</v>
      </c>
      <c r="N33" s="10" t="s">
        <v>299</v>
      </c>
      <c r="O33" s="10">
        <v>43.52</v>
      </c>
      <c r="P33" s="10">
        <f t="shared" si="5"/>
        <v>1536</v>
      </c>
      <c r="Q33" s="10">
        <f t="shared" si="7"/>
        <v>1414.7600000000002</v>
      </c>
      <c r="R33" s="10">
        <f t="shared" si="2"/>
        <v>32.508272058823529</v>
      </c>
      <c r="S33" s="10" t="s">
        <v>67</v>
      </c>
      <c r="T33" s="10"/>
      <c r="U33" s="10">
        <v>5600</v>
      </c>
      <c r="V33" s="10" t="s">
        <v>244</v>
      </c>
      <c r="W33" s="43">
        <f t="shared" si="3"/>
        <v>3.9582685402471083</v>
      </c>
      <c r="X33" s="10">
        <v>3</v>
      </c>
      <c r="Y33" s="47"/>
      <c r="Z33" s="43"/>
      <c r="AA33" s="31"/>
    </row>
    <row r="34" spans="1:27" ht="40" customHeight="1" x14ac:dyDescent="0.2">
      <c r="A34" s="9">
        <v>1</v>
      </c>
      <c r="B34" s="10" t="s">
        <v>670</v>
      </c>
      <c r="C34" s="10"/>
      <c r="D34" s="10"/>
      <c r="E34" s="10" t="s">
        <v>538</v>
      </c>
      <c r="F34" s="10"/>
      <c r="G34" s="10" t="s">
        <v>58</v>
      </c>
      <c r="H34" s="10"/>
      <c r="I34" s="10" t="s">
        <v>70</v>
      </c>
      <c r="J34" s="10" t="s">
        <v>320</v>
      </c>
      <c r="K34" s="10" t="s">
        <v>76</v>
      </c>
      <c r="L34" s="10" t="s">
        <v>162</v>
      </c>
      <c r="M34" s="10">
        <v>7</v>
      </c>
      <c r="N34" s="10" t="s">
        <v>161</v>
      </c>
      <c r="O34" s="10">
        <v>73.73</v>
      </c>
      <c r="P34" s="10">
        <f t="shared" si="5"/>
        <v>2688</v>
      </c>
      <c r="Q34" s="10">
        <f>((32-2*0.3)*(12-2*0.3))*M34</f>
        <v>2505.7199999999998</v>
      </c>
      <c r="R34" s="10">
        <f t="shared" si="2"/>
        <v>33.985080699850805</v>
      </c>
      <c r="S34" s="10" t="s">
        <v>65</v>
      </c>
      <c r="T34" s="10"/>
      <c r="U34" s="10">
        <f>1044000+926400+145920+875520+259200+145920+91200+172800</f>
        <v>3660960</v>
      </c>
      <c r="V34" s="10" t="s">
        <v>244</v>
      </c>
      <c r="W34" s="43">
        <f t="shared" si="3"/>
        <v>1461.0411378765386</v>
      </c>
      <c r="X34" s="10">
        <v>4</v>
      </c>
      <c r="Y34" s="47"/>
      <c r="Z34" s="43"/>
      <c r="AA34" s="31"/>
    </row>
    <row r="35" spans="1:27" ht="40" customHeight="1" x14ac:dyDescent="0.2">
      <c r="A35" s="9">
        <v>1</v>
      </c>
      <c r="B35" s="10" t="s">
        <v>670</v>
      </c>
      <c r="C35" s="10"/>
      <c r="D35" s="10"/>
      <c r="E35" s="10" t="s">
        <v>538</v>
      </c>
      <c r="F35" s="10"/>
      <c r="G35" s="10" t="s">
        <v>58</v>
      </c>
      <c r="H35" s="10"/>
      <c r="I35" s="10" t="s">
        <v>70</v>
      </c>
      <c r="J35" s="10" t="s">
        <v>320</v>
      </c>
      <c r="K35" s="10" t="s">
        <v>76</v>
      </c>
      <c r="L35" s="10" t="s">
        <v>162</v>
      </c>
      <c r="M35" s="10">
        <v>7</v>
      </c>
      <c r="N35" s="10" t="s">
        <v>161</v>
      </c>
      <c r="O35" s="10">
        <v>73.73</v>
      </c>
      <c r="P35" s="10">
        <f t="shared" si="5"/>
        <v>2688</v>
      </c>
      <c r="Q35" s="10">
        <f>((32-2*0.3)*(12-2*0.3))*M35</f>
        <v>2505.7199999999998</v>
      </c>
      <c r="R35" s="10">
        <f t="shared" si="2"/>
        <v>33.985080699850805</v>
      </c>
      <c r="S35" s="10" t="s">
        <v>67</v>
      </c>
      <c r="T35" s="10"/>
      <c r="U35" s="10">
        <v>8720</v>
      </c>
      <c r="V35" s="10" t="s">
        <v>244</v>
      </c>
      <c r="W35" s="43">
        <f t="shared" si="3"/>
        <v>3.4800376738023404</v>
      </c>
      <c r="X35" s="10">
        <v>4</v>
      </c>
      <c r="Y35" s="47"/>
      <c r="Z35" s="43"/>
      <c r="AA35" s="31"/>
    </row>
    <row r="36" spans="1:27" ht="40" customHeight="1" x14ac:dyDescent="0.2">
      <c r="A36" s="9">
        <v>1</v>
      </c>
      <c r="B36" s="10" t="s">
        <v>670</v>
      </c>
      <c r="C36" s="10"/>
      <c r="D36" s="10"/>
      <c r="E36" s="10" t="s">
        <v>538</v>
      </c>
      <c r="F36" s="10"/>
      <c r="G36" s="10" t="s">
        <v>58</v>
      </c>
      <c r="H36" s="10"/>
      <c r="I36" s="10" t="s">
        <v>70</v>
      </c>
      <c r="J36" s="10" t="s">
        <v>321</v>
      </c>
      <c r="K36" s="10" t="s">
        <v>74</v>
      </c>
      <c r="L36" s="10" t="s">
        <v>87</v>
      </c>
      <c r="M36" s="10">
        <v>7</v>
      </c>
      <c r="N36" s="10" t="s">
        <v>161</v>
      </c>
      <c r="O36" s="10">
        <v>73.73</v>
      </c>
      <c r="P36" s="10">
        <f t="shared" si="5"/>
        <v>2688</v>
      </c>
      <c r="Q36" s="10">
        <f t="shared" ref="Q36:Q39" si="8">((32-2*0.2)*(12-2*0.2))*M36</f>
        <v>2565.92</v>
      </c>
      <c r="R36" s="10">
        <f t="shared" si="2"/>
        <v>34.801573308015733</v>
      </c>
      <c r="S36" s="10" t="s">
        <v>65</v>
      </c>
      <c r="T36" s="10"/>
      <c r="U36" s="10">
        <f>926400+145920+875520+259200+145920+91200+172800</f>
        <v>2616960</v>
      </c>
      <c r="V36" s="10" t="s">
        <v>244</v>
      </c>
      <c r="W36" s="43">
        <f t="shared" si="3"/>
        <v>1019.8915009041591</v>
      </c>
      <c r="X36" s="10">
        <v>4</v>
      </c>
      <c r="Y36" s="47"/>
      <c r="Z36" s="43"/>
      <c r="AA36" s="31"/>
    </row>
    <row r="37" spans="1:27" ht="40" customHeight="1" x14ac:dyDescent="0.2">
      <c r="A37" s="9">
        <v>1</v>
      </c>
      <c r="B37" s="10" t="s">
        <v>670</v>
      </c>
      <c r="C37" s="10"/>
      <c r="D37" s="10"/>
      <c r="E37" s="10" t="s">
        <v>538</v>
      </c>
      <c r="F37" s="10"/>
      <c r="G37" s="10" t="s">
        <v>58</v>
      </c>
      <c r="H37" s="10"/>
      <c r="I37" s="10" t="s">
        <v>70</v>
      </c>
      <c r="J37" s="10" t="s">
        <v>321</v>
      </c>
      <c r="K37" s="10" t="s">
        <v>74</v>
      </c>
      <c r="L37" s="10" t="s">
        <v>87</v>
      </c>
      <c r="M37" s="10">
        <v>7</v>
      </c>
      <c r="N37" s="10" t="s">
        <v>161</v>
      </c>
      <c r="O37" s="10">
        <v>73.73</v>
      </c>
      <c r="P37" s="10">
        <f t="shared" si="5"/>
        <v>2688</v>
      </c>
      <c r="Q37" s="10">
        <f t="shared" si="8"/>
        <v>2565.92</v>
      </c>
      <c r="R37" s="10">
        <f t="shared" si="2"/>
        <v>34.801573308015733</v>
      </c>
      <c r="S37" s="10" t="s">
        <v>67</v>
      </c>
      <c r="T37" s="10"/>
      <c r="U37" s="10">
        <v>8720</v>
      </c>
      <c r="V37" s="10" t="s">
        <v>244</v>
      </c>
      <c r="W37" s="43">
        <f t="shared" si="3"/>
        <v>3.3983912203030493</v>
      </c>
      <c r="X37" s="10">
        <v>4</v>
      </c>
      <c r="Y37" s="47"/>
      <c r="Z37" s="43"/>
      <c r="AA37" s="31"/>
    </row>
    <row r="38" spans="1:27" ht="40" customHeight="1" x14ac:dyDescent="0.2">
      <c r="A38" s="9">
        <v>1</v>
      </c>
      <c r="B38" s="10" t="s">
        <v>670</v>
      </c>
      <c r="C38" s="10"/>
      <c r="D38" s="10"/>
      <c r="E38" s="10" t="s">
        <v>538</v>
      </c>
      <c r="F38" s="10"/>
      <c r="G38" s="10" t="s">
        <v>58</v>
      </c>
      <c r="H38" s="10"/>
      <c r="I38" s="10" t="s">
        <v>70</v>
      </c>
      <c r="J38" s="10" t="s">
        <v>322</v>
      </c>
      <c r="K38" s="10" t="s">
        <v>121</v>
      </c>
      <c r="L38" s="10" t="s">
        <v>68</v>
      </c>
      <c r="M38" s="10">
        <v>7</v>
      </c>
      <c r="N38" s="10" t="s">
        <v>160</v>
      </c>
      <c r="O38" s="10">
        <v>76.16</v>
      </c>
      <c r="P38" s="10">
        <f t="shared" si="5"/>
        <v>2688</v>
      </c>
      <c r="Q38" s="10">
        <f t="shared" si="8"/>
        <v>2565.92</v>
      </c>
      <c r="R38" s="10">
        <f t="shared" si="2"/>
        <v>33.691176470588239</v>
      </c>
      <c r="S38" s="10" t="s">
        <v>65</v>
      </c>
      <c r="T38" s="10"/>
      <c r="U38" s="10">
        <f>926400+145920+875520+259200+145920+91200+172800</f>
        <v>2616960</v>
      </c>
      <c r="V38" s="10" t="s">
        <v>244</v>
      </c>
      <c r="W38" s="43">
        <f t="shared" si="3"/>
        <v>1019.8915009041591</v>
      </c>
      <c r="X38" s="10">
        <v>4</v>
      </c>
      <c r="Y38" s="47"/>
      <c r="Z38" s="43"/>
      <c r="AA38" s="31"/>
    </row>
    <row r="39" spans="1:27" ht="40" customHeight="1" x14ac:dyDescent="0.2">
      <c r="A39" s="9">
        <v>1</v>
      </c>
      <c r="B39" s="10" t="s">
        <v>670</v>
      </c>
      <c r="C39" s="10"/>
      <c r="D39" s="10"/>
      <c r="E39" s="10" t="s">
        <v>538</v>
      </c>
      <c r="F39" s="10"/>
      <c r="G39" s="10" t="s">
        <v>58</v>
      </c>
      <c r="H39" s="10"/>
      <c r="I39" s="10" t="s">
        <v>70</v>
      </c>
      <c r="J39" s="10" t="s">
        <v>322</v>
      </c>
      <c r="K39" s="10" t="s">
        <v>121</v>
      </c>
      <c r="L39" s="10" t="s">
        <v>68</v>
      </c>
      <c r="M39" s="10">
        <v>7</v>
      </c>
      <c r="N39" s="10" t="s">
        <v>160</v>
      </c>
      <c r="O39" s="10">
        <v>76.16</v>
      </c>
      <c r="P39" s="10">
        <f t="shared" si="5"/>
        <v>2688</v>
      </c>
      <c r="Q39" s="10">
        <f t="shared" si="8"/>
        <v>2565.92</v>
      </c>
      <c r="R39" s="10">
        <f t="shared" si="2"/>
        <v>33.691176470588239</v>
      </c>
      <c r="S39" s="10" t="s">
        <v>67</v>
      </c>
      <c r="T39" s="10"/>
      <c r="U39" s="10">
        <v>8720</v>
      </c>
      <c r="V39" s="10" t="s">
        <v>244</v>
      </c>
      <c r="W39" s="43">
        <f t="shared" si="3"/>
        <v>3.3983912203030493</v>
      </c>
      <c r="X39" s="10">
        <v>4</v>
      </c>
      <c r="Y39" s="47"/>
      <c r="Z39" s="43"/>
      <c r="AA39" s="31"/>
    </row>
    <row r="40" spans="1:27" ht="40" customHeight="1" x14ac:dyDescent="0.2">
      <c r="A40" s="9">
        <v>1</v>
      </c>
      <c r="B40" s="10" t="s">
        <v>670</v>
      </c>
      <c r="C40" s="10"/>
      <c r="D40" s="10"/>
      <c r="E40" s="10" t="s">
        <v>538</v>
      </c>
      <c r="F40" s="10"/>
      <c r="G40" s="10" t="s">
        <v>58</v>
      </c>
      <c r="H40" s="10"/>
      <c r="I40" s="10" t="s">
        <v>70</v>
      </c>
      <c r="J40" s="10" t="s">
        <v>323</v>
      </c>
      <c r="K40" s="10" t="s">
        <v>74</v>
      </c>
      <c r="L40" s="10" t="s">
        <v>159</v>
      </c>
      <c r="M40" s="10">
        <v>10</v>
      </c>
      <c r="N40" s="10" t="s">
        <v>158</v>
      </c>
      <c r="O40" s="10">
        <v>131.66999999999999</v>
      </c>
      <c r="P40" s="10">
        <f>(30*15)*M40</f>
        <v>4500</v>
      </c>
      <c r="Q40" s="10">
        <f>((30-2*0.35)*(15-2*0.35))*M40</f>
        <v>4189.8999999999996</v>
      </c>
      <c r="R40" s="10">
        <f t="shared" si="2"/>
        <v>31.821219715956559</v>
      </c>
      <c r="S40" s="10" t="s">
        <v>65</v>
      </c>
      <c r="T40" s="10"/>
      <c r="U40" s="10">
        <f>864000+172800+1555200+259200+145920+91200+172800</f>
        <v>3261120</v>
      </c>
      <c r="V40" s="10" t="s">
        <v>244</v>
      </c>
      <c r="W40" s="43">
        <f t="shared" si="3"/>
        <v>778.3288383970978</v>
      </c>
      <c r="X40" s="10">
        <v>4</v>
      </c>
      <c r="Y40" s="47"/>
      <c r="Z40" s="43"/>
      <c r="AA40" s="31"/>
    </row>
    <row r="41" spans="1:27" ht="40" customHeight="1" x14ac:dyDescent="0.2">
      <c r="A41" s="9">
        <v>1</v>
      </c>
      <c r="B41" s="10" t="s">
        <v>670</v>
      </c>
      <c r="C41" s="10"/>
      <c r="D41" s="10"/>
      <c r="E41" s="10" t="s">
        <v>538</v>
      </c>
      <c r="F41" s="10"/>
      <c r="G41" s="10" t="s">
        <v>58</v>
      </c>
      <c r="H41" s="10"/>
      <c r="I41" s="10" t="s">
        <v>70</v>
      </c>
      <c r="J41" s="10" t="s">
        <v>323</v>
      </c>
      <c r="K41" s="10" t="s">
        <v>74</v>
      </c>
      <c r="L41" s="10" t="s">
        <v>159</v>
      </c>
      <c r="M41" s="10">
        <v>10</v>
      </c>
      <c r="N41" s="10" t="s">
        <v>158</v>
      </c>
      <c r="O41" s="10">
        <v>131.66999999999999</v>
      </c>
      <c r="P41" s="10">
        <f>(30*15)*M41</f>
        <v>4500</v>
      </c>
      <c r="Q41" s="10">
        <f>((30-2*0.35)*(15-2*0.35))*M41</f>
        <v>4189.8999999999996</v>
      </c>
      <c r="R41" s="10">
        <f t="shared" si="2"/>
        <v>31.821219715956559</v>
      </c>
      <c r="S41" s="10" t="s">
        <v>67</v>
      </c>
      <c r="T41" s="10"/>
      <c r="U41" s="10">
        <v>10800</v>
      </c>
      <c r="V41" s="10" t="s">
        <v>244</v>
      </c>
      <c r="W41" s="43">
        <f t="shared" si="3"/>
        <v>2.5776271510059909</v>
      </c>
      <c r="X41" s="10">
        <v>4</v>
      </c>
      <c r="Y41" s="47"/>
      <c r="Z41" s="43"/>
      <c r="AA41" s="31"/>
    </row>
    <row r="42" spans="1:27" ht="40" customHeight="1" x14ac:dyDescent="0.2">
      <c r="A42" s="9">
        <v>1</v>
      </c>
      <c r="B42" s="10" t="s">
        <v>670</v>
      </c>
      <c r="C42" s="10"/>
      <c r="D42" s="10"/>
      <c r="E42" s="10" t="s">
        <v>538</v>
      </c>
      <c r="F42" s="10"/>
      <c r="G42" s="10" t="s">
        <v>58</v>
      </c>
      <c r="H42" s="10"/>
      <c r="I42" s="10" t="s">
        <v>70</v>
      </c>
      <c r="J42" s="10" t="s">
        <v>324</v>
      </c>
      <c r="K42" s="10" t="s">
        <v>121</v>
      </c>
      <c r="L42" s="10" t="s">
        <v>68</v>
      </c>
      <c r="M42" s="10">
        <v>10</v>
      </c>
      <c r="N42" s="10" t="s">
        <v>298</v>
      </c>
      <c r="O42" s="10">
        <v>131.66999999999999</v>
      </c>
      <c r="P42" s="10">
        <f>(30*15)*M42</f>
        <v>4500</v>
      </c>
      <c r="Q42" s="10">
        <f>((30-2*0.35)*(15-2*0.35))*M42</f>
        <v>4189.8999999999996</v>
      </c>
      <c r="R42" s="10">
        <f t="shared" si="2"/>
        <v>31.821219715956559</v>
      </c>
      <c r="S42" s="10" t="s">
        <v>65</v>
      </c>
      <c r="T42" s="10"/>
      <c r="U42" s="10">
        <f>864000+172800+1555200+259200+145920+91200+230400</f>
        <v>3318720</v>
      </c>
      <c r="V42" s="10" t="s">
        <v>244</v>
      </c>
      <c r="W42" s="43">
        <f t="shared" si="3"/>
        <v>792.07618320246308</v>
      </c>
      <c r="X42" s="10">
        <v>4</v>
      </c>
      <c r="Y42" s="47"/>
      <c r="Z42" s="43"/>
      <c r="AA42" s="31"/>
    </row>
    <row r="43" spans="1:27" ht="40" customHeight="1" x14ac:dyDescent="0.2">
      <c r="A43" s="9">
        <v>1</v>
      </c>
      <c r="B43" s="10" t="s">
        <v>670</v>
      </c>
      <c r="C43" s="10"/>
      <c r="D43" s="10"/>
      <c r="E43" s="10" t="s">
        <v>538</v>
      </c>
      <c r="F43" s="10"/>
      <c r="G43" s="10" t="s">
        <v>58</v>
      </c>
      <c r="H43" s="10"/>
      <c r="I43" s="10" t="s">
        <v>70</v>
      </c>
      <c r="J43" s="10" t="s">
        <v>324</v>
      </c>
      <c r="K43" s="10" t="s">
        <v>121</v>
      </c>
      <c r="L43" s="10" t="s">
        <v>68</v>
      </c>
      <c r="M43" s="10">
        <v>10</v>
      </c>
      <c r="N43" s="10" t="s">
        <v>298</v>
      </c>
      <c r="O43" s="10">
        <v>131.66999999999999</v>
      </c>
      <c r="P43" s="10">
        <f>(30*15)*M43</f>
        <v>4500</v>
      </c>
      <c r="Q43" s="10">
        <f>((30-2*0.35)*(15-2*0.35))*M43</f>
        <v>4189.8999999999996</v>
      </c>
      <c r="R43" s="10">
        <f t="shared" si="2"/>
        <v>31.821219715956559</v>
      </c>
      <c r="S43" s="10" t="s">
        <v>67</v>
      </c>
      <c r="T43" s="10"/>
      <c r="U43" s="10">
        <v>10800</v>
      </c>
      <c r="V43" s="10" t="s">
        <v>244</v>
      </c>
      <c r="W43" s="43">
        <f t="shared" si="3"/>
        <v>2.5776271510059909</v>
      </c>
      <c r="X43" s="10">
        <v>4</v>
      </c>
      <c r="Y43" s="47"/>
      <c r="Z43" s="43"/>
      <c r="AA43" s="31"/>
    </row>
    <row r="44" spans="1:27" ht="40" customHeight="1" x14ac:dyDescent="0.2">
      <c r="A44" s="9">
        <v>1</v>
      </c>
      <c r="B44" s="10" t="s">
        <v>670</v>
      </c>
      <c r="C44" s="10"/>
      <c r="D44" s="10"/>
      <c r="E44" s="10" t="s">
        <v>538</v>
      </c>
      <c r="F44" s="10"/>
      <c r="G44" s="10" t="s">
        <v>58</v>
      </c>
      <c r="H44" s="10"/>
      <c r="I44" s="10" t="s">
        <v>70</v>
      </c>
      <c r="J44" s="10" t="s">
        <v>325</v>
      </c>
      <c r="K44" s="10" t="s">
        <v>76</v>
      </c>
      <c r="L44" s="10">
        <v>1970</v>
      </c>
      <c r="M44" s="10">
        <v>10</v>
      </c>
      <c r="N44" s="10" t="s">
        <v>157</v>
      </c>
      <c r="O44" s="10">
        <v>131.66999999999999</v>
      </c>
      <c r="P44" s="10">
        <f>(30*15)*M44</f>
        <v>4500</v>
      </c>
      <c r="Q44" s="10">
        <f>((30-2*0.3)*(15-2*0.3))*M44</f>
        <v>4233.6000000000004</v>
      </c>
      <c r="R44" s="10">
        <f t="shared" si="2"/>
        <v>32.153110047846894</v>
      </c>
      <c r="S44" s="10" t="s">
        <v>65</v>
      </c>
      <c r="T44" s="10"/>
      <c r="U44" s="10">
        <f>1440000+864000+518400+172800+1036800+288000+172800+108000+230400</f>
        <v>4831200</v>
      </c>
      <c r="V44" s="10" t="s">
        <v>244</v>
      </c>
      <c r="W44" s="43">
        <f t="shared" si="3"/>
        <v>1141.156462585034</v>
      </c>
      <c r="X44" s="10">
        <v>4</v>
      </c>
      <c r="Y44" s="47"/>
      <c r="Z44" s="43"/>
      <c r="AA44" s="31"/>
    </row>
    <row r="45" spans="1:27" ht="40" customHeight="1" x14ac:dyDescent="0.2">
      <c r="A45" s="9">
        <v>1</v>
      </c>
      <c r="B45" s="10" t="s">
        <v>670</v>
      </c>
      <c r="C45" s="10"/>
      <c r="D45" s="10"/>
      <c r="E45" s="10" t="s">
        <v>539</v>
      </c>
      <c r="F45" s="10"/>
      <c r="G45" s="10" t="s">
        <v>58</v>
      </c>
      <c r="H45" s="10"/>
      <c r="I45" s="10" t="s">
        <v>389</v>
      </c>
      <c r="J45" s="10" t="s">
        <v>326</v>
      </c>
      <c r="K45" s="10" t="s">
        <v>119</v>
      </c>
      <c r="L45" s="10" t="s">
        <v>116</v>
      </c>
      <c r="M45" s="10">
        <v>2</v>
      </c>
      <c r="N45" s="10" t="s">
        <v>156</v>
      </c>
      <c r="O45" s="10">
        <v>3.7</v>
      </c>
      <c r="P45" s="10">
        <f t="shared" ref="P45:P63" si="9">(10*9)*M45</f>
        <v>180</v>
      </c>
      <c r="Q45" s="10">
        <f>((10-2*0.5)*(9-2*0.5))*M45</f>
        <v>144</v>
      </c>
      <c r="R45" s="10">
        <f t="shared" si="2"/>
        <v>38.918918918918919</v>
      </c>
      <c r="S45" s="10" t="s">
        <v>67</v>
      </c>
      <c r="T45" s="10"/>
      <c r="U45" s="10">
        <f>400+1750+250+2500+2484+1250+1242</f>
        <v>9876</v>
      </c>
      <c r="V45" s="10" t="s">
        <v>244</v>
      </c>
      <c r="W45" s="43">
        <f t="shared" si="3"/>
        <v>68.583333333333329</v>
      </c>
      <c r="X45" s="10">
        <v>1</v>
      </c>
      <c r="Y45" s="47"/>
      <c r="Z45" s="43"/>
      <c r="AA45" s="31"/>
    </row>
    <row r="46" spans="1:27" ht="40" customHeight="1" x14ac:dyDescent="0.2">
      <c r="A46" s="9">
        <v>1</v>
      </c>
      <c r="B46" s="10" t="s">
        <v>670</v>
      </c>
      <c r="C46" s="10"/>
      <c r="D46" s="10"/>
      <c r="E46" s="10" t="s">
        <v>539</v>
      </c>
      <c r="F46" s="10"/>
      <c r="G46" s="10" t="s">
        <v>58</v>
      </c>
      <c r="H46" s="10"/>
      <c r="I46" s="10" t="s">
        <v>389</v>
      </c>
      <c r="J46" s="10" t="s">
        <v>327</v>
      </c>
      <c r="K46" s="10" t="s">
        <v>155</v>
      </c>
      <c r="L46" s="10" t="s">
        <v>140</v>
      </c>
      <c r="M46" s="10">
        <v>2</v>
      </c>
      <c r="N46" s="10" t="s">
        <v>154</v>
      </c>
      <c r="O46" s="10">
        <v>3.7</v>
      </c>
      <c r="P46" s="10">
        <f t="shared" si="9"/>
        <v>180</v>
      </c>
      <c r="Q46" s="10">
        <f>((10-2*0.5)*(9-2*0.5))*M46</f>
        <v>144</v>
      </c>
      <c r="R46" s="10">
        <f t="shared" si="2"/>
        <v>38.918918918918919</v>
      </c>
      <c r="S46" s="10" t="s">
        <v>67</v>
      </c>
      <c r="T46" s="10"/>
      <c r="U46" s="10">
        <f>400+1750+250+2700+2500+2484+1250+1242</f>
        <v>12576</v>
      </c>
      <c r="V46" s="10" t="s">
        <v>244</v>
      </c>
      <c r="W46" s="43">
        <f t="shared" si="3"/>
        <v>87.333333333333329</v>
      </c>
      <c r="X46" s="10">
        <v>1</v>
      </c>
      <c r="Y46" s="47"/>
      <c r="Z46" s="43"/>
      <c r="AA46" s="31"/>
    </row>
    <row r="47" spans="1:27" ht="40" customHeight="1" x14ac:dyDescent="0.2">
      <c r="A47" s="9">
        <v>1</v>
      </c>
      <c r="B47" s="10" t="s">
        <v>670</v>
      </c>
      <c r="C47" s="10"/>
      <c r="D47" s="10"/>
      <c r="E47" s="10" t="s">
        <v>539</v>
      </c>
      <c r="F47" s="10"/>
      <c r="G47" s="10" t="s">
        <v>58</v>
      </c>
      <c r="H47" s="10"/>
      <c r="I47" s="10" t="s">
        <v>389</v>
      </c>
      <c r="J47" s="10" t="s">
        <v>328</v>
      </c>
      <c r="K47" s="10" t="s">
        <v>153</v>
      </c>
      <c r="L47" s="10" t="s">
        <v>140</v>
      </c>
      <c r="M47" s="10">
        <v>1</v>
      </c>
      <c r="N47" s="10" t="s">
        <v>152</v>
      </c>
      <c r="O47" s="10">
        <v>3.7</v>
      </c>
      <c r="P47" s="10">
        <f t="shared" si="9"/>
        <v>90</v>
      </c>
      <c r="Q47" s="10">
        <f>((10-2*0.32)*(9-2*0.32))*M47</f>
        <v>78.249599999999987</v>
      </c>
      <c r="R47" s="10">
        <f t="shared" si="2"/>
        <v>21.148540540540537</v>
      </c>
      <c r="S47" s="10" t="s">
        <v>67</v>
      </c>
      <c r="T47" s="10"/>
      <c r="U47" s="10">
        <f>3200+1600+400+1750+250+2700+2500+2484+1250+1242</f>
        <v>17376</v>
      </c>
      <c r="V47" s="10" t="s">
        <v>244</v>
      </c>
      <c r="W47" s="43">
        <f t="shared" si="3"/>
        <v>222.05864311127473</v>
      </c>
      <c r="X47" s="10">
        <v>1</v>
      </c>
      <c r="Y47" s="47"/>
      <c r="Z47" s="43"/>
      <c r="AA47" s="31"/>
    </row>
    <row r="48" spans="1:27" ht="40" customHeight="1" x14ac:dyDescent="0.2">
      <c r="A48" s="9">
        <v>1</v>
      </c>
      <c r="B48" s="10" t="s">
        <v>670</v>
      </c>
      <c r="C48" s="10"/>
      <c r="D48" s="10"/>
      <c r="E48" s="10" t="s">
        <v>539</v>
      </c>
      <c r="F48" s="10"/>
      <c r="G48" s="10" t="s">
        <v>58</v>
      </c>
      <c r="H48" s="10"/>
      <c r="I48" s="10" t="s">
        <v>389</v>
      </c>
      <c r="J48" s="10" t="s">
        <v>329</v>
      </c>
      <c r="K48" s="10" t="s">
        <v>151</v>
      </c>
      <c r="L48" s="10" t="s">
        <v>111</v>
      </c>
      <c r="M48" s="10">
        <v>1</v>
      </c>
      <c r="N48" s="10" t="s">
        <v>150</v>
      </c>
      <c r="O48" s="10">
        <v>3.8</v>
      </c>
      <c r="P48" s="10">
        <f t="shared" si="9"/>
        <v>90</v>
      </c>
      <c r="Q48" s="10">
        <f>((10-2*0.3)*(9-2*0.3))*M48</f>
        <v>78.960000000000008</v>
      </c>
      <c r="R48" s="10">
        <f t="shared" si="2"/>
        <v>20.778947368421054</v>
      </c>
      <c r="S48" s="10" t="s">
        <v>65</v>
      </c>
      <c r="T48" s="10"/>
      <c r="U48" s="10">
        <f>17280+38400+34560+21600+30000</f>
        <v>141840</v>
      </c>
      <c r="V48" s="10" t="s">
        <v>244</v>
      </c>
      <c r="W48" s="43">
        <f t="shared" si="3"/>
        <v>1796.352583586626</v>
      </c>
      <c r="X48" s="10">
        <v>1</v>
      </c>
      <c r="Y48" s="47"/>
      <c r="Z48" s="43"/>
      <c r="AA48" s="31"/>
    </row>
    <row r="49" spans="1:27" ht="40" customHeight="1" x14ac:dyDescent="0.2">
      <c r="A49" s="9">
        <v>1</v>
      </c>
      <c r="B49" s="10" t="s">
        <v>670</v>
      </c>
      <c r="C49" s="10"/>
      <c r="D49" s="10"/>
      <c r="E49" s="10" t="s">
        <v>539</v>
      </c>
      <c r="F49" s="10"/>
      <c r="G49" s="10" t="s">
        <v>58</v>
      </c>
      <c r="H49" s="10"/>
      <c r="I49" s="10" t="s">
        <v>389</v>
      </c>
      <c r="J49" s="10" t="s">
        <v>329</v>
      </c>
      <c r="K49" s="10" t="s">
        <v>151</v>
      </c>
      <c r="L49" s="10" t="s">
        <v>111</v>
      </c>
      <c r="M49" s="10">
        <v>1</v>
      </c>
      <c r="N49" s="10" t="s">
        <v>150</v>
      </c>
      <c r="O49" s="10">
        <v>3.8</v>
      </c>
      <c r="P49" s="10">
        <f t="shared" si="9"/>
        <v>90</v>
      </c>
      <c r="Q49" s="10">
        <f>((10-2*0.3)*(9-2*0.3))*M49</f>
        <v>78.960000000000008</v>
      </c>
      <c r="R49" s="10">
        <f t="shared" si="2"/>
        <v>20.778947368421054</v>
      </c>
      <c r="S49" s="10" t="s">
        <v>67</v>
      </c>
      <c r="T49" s="10"/>
      <c r="U49" s="10">
        <f>400+1750+250</f>
        <v>2400</v>
      </c>
      <c r="V49" s="10" t="s">
        <v>244</v>
      </c>
      <c r="W49" s="43">
        <f t="shared" si="3"/>
        <v>30.3951367781155</v>
      </c>
      <c r="X49" s="10">
        <v>1</v>
      </c>
      <c r="Y49" s="47"/>
      <c r="Z49" s="43"/>
      <c r="AA49" s="31"/>
    </row>
    <row r="50" spans="1:27" ht="40" customHeight="1" x14ac:dyDescent="0.2">
      <c r="A50" s="9">
        <v>1</v>
      </c>
      <c r="B50" s="10" t="s">
        <v>670</v>
      </c>
      <c r="C50" s="10"/>
      <c r="D50" s="10"/>
      <c r="E50" s="10" t="s">
        <v>539</v>
      </c>
      <c r="F50" s="10"/>
      <c r="G50" s="10" t="s">
        <v>58</v>
      </c>
      <c r="H50" s="10"/>
      <c r="I50" s="10" t="s">
        <v>389</v>
      </c>
      <c r="J50" s="10" t="s">
        <v>330</v>
      </c>
      <c r="K50" s="10" t="s">
        <v>110</v>
      </c>
      <c r="L50" s="10" t="s">
        <v>93</v>
      </c>
      <c r="M50" s="10">
        <v>1</v>
      </c>
      <c r="N50" s="10" t="s">
        <v>149</v>
      </c>
      <c r="O50" s="10">
        <v>3.7</v>
      </c>
      <c r="P50" s="10">
        <f t="shared" si="9"/>
        <v>90</v>
      </c>
      <c r="Q50" s="10">
        <f>((10-2*0.35)*(9-2*0.35))*M50</f>
        <v>77.190000000000012</v>
      </c>
      <c r="R50" s="10">
        <f t="shared" si="2"/>
        <v>20.862162162162164</v>
      </c>
      <c r="S50" s="10" t="s">
        <v>65</v>
      </c>
      <c r="T50" s="10"/>
      <c r="U50" s="10">
        <f>69120+38400+34560+21600+30000</f>
        <v>193680</v>
      </c>
      <c r="V50" s="10" t="s">
        <v>244</v>
      </c>
      <c r="W50" s="43">
        <f t="shared" si="3"/>
        <v>2509.1333074232411</v>
      </c>
      <c r="X50" s="10">
        <v>1</v>
      </c>
      <c r="Y50" s="47"/>
      <c r="Z50" s="43"/>
      <c r="AA50" s="31"/>
    </row>
    <row r="51" spans="1:27" ht="40" customHeight="1" x14ac:dyDescent="0.2">
      <c r="A51" s="9">
        <v>1</v>
      </c>
      <c r="B51" s="10" t="s">
        <v>670</v>
      </c>
      <c r="C51" s="10"/>
      <c r="D51" s="10"/>
      <c r="E51" s="10" t="s">
        <v>539</v>
      </c>
      <c r="F51" s="10"/>
      <c r="G51" s="10" t="s">
        <v>58</v>
      </c>
      <c r="H51" s="10"/>
      <c r="I51" s="10" t="s">
        <v>389</v>
      </c>
      <c r="J51" s="10" t="s">
        <v>330</v>
      </c>
      <c r="K51" s="10" t="s">
        <v>110</v>
      </c>
      <c r="L51" s="10" t="s">
        <v>93</v>
      </c>
      <c r="M51" s="10">
        <v>1</v>
      </c>
      <c r="N51" s="10" t="s">
        <v>149</v>
      </c>
      <c r="O51" s="10">
        <v>3.7</v>
      </c>
      <c r="P51" s="10">
        <f t="shared" si="9"/>
        <v>90</v>
      </c>
      <c r="Q51" s="10">
        <f>((10-2*0.35)*(9-2*0.35))*M51</f>
        <v>77.190000000000012</v>
      </c>
      <c r="R51" s="10">
        <f t="shared" si="2"/>
        <v>20.862162162162164</v>
      </c>
      <c r="S51" s="10" t="s">
        <v>67</v>
      </c>
      <c r="T51" s="10"/>
      <c r="U51" s="10">
        <f>400+1750+250</f>
        <v>2400</v>
      </c>
      <c r="V51" s="10" t="s">
        <v>244</v>
      </c>
      <c r="W51" s="43">
        <f t="shared" si="3"/>
        <v>31.092110376991833</v>
      </c>
      <c r="X51" s="10">
        <v>1</v>
      </c>
      <c r="Y51" s="47"/>
      <c r="Z51" s="43"/>
      <c r="AA51" s="31"/>
    </row>
    <row r="52" spans="1:27" ht="40" customHeight="1" x14ac:dyDescent="0.2">
      <c r="A52" s="9">
        <v>1</v>
      </c>
      <c r="B52" s="10" t="s">
        <v>670</v>
      </c>
      <c r="C52" s="10"/>
      <c r="D52" s="10"/>
      <c r="E52" s="10" t="s">
        <v>539</v>
      </c>
      <c r="F52" s="10"/>
      <c r="G52" s="10" t="s">
        <v>58</v>
      </c>
      <c r="H52" s="10"/>
      <c r="I52" s="10" t="s">
        <v>389</v>
      </c>
      <c r="J52" s="10" t="s">
        <v>331</v>
      </c>
      <c r="K52" s="10" t="s">
        <v>110</v>
      </c>
      <c r="L52" s="10" t="s">
        <v>83</v>
      </c>
      <c r="M52" s="10">
        <v>1</v>
      </c>
      <c r="N52" s="10" t="s">
        <v>148</v>
      </c>
      <c r="O52" s="10">
        <v>3.7</v>
      </c>
      <c r="P52" s="10">
        <f t="shared" si="9"/>
        <v>90</v>
      </c>
      <c r="Q52" s="10">
        <f t="shared" ref="Q52:Q55" si="10">((10-2*0.25)*(9-2*0.25))*M52</f>
        <v>80.75</v>
      </c>
      <c r="R52" s="10">
        <f t="shared" si="2"/>
        <v>21.824324324324323</v>
      </c>
      <c r="S52" s="10" t="s">
        <v>65</v>
      </c>
      <c r="T52" s="10"/>
      <c r="U52" s="10">
        <f>69120+38400+34560+21600+30000</f>
        <v>193680</v>
      </c>
      <c r="V52" s="10" t="s">
        <v>244</v>
      </c>
      <c r="W52" s="43">
        <f t="shared" si="3"/>
        <v>2398.5139318885449</v>
      </c>
      <c r="X52" s="10">
        <v>1</v>
      </c>
      <c r="Y52" s="47"/>
      <c r="Z52" s="43"/>
      <c r="AA52" s="31"/>
    </row>
    <row r="53" spans="1:27" ht="40" customHeight="1" x14ac:dyDescent="0.2">
      <c r="A53" s="9">
        <v>1</v>
      </c>
      <c r="B53" s="10" t="s">
        <v>670</v>
      </c>
      <c r="C53" s="10"/>
      <c r="D53" s="10"/>
      <c r="E53" s="10" t="s">
        <v>539</v>
      </c>
      <c r="F53" s="10"/>
      <c r="G53" s="10" t="s">
        <v>58</v>
      </c>
      <c r="H53" s="10"/>
      <c r="I53" s="10" t="s">
        <v>389</v>
      </c>
      <c r="J53" s="10" t="s">
        <v>331</v>
      </c>
      <c r="K53" s="10" t="s">
        <v>110</v>
      </c>
      <c r="L53" s="10" t="s">
        <v>83</v>
      </c>
      <c r="M53" s="10">
        <v>1</v>
      </c>
      <c r="N53" s="10" t="s">
        <v>148</v>
      </c>
      <c r="O53" s="10">
        <v>3.7</v>
      </c>
      <c r="P53" s="10">
        <f t="shared" si="9"/>
        <v>90</v>
      </c>
      <c r="Q53" s="10">
        <f t="shared" si="10"/>
        <v>80.75</v>
      </c>
      <c r="R53" s="10">
        <f t="shared" si="2"/>
        <v>21.824324324324323</v>
      </c>
      <c r="S53" s="10" t="s">
        <v>67</v>
      </c>
      <c r="T53" s="10"/>
      <c r="U53" s="10">
        <f>400+1750</f>
        <v>2150</v>
      </c>
      <c r="V53" s="10" t="s">
        <v>244</v>
      </c>
      <c r="W53" s="43">
        <f t="shared" si="3"/>
        <v>26.625386996904023</v>
      </c>
      <c r="X53" s="10">
        <v>1</v>
      </c>
      <c r="Y53" s="47"/>
      <c r="Z53" s="43"/>
      <c r="AA53" s="31"/>
    </row>
    <row r="54" spans="1:27" ht="40" customHeight="1" x14ac:dyDescent="0.2">
      <c r="A54" s="9">
        <v>1</v>
      </c>
      <c r="B54" s="10" t="s">
        <v>670</v>
      </c>
      <c r="C54" s="10"/>
      <c r="D54" s="10"/>
      <c r="E54" s="10" t="s">
        <v>539</v>
      </c>
      <c r="F54" s="10"/>
      <c r="G54" s="10" t="s">
        <v>58</v>
      </c>
      <c r="H54" s="10"/>
      <c r="I54" s="10" t="s">
        <v>389</v>
      </c>
      <c r="J54" s="10" t="s">
        <v>332</v>
      </c>
      <c r="K54" s="10" t="s">
        <v>108</v>
      </c>
      <c r="L54" s="10" t="s">
        <v>68</v>
      </c>
      <c r="M54" s="10">
        <v>1</v>
      </c>
      <c r="N54" s="10" t="s">
        <v>147</v>
      </c>
      <c r="O54" s="10">
        <v>3.7</v>
      </c>
      <c r="P54" s="10">
        <f t="shared" si="9"/>
        <v>90</v>
      </c>
      <c r="Q54" s="10">
        <f t="shared" si="10"/>
        <v>80.75</v>
      </c>
      <c r="R54" s="10">
        <f t="shared" si="2"/>
        <v>21.824324324324323</v>
      </c>
      <c r="S54" s="10" t="s">
        <v>65</v>
      </c>
      <c r="T54" s="10"/>
      <c r="U54" s="10">
        <f>69120+38400+34560+21600+30000</f>
        <v>193680</v>
      </c>
      <c r="V54" s="10" t="s">
        <v>244</v>
      </c>
      <c r="W54" s="43">
        <f t="shared" si="3"/>
        <v>2398.5139318885449</v>
      </c>
      <c r="X54" s="10">
        <v>1</v>
      </c>
      <c r="Y54" s="47"/>
      <c r="Z54" s="43"/>
      <c r="AA54" s="31"/>
    </row>
    <row r="55" spans="1:27" ht="40" customHeight="1" x14ac:dyDescent="0.2">
      <c r="A55" s="9">
        <v>1</v>
      </c>
      <c r="B55" s="10" t="s">
        <v>670</v>
      </c>
      <c r="C55" s="10"/>
      <c r="D55" s="10"/>
      <c r="E55" s="10" t="s">
        <v>539</v>
      </c>
      <c r="F55" s="10"/>
      <c r="G55" s="10" t="s">
        <v>58</v>
      </c>
      <c r="H55" s="10"/>
      <c r="I55" s="10" t="s">
        <v>389</v>
      </c>
      <c r="J55" s="10" t="s">
        <v>332</v>
      </c>
      <c r="K55" s="10" t="s">
        <v>108</v>
      </c>
      <c r="L55" s="10" t="s">
        <v>68</v>
      </c>
      <c r="M55" s="10">
        <v>1</v>
      </c>
      <c r="N55" s="10" t="s">
        <v>147</v>
      </c>
      <c r="O55" s="10">
        <v>3.7</v>
      </c>
      <c r="P55" s="10">
        <f t="shared" si="9"/>
        <v>90</v>
      </c>
      <c r="Q55" s="10">
        <f t="shared" si="10"/>
        <v>80.75</v>
      </c>
      <c r="R55" s="10">
        <f t="shared" si="2"/>
        <v>21.824324324324323</v>
      </c>
      <c r="S55" s="10" t="s">
        <v>67</v>
      </c>
      <c r="T55" s="10"/>
      <c r="U55" s="10">
        <f>400+1750+250</f>
        <v>2400</v>
      </c>
      <c r="V55" s="10" t="s">
        <v>244</v>
      </c>
      <c r="W55" s="43">
        <f t="shared" si="3"/>
        <v>29.721362229102166</v>
      </c>
      <c r="X55" s="10">
        <v>1</v>
      </c>
      <c r="Y55" s="47"/>
      <c r="Z55" s="43"/>
      <c r="AA55" s="31"/>
    </row>
    <row r="56" spans="1:27" ht="40" customHeight="1" x14ac:dyDescent="0.2">
      <c r="A56" s="9">
        <v>1</v>
      </c>
      <c r="B56" s="10" t="s">
        <v>670</v>
      </c>
      <c r="C56" s="10"/>
      <c r="D56" s="10"/>
      <c r="E56" s="10" t="s">
        <v>539</v>
      </c>
      <c r="F56" s="10"/>
      <c r="G56" s="10" t="s">
        <v>58</v>
      </c>
      <c r="H56" s="10"/>
      <c r="I56" s="10" t="s">
        <v>389</v>
      </c>
      <c r="J56" s="10" t="s">
        <v>333</v>
      </c>
      <c r="K56" s="10" t="s">
        <v>146</v>
      </c>
      <c r="L56" s="10" t="s">
        <v>87</v>
      </c>
      <c r="M56" s="10">
        <v>1</v>
      </c>
      <c r="N56" s="10" t="s">
        <v>145</v>
      </c>
      <c r="O56" s="10">
        <v>3.7</v>
      </c>
      <c r="P56" s="10">
        <f t="shared" si="9"/>
        <v>90</v>
      </c>
      <c r="Q56" s="10">
        <f t="shared" ref="Q56:Q59" si="11">((10-2*0.2)*(9-2*0.2))*M56</f>
        <v>82.559999999999988</v>
      </c>
      <c r="R56" s="10">
        <f t="shared" si="2"/>
        <v>22.313513513513509</v>
      </c>
      <c r="S56" s="10" t="s">
        <v>65</v>
      </c>
      <c r="T56" s="10"/>
      <c r="U56" s="10">
        <f>69120+38400+34560+21600+30000</f>
        <v>193680</v>
      </c>
      <c r="V56" s="10" t="s">
        <v>244</v>
      </c>
      <c r="W56" s="43">
        <f t="shared" si="3"/>
        <v>2345.9302325581398</v>
      </c>
      <c r="X56" s="10">
        <v>1</v>
      </c>
      <c r="Y56" s="47"/>
      <c r="Z56" s="43"/>
      <c r="AA56" s="31"/>
    </row>
    <row r="57" spans="1:27" ht="40" customHeight="1" x14ac:dyDescent="0.2">
      <c r="A57" s="9">
        <v>1</v>
      </c>
      <c r="B57" s="10" t="s">
        <v>670</v>
      </c>
      <c r="C57" s="10"/>
      <c r="D57" s="10"/>
      <c r="E57" s="10" t="s">
        <v>539</v>
      </c>
      <c r="F57" s="10"/>
      <c r="G57" s="10" t="s">
        <v>58</v>
      </c>
      <c r="H57" s="10"/>
      <c r="I57" s="10" t="s">
        <v>389</v>
      </c>
      <c r="J57" s="10" t="s">
        <v>333</v>
      </c>
      <c r="K57" s="10" t="s">
        <v>146</v>
      </c>
      <c r="L57" s="10" t="s">
        <v>87</v>
      </c>
      <c r="M57" s="10">
        <v>1</v>
      </c>
      <c r="N57" s="10" t="s">
        <v>145</v>
      </c>
      <c r="O57" s="10">
        <v>3.7</v>
      </c>
      <c r="P57" s="10">
        <f t="shared" si="9"/>
        <v>90</v>
      </c>
      <c r="Q57" s="10">
        <f t="shared" si="11"/>
        <v>82.559999999999988</v>
      </c>
      <c r="R57" s="10">
        <f t="shared" si="2"/>
        <v>22.313513513513509</v>
      </c>
      <c r="S57" s="10" t="s">
        <v>67</v>
      </c>
      <c r="T57" s="10"/>
      <c r="U57" s="10">
        <f>400+1750+250</f>
        <v>2400</v>
      </c>
      <c r="V57" s="10" t="s">
        <v>244</v>
      </c>
      <c r="W57" s="43">
        <f t="shared" si="3"/>
        <v>29.069767441860471</v>
      </c>
      <c r="X57" s="10">
        <v>1</v>
      </c>
      <c r="Y57" s="47"/>
      <c r="Z57" s="43"/>
      <c r="AA57" s="31"/>
    </row>
    <row r="58" spans="1:27" ht="40" customHeight="1" x14ac:dyDescent="0.2">
      <c r="A58" s="9">
        <v>1</v>
      </c>
      <c r="B58" s="10" t="s">
        <v>670</v>
      </c>
      <c r="C58" s="10"/>
      <c r="D58" s="10"/>
      <c r="E58" s="10" t="s">
        <v>539</v>
      </c>
      <c r="F58" s="10"/>
      <c r="G58" s="10" t="s">
        <v>58</v>
      </c>
      <c r="H58" s="10"/>
      <c r="I58" s="10" t="s">
        <v>389</v>
      </c>
      <c r="J58" s="10" t="s">
        <v>334</v>
      </c>
      <c r="K58" s="10" t="s">
        <v>144</v>
      </c>
      <c r="L58" s="10" t="s">
        <v>68</v>
      </c>
      <c r="M58" s="10">
        <v>1</v>
      </c>
      <c r="N58" s="10" t="s">
        <v>297</v>
      </c>
      <c r="O58" s="10">
        <v>3.7</v>
      </c>
      <c r="P58" s="10">
        <f t="shared" si="9"/>
        <v>90</v>
      </c>
      <c r="Q58" s="10">
        <f t="shared" si="11"/>
        <v>82.559999999999988</v>
      </c>
      <c r="R58" s="10">
        <f t="shared" si="2"/>
        <v>22.313513513513509</v>
      </c>
      <c r="S58" s="10" t="s">
        <v>65</v>
      </c>
      <c r="T58" s="10"/>
      <c r="U58" s="10">
        <f>69120+38400+34560+21600+30000</f>
        <v>193680</v>
      </c>
      <c r="V58" s="10" t="s">
        <v>244</v>
      </c>
      <c r="W58" s="43">
        <f t="shared" si="3"/>
        <v>2345.9302325581398</v>
      </c>
      <c r="X58" s="10">
        <v>1</v>
      </c>
      <c r="Y58" s="47"/>
      <c r="Z58" s="43"/>
      <c r="AA58" s="31"/>
    </row>
    <row r="59" spans="1:27" ht="40" customHeight="1" x14ac:dyDescent="0.2">
      <c r="A59" s="9">
        <v>1</v>
      </c>
      <c r="B59" s="10" t="s">
        <v>670</v>
      </c>
      <c r="C59" s="10"/>
      <c r="D59" s="10"/>
      <c r="E59" s="10" t="s">
        <v>539</v>
      </c>
      <c r="F59" s="10"/>
      <c r="G59" s="10" t="s">
        <v>58</v>
      </c>
      <c r="H59" s="10"/>
      <c r="I59" s="10" t="s">
        <v>389</v>
      </c>
      <c r="J59" s="10" t="s">
        <v>334</v>
      </c>
      <c r="K59" s="10" t="s">
        <v>144</v>
      </c>
      <c r="L59" s="10" t="s">
        <v>68</v>
      </c>
      <c r="M59" s="10">
        <v>1</v>
      </c>
      <c r="N59" s="10" t="s">
        <v>297</v>
      </c>
      <c r="O59" s="10">
        <v>3.7</v>
      </c>
      <c r="P59" s="10">
        <f t="shared" si="9"/>
        <v>90</v>
      </c>
      <c r="Q59" s="10">
        <f t="shared" si="11"/>
        <v>82.559999999999988</v>
      </c>
      <c r="R59" s="10">
        <f t="shared" si="2"/>
        <v>22.313513513513509</v>
      </c>
      <c r="S59" s="10" t="s">
        <v>67</v>
      </c>
      <c r="T59" s="10"/>
      <c r="U59" s="10">
        <f>400+1750+250</f>
        <v>2400</v>
      </c>
      <c r="V59" s="10" t="s">
        <v>244</v>
      </c>
      <c r="W59" s="43">
        <f t="shared" si="3"/>
        <v>29.069767441860471</v>
      </c>
      <c r="X59" s="10">
        <v>1</v>
      </c>
      <c r="Y59" s="47"/>
      <c r="Z59" s="43"/>
      <c r="AA59" s="31"/>
    </row>
    <row r="60" spans="1:27" ht="40" customHeight="1" x14ac:dyDescent="0.2">
      <c r="A60" s="9">
        <v>1</v>
      </c>
      <c r="B60" s="10" t="s">
        <v>670</v>
      </c>
      <c r="C60" s="10"/>
      <c r="D60" s="10"/>
      <c r="E60" s="10" t="s">
        <v>539</v>
      </c>
      <c r="F60" s="10"/>
      <c r="G60" s="10" t="s">
        <v>58</v>
      </c>
      <c r="H60" s="10"/>
      <c r="I60" s="10" t="s">
        <v>389</v>
      </c>
      <c r="J60" s="10" t="s">
        <v>335</v>
      </c>
      <c r="K60" s="10" t="s">
        <v>107</v>
      </c>
      <c r="L60" s="10" t="s">
        <v>83</v>
      </c>
      <c r="M60" s="10">
        <v>1</v>
      </c>
      <c r="N60" s="10" t="s">
        <v>133</v>
      </c>
      <c r="O60" s="10">
        <v>3.6</v>
      </c>
      <c r="P60" s="10">
        <f t="shared" si="9"/>
        <v>90</v>
      </c>
      <c r="Q60" s="10">
        <f t="shared" ref="Q60:Q63" si="12">((10-2*0.16)*(9-2*0.16))*M60</f>
        <v>84.02239999999999</v>
      </c>
      <c r="R60" s="10">
        <f t="shared" si="2"/>
        <v>23.339555555555553</v>
      </c>
      <c r="S60" s="10" t="s">
        <v>65</v>
      </c>
      <c r="T60" s="10"/>
      <c r="U60" s="10">
        <f>38400+34560+21600+30000</f>
        <v>124560</v>
      </c>
      <c r="V60" s="10" t="s">
        <v>244</v>
      </c>
      <c r="W60" s="43">
        <f t="shared" si="3"/>
        <v>1482.4618197052216</v>
      </c>
      <c r="X60" s="10">
        <v>1</v>
      </c>
      <c r="Y60" s="47"/>
      <c r="Z60" s="43"/>
      <c r="AA60" s="31"/>
    </row>
    <row r="61" spans="1:27" ht="40" customHeight="1" x14ac:dyDescent="0.2">
      <c r="A61" s="9">
        <v>1</v>
      </c>
      <c r="B61" s="10" t="s">
        <v>670</v>
      </c>
      <c r="C61" s="10"/>
      <c r="D61" s="10"/>
      <c r="E61" s="10" t="s">
        <v>539</v>
      </c>
      <c r="F61" s="10"/>
      <c r="G61" s="10" t="s">
        <v>58</v>
      </c>
      <c r="H61" s="10"/>
      <c r="I61" s="10" t="s">
        <v>389</v>
      </c>
      <c r="J61" s="10" t="s">
        <v>335</v>
      </c>
      <c r="K61" s="10" t="s">
        <v>107</v>
      </c>
      <c r="L61" s="10" t="s">
        <v>83</v>
      </c>
      <c r="M61" s="10">
        <v>1</v>
      </c>
      <c r="N61" s="10" t="s">
        <v>133</v>
      </c>
      <c r="O61" s="10">
        <v>3.6</v>
      </c>
      <c r="P61" s="10">
        <f t="shared" si="9"/>
        <v>90</v>
      </c>
      <c r="Q61" s="10">
        <f t="shared" si="12"/>
        <v>84.02239999999999</v>
      </c>
      <c r="R61" s="10">
        <f t="shared" si="2"/>
        <v>23.339555555555553</v>
      </c>
      <c r="S61" s="10" t="s">
        <v>67</v>
      </c>
      <c r="T61" s="10"/>
      <c r="U61" s="10">
        <f>3200+1600+400+1750+250+2700+2500+2484</f>
        <v>14884</v>
      </c>
      <c r="V61" s="10" t="s">
        <v>244</v>
      </c>
      <c r="W61" s="43">
        <f t="shared" si="3"/>
        <v>177.1432379936779</v>
      </c>
      <c r="X61" s="10">
        <v>1</v>
      </c>
      <c r="Y61" s="47"/>
      <c r="Z61" s="43"/>
      <c r="AA61" s="31"/>
    </row>
    <row r="62" spans="1:27" ht="40" customHeight="1" x14ac:dyDescent="0.2">
      <c r="A62" s="9">
        <v>1</v>
      </c>
      <c r="B62" s="10" t="s">
        <v>670</v>
      </c>
      <c r="C62" s="10"/>
      <c r="D62" s="10"/>
      <c r="E62" s="10" t="s">
        <v>539</v>
      </c>
      <c r="F62" s="10"/>
      <c r="G62" s="10" t="s">
        <v>58</v>
      </c>
      <c r="H62" s="10"/>
      <c r="I62" s="10" t="s">
        <v>389</v>
      </c>
      <c r="J62" s="10" t="s">
        <v>336</v>
      </c>
      <c r="K62" s="10" t="s">
        <v>105</v>
      </c>
      <c r="L62" s="10" t="s">
        <v>68</v>
      </c>
      <c r="M62" s="10">
        <v>1</v>
      </c>
      <c r="N62" s="10" t="s">
        <v>143</v>
      </c>
      <c r="O62" s="10">
        <v>3.7</v>
      </c>
      <c r="P62" s="10">
        <f t="shared" si="9"/>
        <v>90</v>
      </c>
      <c r="Q62" s="10">
        <f t="shared" si="12"/>
        <v>84.02239999999999</v>
      </c>
      <c r="R62" s="10">
        <f t="shared" si="2"/>
        <v>22.708756756756753</v>
      </c>
      <c r="S62" s="10" t="s">
        <v>65</v>
      </c>
      <c r="T62" s="10"/>
      <c r="U62" s="10">
        <f>38400+34560+21600+30000</f>
        <v>124560</v>
      </c>
      <c r="V62" s="10" t="s">
        <v>244</v>
      </c>
      <c r="W62" s="43">
        <f t="shared" si="3"/>
        <v>1482.4618197052216</v>
      </c>
      <c r="X62" s="10">
        <v>1</v>
      </c>
      <c r="Y62" s="47"/>
      <c r="Z62" s="43"/>
      <c r="AA62" s="31"/>
    </row>
    <row r="63" spans="1:27" ht="40" customHeight="1" x14ac:dyDescent="0.2">
      <c r="A63" s="9">
        <v>1</v>
      </c>
      <c r="B63" s="10" t="s">
        <v>670</v>
      </c>
      <c r="C63" s="10"/>
      <c r="D63" s="10"/>
      <c r="E63" s="10" t="s">
        <v>539</v>
      </c>
      <c r="F63" s="10"/>
      <c r="G63" s="10" t="s">
        <v>58</v>
      </c>
      <c r="H63" s="10"/>
      <c r="I63" s="10" t="s">
        <v>389</v>
      </c>
      <c r="J63" s="10" t="s">
        <v>336</v>
      </c>
      <c r="K63" s="10" t="s">
        <v>105</v>
      </c>
      <c r="L63" s="10" t="s">
        <v>68</v>
      </c>
      <c r="M63" s="10">
        <v>1</v>
      </c>
      <c r="N63" s="10" t="s">
        <v>143</v>
      </c>
      <c r="O63" s="10">
        <v>3.7</v>
      </c>
      <c r="P63" s="10">
        <f t="shared" si="9"/>
        <v>90</v>
      </c>
      <c r="Q63" s="10">
        <f t="shared" si="12"/>
        <v>84.02239999999999</v>
      </c>
      <c r="R63" s="10">
        <f t="shared" si="2"/>
        <v>22.708756756756753</v>
      </c>
      <c r="S63" s="10" t="s">
        <v>67</v>
      </c>
      <c r="T63" s="10"/>
      <c r="U63" s="10">
        <f>3200+1600+400+1750+250+2700+2500+2484</f>
        <v>14884</v>
      </c>
      <c r="V63" s="10" t="s">
        <v>244</v>
      </c>
      <c r="W63" s="43">
        <f t="shared" si="3"/>
        <v>177.1432379936779</v>
      </c>
      <c r="X63" s="10">
        <v>1</v>
      </c>
      <c r="Y63" s="47"/>
      <c r="Z63" s="43"/>
      <c r="AA63" s="31"/>
    </row>
    <row r="64" spans="1:27" ht="40" customHeight="1" x14ac:dyDescent="0.2">
      <c r="A64" s="9">
        <v>1</v>
      </c>
      <c r="B64" s="10" t="s">
        <v>670</v>
      </c>
      <c r="C64" s="10"/>
      <c r="D64" s="10"/>
      <c r="E64" s="10" t="s">
        <v>539</v>
      </c>
      <c r="F64" s="10"/>
      <c r="G64" s="10" t="s">
        <v>58</v>
      </c>
      <c r="H64" s="10"/>
      <c r="I64" s="10" t="s">
        <v>433</v>
      </c>
      <c r="J64" s="10" t="s">
        <v>337</v>
      </c>
      <c r="K64" s="10" t="s">
        <v>103</v>
      </c>
      <c r="L64" s="10" t="s">
        <v>116</v>
      </c>
      <c r="M64" s="10">
        <v>4</v>
      </c>
      <c r="N64" s="10" t="s">
        <v>142</v>
      </c>
      <c r="O64" s="10">
        <v>39.9</v>
      </c>
      <c r="P64" s="10">
        <f t="shared" ref="P64:P82" si="13">(32*12)*M64</f>
        <v>1536</v>
      </c>
      <c r="Q64" s="10">
        <f>((32-2*0.5)*(12-2*0.5))*M64</f>
        <v>1364</v>
      </c>
      <c r="R64" s="10">
        <f t="shared" si="2"/>
        <v>34.185463659147871</v>
      </c>
      <c r="S64" s="10" t="s">
        <v>67</v>
      </c>
      <c r="T64" s="10"/>
      <c r="U64" s="10">
        <f>7000+1250+22800+22000+20976+2500+5244</f>
        <v>81770</v>
      </c>
      <c r="V64" s="10" t="s">
        <v>244</v>
      </c>
      <c r="W64" s="43">
        <f t="shared" si="3"/>
        <v>59.948680351906155</v>
      </c>
      <c r="X64" s="10">
        <v>3</v>
      </c>
      <c r="Y64" s="47"/>
      <c r="Z64" s="43"/>
      <c r="AA64" s="31"/>
    </row>
    <row r="65" spans="1:27" ht="40" customHeight="1" x14ac:dyDescent="0.2">
      <c r="A65" s="9">
        <v>1</v>
      </c>
      <c r="B65" s="10" t="s">
        <v>670</v>
      </c>
      <c r="C65" s="10"/>
      <c r="D65" s="10"/>
      <c r="E65" s="10" t="s">
        <v>539</v>
      </c>
      <c r="F65" s="10"/>
      <c r="G65" s="10" t="s">
        <v>58</v>
      </c>
      <c r="H65" s="10"/>
      <c r="I65" s="10" t="s">
        <v>433</v>
      </c>
      <c r="J65" s="10" t="s">
        <v>338</v>
      </c>
      <c r="K65" s="10" t="s">
        <v>141</v>
      </c>
      <c r="L65" s="10" t="s">
        <v>140</v>
      </c>
      <c r="M65" s="10">
        <v>4</v>
      </c>
      <c r="N65" s="10" t="s">
        <v>139</v>
      </c>
      <c r="O65" s="10">
        <v>39.4</v>
      </c>
      <c r="P65" s="10">
        <f t="shared" si="13"/>
        <v>1536</v>
      </c>
      <c r="Q65" s="10">
        <f>((32-2*0.5)*(12-2*0.5))*M65</f>
        <v>1364</v>
      </c>
      <c r="R65" s="10">
        <f t="shared" si="2"/>
        <v>34.619289340101524</v>
      </c>
      <c r="S65" s="10" t="s">
        <v>67</v>
      </c>
      <c r="T65" s="10"/>
      <c r="U65" s="10">
        <f>5600+7000+1250+22800+22000+20976+2500+5244</f>
        <v>87370</v>
      </c>
      <c r="V65" s="10" t="s">
        <v>244</v>
      </c>
      <c r="W65" s="43">
        <f t="shared" si="3"/>
        <v>64.054252199413483</v>
      </c>
      <c r="X65" s="10">
        <v>3</v>
      </c>
      <c r="Y65" s="47"/>
      <c r="Z65" s="43"/>
      <c r="AA65" s="31"/>
    </row>
    <row r="66" spans="1:27" ht="40" customHeight="1" x14ac:dyDescent="0.2">
      <c r="A66" s="9">
        <v>1</v>
      </c>
      <c r="B66" s="10" t="s">
        <v>670</v>
      </c>
      <c r="C66" s="10"/>
      <c r="D66" s="10"/>
      <c r="E66" s="10" t="s">
        <v>539</v>
      </c>
      <c r="F66" s="10"/>
      <c r="G66" s="10" t="s">
        <v>58</v>
      </c>
      <c r="H66" s="10"/>
      <c r="I66" s="10" t="s">
        <v>433</v>
      </c>
      <c r="J66" s="10" t="s">
        <v>339</v>
      </c>
      <c r="K66" s="10" t="s">
        <v>138</v>
      </c>
      <c r="L66" s="10" t="s">
        <v>93</v>
      </c>
      <c r="M66" s="10">
        <v>4</v>
      </c>
      <c r="N66" s="10" t="s">
        <v>137</v>
      </c>
      <c r="O66" s="10">
        <v>39.9</v>
      </c>
      <c r="P66" s="10">
        <f t="shared" si="13"/>
        <v>1536</v>
      </c>
      <c r="Q66" s="10">
        <f>((32-2*0.35)*(12-2*0.35))*M66</f>
        <v>1414.7600000000002</v>
      </c>
      <c r="R66" s="10">
        <f t="shared" ref="R66:R129" si="14">Q66/O66</f>
        <v>35.457644110275695</v>
      </c>
      <c r="S66" s="10" t="s">
        <v>65</v>
      </c>
      <c r="T66" s="10"/>
      <c r="U66" s="10">
        <f>437760+259200+145920+91200+108000</f>
        <v>1042080</v>
      </c>
      <c r="V66" s="10" t="s">
        <v>244</v>
      </c>
      <c r="W66" s="43">
        <f t="shared" ref="W66:W129" si="15">U66/Q66</f>
        <v>736.57722864655477</v>
      </c>
      <c r="X66" s="10">
        <v>3</v>
      </c>
      <c r="Y66" s="47"/>
      <c r="Z66" s="43"/>
      <c r="AA66" s="31"/>
    </row>
    <row r="67" spans="1:27" ht="40" customHeight="1" x14ac:dyDescent="0.2">
      <c r="A67" s="9">
        <v>1</v>
      </c>
      <c r="B67" s="10" t="s">
        <v>670</v>
      </c>
      <c r="C67" s="10"/>
      <c r="D67" s="10"/>
      <c r="E67" s="10" t="s">
        <v>539</v>
      </c>
      <c r="F67" s="10"/>
      <c r="G67" s="10" t="s">
        <v>58</v>
      </c>
      <c r="H67" s="10"/>
      <c r="I67" s="10" t="s">
        <v>433</v>
      </c>
      <c r="J67" s="10" t="s">
        <v>339</v>
      </c>
      <c r="K67" s="10" t="s">
        <v>138</v>
      </c>
      <c r="L67" s="10" t="s">
        <v>93</v>
      </c>
      <c r="M67" s="10">
        <v>4</v>
      </c>
      <c r="N67" s="10" t="s">
        <v>137</v>
      </c>
      <c r="O67" s="10">
        <v>39.9</v>
      </c>
      <c r="P67" s="10">
        <f t="shared" si="13"/>
        <v>1536</v>
      </c>
      <c r="Q67" s="10">
        <f>((32-2*0.35)*(12-2*0.35))*M67</f>
        <v>1414.7600000000002</v>
      </c>
      <c r="R67" s="10">
        <f t="shared" si="14"/>
        <v>35.457644110275695</v>
      </c>
      <c r="S67" s="10" t="s">
        <v>67</v>
      </c>
      <c r="T67" s="10"/>
      <c r="U67" s="10">
        <f>5600+7000+1250</f>
        <v>13850</v>
      </c>
      <c r="V67" s="10" t="s">
        <v>244</v>
      </c>
      <c r="W67" s="43">
        <f t="shared" si="15"/>
        <v>9.7896463004325813</v>
      </c>
      <c r="X67" s="10">
        <v>3</v>
      </c>
      <c r="Y67" s="47"/>
      <c r="Z67" s="43"/>
      <c r="AA67" s="31"/>
    </row>
    <row r="68" spans="1:27" ht="40" customHeight="1" x14ac:dyDescent="0.2">
      <c r="A68" s="9">
        <v>1</v>
      </c>
      <c r="B68" s="10" t="s">
        <v>670</v>
      </c>
      <c r="C68" s="10"/>
      <c r="D68" s="10"/>
      <c r="E68" s="10" t="s">
        <v>539</v>
      </c>
      <c r="F68" s="10"/>
      <c r="G68" s="10" t="s">
        <v>58</v>
      </c>
      <c r="H68" s="10"/>
      <c r="I68" s="10" t="s">
        <v>433</v>
      </c>
      <c r="J68" s="10" t="s">
        <v>340</v>
      </c>
      <c r="K68" s="10" t="s">
        <v>94</v>
      </c>
      <c r="L68" s="10" t="s">
        <v>136</v>
      </c>
      <c r="M68" s="10">
        <v>4</v>
      </c>
      <c r="N68" s="10" t="s">
        <v>133</v>
      </c>
      <c r="O68" s="10">
        <v>39.700000000000003</v>
      </c>
      <c r="P68" s="10">
        <f t="shared" si="13"/>
        <v>1536</v>
      </c>
      <c r="Q68" s="10">
        <f>((32-2*0.3)*(12-2*0.3))*M68</f>
        <v>1431.84</v>
      </c>
      <c r="R68" s="10">
        <f t="shared" si="14"/>
        <v>36.066498740554152</v>
      </c>
      <c r="S68" s="10" t="s">
        <v>65</v>
      </c>
      <c r="T68" s="10"/>
      <c r="U68" s="10">
        <f>528000+437760+259200+145920+91200+108000</f>
        <v>1570080</v>
      </c>
      <c r="V68" s="10" t="s">
        <v>244</v>
      </c>
      <c r="W68" s="43">
        <f t="shared" si="15"/>
        <v>1096.547100234663</v>
      </c>
      <c r="X68" s="10">
        <v>3</v>
      </c>
      <c r="Y68" s="47"/>
      <c r="Z68" s="43"/>
      <c r="AA68" s="31"/>
    </row>
    <row r="69" spans="1:27" ht="40" customHeight="1" x14ac:dyDescent="0.2">
      <c r="A69" s="9">
        <v>1</v>
      </c>
      <c r="B69" s="10" t="s">
        <v>670</v>
      </c>
      <c r="C69" s="10"/>
      <c r="D69" s="10"/>
      <c r="E69" s="10" t="s">
        <v>539</v>
      </c>
      <c r="F69" s="10"/>
      <c r="G69" s="10" t="s">
        <v>58</v>
      </c>
      <c r="H69" s="10"/>
      <c r="I69" s="10" t="s">
        <v>433</v>
      </c>
      <c r="J69" s="10" t="s">
        <v>340</v>
      </c>
      <c r="K69" s="10" t="s">
        <v>94</v>
      </c>
      <c r="L69" s="10" t="s">
        <v>136</v>
      </c>
      <c r="M69" s="10">
        <v>4</v>
      </c>
      <c r="N69" s="10" t="s">
        <v>133</v>
      </c>
      <c r="O69" s="10">
        <v>39.700000000000003</v>
      </c>
      <c r="P69" s="10">
        <f t="shared" si="13"/>
        <v>1536</v>
      </c>
      <c r="Q69" s="10">
        <f>((32-2*0.3)*(12-2*0.3))*M69</f>
        <v>1431.84</v>
      </c>
      <c r="R69" s="10">
        <f t="shared" si="14"/>
        <v>36.066498740554152</v>
      </c>
      <c r="S69" s="10" t="s">
        <v>67</v>
      </c>
      <c r="T69" s="10"/>
      <c r="U69" s="10">
        <f>5600+7000+1250</f>
        <v>13850</v>
      </c>
      <c r="V69" s="10" t="s">
        <v>244</v>
      </c>
      <c r="W69" s="43">
        <f t="shared" si="15"/>
        <v>9.6728684769247959</v>
      </c>
      <c r="X69" s="10">
        <v>3</v>
      </c>
      <c r="Y69" s="47"/>
      <c r="Z69" s="43"/>
      <c r="AA69" s="31"/>
    </row>
    <row r="70" spans="1:27" ht="40" customHeight="1" x14ac:dyDescent="0.2">
      <c r="A70" s="9">
        <v>1</v>
      </c>
      <c r="B70" s="10" t="s">
        <v>670</v>
      </c>
      <c r="C70" s="10"/>
      <c r="D70" s="10"/>
      <c r="E70" s="10" t="s">
        <v>539</v>
      </c>
      <c r="F70" s="10"/>
      <c r="G70" s="10" t="s">
        <v>58</v>
      </c>
      <c r="H70" s="10"/>
      <c r="I70" s="10" t="s">
        <v>433</v>
      </c>
      <c r="J70" s="10" t="s">
        <v>341</v>
      </c>
      <c r="K70" s="10" t="s">
        <v>100</v>
      </c>
      <c r="L70" s="10" t="s">
        <v>83</v>
      </c>
      <c r="M70" s="10">
        <v>4</v>
      </c>
      <c r="N70" s="10" t="s">
        <v>135</v>
      </c>
      <c r="O70" s="10">
        <v>39.1</v>
      </c>
      <c r="P70" s="10">
        <f t="shared" si="13"/>
        <v>1536</v>
      </c>
      <c r="Q70" s="10">
        <f t="shared" ref="Q70:Q73" si="16">((32-2*0.25)*(12-2*0.25))*M70</f>
        <v>1449</v>
      </c>
      <c r="R70" s="10">
        <f t="shared" si="14"/>
        <v>37.058823529411761</v>
      </c>
      <c r="S70" s="10" t="s">
        <v>65</v>
      </c>
      <c r="T70" s="10"/>
      <c r="U70" s="10">
        <f>437760+259200+145920+91200+108000</f>
        <v>1042080</v>
      </c>
      <c r="V70" s="10" t="s">
        <v>244</v>
      </c>
      <c r="W70" s="43">
        <f t="shared" si="15"/>
        <v>719.17184265010349</v>
      </c>
      <c r="X70" s="10">
        <v>3</v>
      </c>
      <c r="Y70" s="47"/>
      <c r="Z70" s="43"/>
      <c r="AA70" s="31"/>
    </row>
    <row r="71" spans="1:27" ht="40" customHeight="1" x14ac:dyDescent="0.2">
      <c r="A71" s="9">
        <v>1</v>
      </c>
      <c r="B71" s="10" t="s">
        <v>670</v>
      </c>
      <c r="C71" s="10"/>
      <c r="D71" s="10"/>
      <c r="E71" s="10" t="s">
        <v>539</v>
      </c>
      <c r="F71" s="10"/>
      <c r="G71" s="10" t="s">
        <v>58</v>
      </c>
      <c r="H71" s="10"/>
      <c r="I71" s="10" t="s">
        <v>433</v>
      </c>
      <c r="J71" s="10" t="s">
        <v>341</v>
      </c>
      <c r="K71" s="10" t="s">
        <v>100</v>
      </c>
      <c r="L71" s="10" t="s">
        <v>83</v>
      </c>
      <c r="M71" s="10">
        <v>4</v>
      </c>
      <c r="N71" s="10" t="s">
        <v>135</v>
      </c>
      <c r="O71" s="10">
        <v>39.1</v>
      </c>
      <c r="P71" s="10">
        <f t="shared" si="13"/>
        <v>1536</v>
      </c>
      <c r="Q71" s="10">
        <f t="shared" si="16"/>
        <v>1449</v>
      </c>
      <c r="R71" s="10">
        <f t="shared" si="14"/>
        <v>37.058823529411761</v>
      </c>
      <c r="S71" s="10" t="s">
        <v>67</v>
      </c>
      <c r="T71" s="10"/>
      <c r="U71" s="10">
        <f>5600+7000+1250</f>
        <v>13850</v>
      </c>
      <c r="V71" s="10" t="s">
        <v>244</v>
      </c>
      <c r="W71" s="43">
        <f t="shared" si="15"/>
        <v>9.5583160800552101</v>
      </c>
      <c r="X71" s="10">
        <v>3</v>
      </c>
      <c r="Y71" s="47"/>
      <c r="Z71" s="43"/>
      <c r="AA71" s="31"/>
    </row>
    <row r="72" spans="1:27" ht="40" customHeight="1" x14ac:dyDescent="0.2">
      <c r="A72" s="9">
        <v>1</v>
      </c>
      <c r="B72" s="10" t="s">
        <v>670</v>
      </c>
      <c r="C72" s="10"/>
      <c r="D72" s="10"/>
      <c r="E72" s="10" t="s">
        <v>539</v>
      </c>
      <c r="F72" s="10"/>
      <c r="G72" s="10" t="s">
        <v>58</v>
      </c>
      <c r="H72" s="10"/>
      <c r="I72" s="10" t="s">
        <v>433</v>
      </c>
      <c r="J72" s="10" t="s">
        <v>342</v>
      </c>
      <c r="K72" s="10" t="s">
        <v>134</v>
      </c>
      <c r="L72" s="10" t="s">
        <v>68</v>
      </c>
      <c r="M72" s="10">
        <v>4</v>
      </c>
      <c r="N72" s="10" t="s">
        <v>127</v>
      </c>
      <c r="O72" s="10">
        <v>39.9</v>
      </c>
      <c r="P72" s="10">
        <f t="shared" si="13"/>
        <v>1536</v>
      </c>
      <c r="Q72" s="10">
        <f t="shared" si="16"/>
        <v>1449</v>
      </c>
      <c r="R72" s="10">
        <f t="shared" si="14"/>
        <v>36.315789473684212</v>
      </c>
      <c r="S72" s="10" t="s">
        <v>65</v>
      </c>
      <c r="T72" s="10"/>
      <c r="U72" s="10">
        <f>437760+259200+145920+91200+108000</f>
        <v>1042080</v>
      </c>
      <c r="V72" s="10" t="s">
        <v>244</v>
      </c>
      <c r="W72" s="43">
        <f t="shared" si="15"/>
        <v>719.17184265010349</v>
      </c>
      <c r="X72" s="10">
        <v>3</v>
      </c>
      <c r="Y72" s="47"/>
      <c r="Z72" s="43"/>
      <c r="AA72" s="31"/>
    </row>
    <row r="73" spans="1:27" ht="40" customHeight="1" x14ac:dyDescent="0.2">
      <c r="A73" s="9">
        <v>1</v>
      </c>
      <c r="B73" s="10" t="s">
        <v>670</v>
      </c>
      <c r="C73" s="10"/>
      <c r="D73" s="10"/>
      <c r="E73" s="10" t="s">
        <v>539</v>
      </c>
      <c r="F73" s="10"/>
      <c r="G73" s="10" t="s">
        <v>58</v>
      </c>
      <c r="H73" s="10"/>
      <c r="I73" s="10" t="s">
        <v>433</v>
      </c>
      <c r="J73" s="10" t="s">
        <v>342</v>
      </c>
      <c r="K73" s="10" t="s">
        <v>134</v>
      </c>
      <c r="L73" s="10" t="s">
        <v>68</v>
      </c>
      <c r="M73" s="10">
        <v>4</v>
      </c>
      <c r="N73" s="10" t="s">
        <v>127</v>
      </c>
      <c r="O73" s="10">
        <v>39.9</v>
      </c>
      <c r="P73" s="10">
        <f t="shared" si="13"/>
        <v>1536</v>
      </c>
      <c r="Q73" s="10">
        <f t="shared" si="16"/>
        <v>1449</v>
      </c>
      <c r="R73" s="10">
        <f t="shared" si="14"/>
        <v>36.315789473684212</v>
      </c>
      <c r="S73" s="10" t="s">
        <v>67</v>
      </c>
      <c r="T73" s="10"/>
      <c r="U73" s="10">
        <f>5600+7000+1250</f>
        <v>13850</v>
      </c>
      <c r="V73" s="10" t="s">
        <v>244</v>
      </c>
      <c r="W73" s="43">
        <f t="shared" si="15"/>
        <v>9.5583160800552101</v>
      </c>
      <c r="X73" s="10">
        <v>3</v>
      </c>
      <c r="Y73" s="47"/>
      <c r="Z73" s="43"/>
      <c r="AA73" s="31"/>
    </row>
    <row r="74" spans="1:27" ht="40" customHeight="1" x14ac:dyDescent="0.2">
      <c r="A74" s="9">
        <v>1</v>
      </c>
      <c r="B74" s="10" t="s">
        <v>670</v>
      </c>
      <c r="C74" s="10"/>
      <c r="D74" s="10"/>
      <c r="E74" s="10" t="s">
        <v>539</v>
      </c>
      <c r="F74" s="10"/>
      <c r="G74" s="10" t="s">
        <v>58</v>
      </c>
      <c r="H74" s="10"/>
      <c r="I74" s="10" t="s">
        <v>433</v>
      </c>
      <c r="J74" s="10" t="s">
        <v>343</v>
      </c>
      <c r="K74" s="10" t="s">
        <v>84</v>
      </c>
      <c r="L74" s="10" t="s">
        <v>83</v>
      </c>
      <c r="M74" s="10">
        <v>4</v>
      </c>
      <c r="N74" s="10" t="s">
        <v>133</v>
      </c>
      <c r="O74" s="10">
        <v>38.1</v>
      </c>
      <c r="P74" s="10">
        <f t="shared" si="13"/>
        <v>1536</v>
      </c>
      <c r="Q74" s="10">
        <f t="shared" ref="Q74:Q81" si="17">((32-2*0.2)*(12-2*0.2))*M74</f>
        <v>1466.24</v>
      </c>
      <c r="R74" s="10">
        <f t="shared" si="14"/>
        <v>38.483989501312337</v>
      </c>
      <c r="S74" s="10" t="s">
        <v>65</v>
      </c>
      <c r="T74" s="10"/>
      <c r="U74" s="10">
        <f>291840+259200+145920+91200+108000</f>
        <v>896160</v>
      </c>
      <c r="V74" s="10" t="s">
        <v>244</v>
      </c>
      <c r="W74" s="43">
        <f t="shared" si="15"/>
        <v>611.19598428633788</v>
      </c>
      <c r="X74" s="10">
        <v>3</v>
      </c>
      <c r="Y74" s="47"/>
      <c r="Z74" s="43"/>
      <c r="AA74" s="31"/>
    </row>
    <row r="75" spans="1:27" ht="40" customHeight="1" x14ac:dyDescent="0.2">
      <c r="A75" s="9">
        <v>1</v>
      </c>
      <c r="B75" s="10" t="s">
        <v>670</v>
      </c>
      <c r="C75" s="10"/>
      <c r="D75" s="10"/>
      <c r="E75" s="10" t="s">
        <v>539</v>
      </c>
      <c r="F75" s="10"/>
      <c r="G75" s="10" t="s">
        <v>58</v>
      </c>
      <c r="H75" s="10"/>
      <c r="I75" s="10" t="s">
        <v>433</v>
      </c>
      <c r="J75" s="10" t="s">
        <v>343</v>
      </c>
      <c r="K75" s="10" t="s">
        <v>84</v>
      </c>
      <c r="L75" s="10" t="s">
        <v>83</v>
      </c>
      <c r="M75" s="10">
        <v>4</v>
      </c>
      <c r="N75" s="10" t="s">
        <v>133</v>
      </c>
      <c r="O75" s="10">
        <v>38.1</v>
      </c>
      <c r="P75" s="10">
        <f t="shared" si="13"/>
        <v>1536</v>
      </c>
      <c r="Q75" s="10">
        <f t="shared" si="17"/>
        <v>1466.24</v>
      </c>
      <c r="R75" s="10">
        <f t="shared" si="14"/>
        <v>38.483989501312337</v>
      </c>
      <c r="S75" s="10" t="s">
        <v>67</v>
      </c>
      <c r="T75" s="10"/>
      <c r="U75" s="10">
        <f>5600+7000+1250</f>
        <v>13850</v>
      </c>
      <c r="V75" s="10" t="s">
        <v>244</v>
      </c>
      <c r="W75" s="43">
        <f t="shared" si="15"/>
        <v>9.4459297250109113</v>
      </c>
      <c r="X75" s="10">
        <v>3</v>
      </c>
      <c r="Y75" s="47"/>
      <c r="Z75" s="43"/>
      <c r="AA75" s="31"/>
    </row>
    <row r="76" spans="1:27" ht="40" customHeight="1" x14ac:dyDescent="0.2">
      <c r="A76" s="9">
        <v>1</v>
      </c>
      <c r="B76" s="10" t="s">
        <v>670</v>
      </c>
      <c r="C76" s="10"/>
      <c r="D76" s="10"/>
      <c r="E76" s="10" t="s">
        <v>539</v>
      </c>
      <c r="F76" s="10"/>
      <c r="G76" s="10" t="s">
        <v>58</v>
      </c>
      <c r="H76" s="10"/>
      <c r="I76" s="10" t="s">
        <v>433</v>
      </c>
      <c r="J76" s="10" t="s">
        <v>344</v>
      </c>
      <c r="K76" s="10" t="s">
        <v>132</v>
      </c>
      <c r="L76" s="10" t="s">
        <v>68</v>
      </c>
      <c r="M76" s="10">
        <v>4</v>
      </c>
      <c r="N76" s="10" t="s">
        <v>127</v>
      </c>
      <c r="O76" s="10">
        <v>39.9</v>
      </c>
      <c r="P76" s="10">
        <f t="shared" si="13"/>
        <v>1536</v>
      </c>
      <c r="Q76" s="10">
        <f t="shared" si="17"/>
        <v>1466.24</v>
      </c>
      <c r="R76" s="10">
        <f t="shared" si="14"/>
        <v>36.747869674185466</v>
      </c>
      <c r="S76" s="10" t="s">
        <v>65</v>
      </c>
      <c r="T76" s="10"/>
      <c r="U76" s="10">
        <f>291840+259200+145920+91200+108000</f>
        <v>896160</v>
      </c>
      <c r="V76" s="10" t="s">
        <v>244</v>
      </c>
      <c r="W76" s="43">
        <f t="shared" si="15"/>
        <v>611.19598428633788</v>
      </c>
      <c r="X76" s="10">
        <v>3</v>
      </c>
      <c r="Y76" s="47"/>
      <c r="Z76" s="43"/>
      <c r="AA76" s="31"/>
    </row>
    <row r="77" spans="1:27" ht="40" customHeight="1" x14ac:dyDescent="0.2">
      <c r="A77" s="9">
        <v>1</v>
      </c>
      <c r="B77" s="10" t="s">
        <v>670</v>
      </c>
      <c r="C77" s="10"/>
      <c r="D77" s="10"/>
      <c r="E77" s="10" t="s">
        <v>539</v>
      </c>
      <c r="F77" s="10"/>
      <c r="G77" s="10" t="s">
        <v>58</v>
      </c>
      <c r="H77" s="10"/>
      <c r="I77" s="10" t="s">
        <v>433</v>
      </c>
      <c r="J77" s="10" t="s">
        <v>344</v>
      </c>
      <c r="K77" s="10" t="s">
        <v>132</v>
      </c>
      <c r="L77" s="10" t="s">
        <v>68</v>
      </c>
      <c r="M77" s="10">
        <v>4</v>
      </c>
      <c r="N77" s="10" t="s">
        <v>127</v>
      </c>
      <c r="O77" s="10">
        <v>39.9</v>
      </c>
      <c r="P77" s="10">
        <f t="shared" si="13"/>
        <v>1536</v>
      </c>
      <c r="Q77" s="10">
        <f t="shared" si="17"/>
        <v>1466.24</v>
      </c>
      <c r="R77" s="10">
        <f t="shared" si="14"/>
        <v>36.747869674185466</v>
      </c>
      <c r="S77" s="10" t="s">
        <v>67</v>
      </c>
      <c r="T77" s="10"/>
      <c r="U77" s="10">
        <f>5600+7000+1250</f>
        <v>13850</v>
      </c>
      <c r="V77" s="10" t="s">
        <v>244</v>
      </c>
      <c r="W77" s="43">
        <f t="shared" si="15"/>
        <v>9.4459297250109113</v>
      </c>
      <c r="X77" s="10">
        <v>3</v>
      </c>
      <c r="Y77" s="47"/>
      <c r="Z77" s="43"/>
      <c r="AA77" s="31"/>
    </row>
    <row r="78" spans="1:27" ht="40" customHeight="1" x14ac:dyDescent="0.2">
      <c r="A78" s="9">
        <v>1</v>
      </c>
      <c r="B78" s="10" t="s">
        <v>670</v>
      </c>
      <c r="C78" s="10"/>
      <c r="D78" s="10"/>
      <c r="E78" s="10" t="s">
        <v>539</v>
      </c>
      <c r="F78" s="10"/>
      <c r="G78" s="10" t="s">
        <v>58</v>
      </c>
      <c r="H78" s="10"/>
      <c r="I78" s="10" t="s">
        <v>433</v>
      </c>
      <c r="J78" s="10" t="s">
        <v>345</v>
      </c>
      <c r="K78" s="10" t="s">
        <v>131</v>
      </c>
      <c r="L78" s="10" t="s">
        <v>130</v>
      </c>
      <c r="M78" s="10">
        <v>4</v>
      </c>
      <c r="N78" s="10" t="s">
        <v>129</v>
      </c>
      <c r="O78" s="10">
        <v>40</v>
      </c>
      <c r="P78" s="10">
        <f t="shared" si="13"/>
        <v>1536</v>
      </c>
      <c r="Q78" s="10">
        <f t="shared" si="17"/>
        <v>1466.24</v>
      </c>
      <c r="R78" s="10">
        <f t="shared" si="14"/>
        <v>36.655999999999999</v>
      </c>
      <c r="S78" s="10" t="s">
        <v>65</v>
      </c>
      <c r="T78" s="10"/>
      <c r="U78" s="10">
        <f>437760+259200+145920+91200+108000</f>
        <v>1042080</v>
      </c>
      <c r="V78" s="10" t="s">
        <v>244</v>
      </c>
      <c r="W78" s="43">
        <f t="shared" si="15"/>
        <v>710.71584460934093</v>
      </c>
      <c r="X78" s="10">
        <v>3</v>
      </c>
      <c r="Y78" s="47"/>
      <c r="Z78" s="43"/>
      <c r="AA78" s="31"/>
    </row>
    <row r="79" spans="1:27" ht="40" customHeight="1" x14ac:dyDescent="0.2">
      <c r="A79" s="9">
        <v>1</v>
      </c>
      <c r="B79" s="10" t="s">
        <v>670</v>
      </c>
      <c r="C79" s="10"/>
      <c r="D79" s="10"/>
      <c r="E79" s="10" t="s">
        <v>539</v>
      </c>
      <c r="F79" s="10"/>
      <c r="G79" s="10" t="s">
        <v>58</v>
      </c>
      <c r="H79" s="10"/>
      <c r="I79" s="10" t="s">
        <v>433</v>
      </c>
      <c r="J79" s="10" t="s">
        <v>345</v>
      </c>
      <c r="K79" s="10" t="s">
        <v>131</v>
      </c>
      <c r="L79" s="10" t="s">
        <v>130</v>
      </c>
      <c r="M79" s="10">
        <v>4</v>
      </c>
      <c r="N79" s="10" t="s">
        <v>129</v>
      </c>
      <c r="O79" s="10">
        <v>40</v>
      </c>
      <c r="P79" s="10">
        <f t="shared" si="13"/>
        <v>1536</v>
      </c>
      <c r="Q79" s="10">
        <f t="shared" si="17"/>
        <v>1466.24</v>
      </c>
      <c r="R79" s="10">
        <f t="shared" si="14"/>
        <v>36.655999999999999</v>
      </c>
      <c r="S79" s="10" t="s">
        <v>67</v>
      </c>
      <c r="T79" s="10"/>
      <c r="U79" s="10">
        <v>5244</v>
      </c>
      <c r="V79" s="10" t="s">
        <v>244</v>
      </c>
      <c r="W79" s="43">
        <f t="shared" si="15"/>
        <v>3.5764949803579222</v>
      </c>
      <c r="X79" s="10">
        <v>3</v>
      </c>
      <c r="Y79" s="47"/>
      <c r="Z79" s="43"/>
      <c r="AA79" s="31"/>
    </row>
    <row r="80" spans="1:27" ht="40" customHeight="1" x14ac:dyDescent="0.2">
      <c r="A80" s="9">
        <v>1</v>
      </c>
      <c r="B80" s="10" t="s">
        <v>670</v>
      </c>
      <c r="C80" s="10"/>
      <c r="D80" s="10"/>
      <c r="E80" s="10" t="s">
        <v>539</v>
      </c>
      <c r="F80" s="10"/>
      <c r="G80" s="10" t="s">
        <v>58</v>
      </c>
      <c r="H80" s="10"/>
      <c r="I80" s="10" t="s">
        <v>433</v>
      </c>
      <c r="J80" s="10" t="s">
        <v>346</v>
      </c>
      <c r="K80" s="10" t="s">
        <v>128</v>
      </c>
      <c r="L80" s="10" t="s">
        <v>68</v>
      </c>
      <c r="M80" s="10">
        <v>4</v>
      </c>
      <c r="N80" s="10" t="s">
        <v>127</v>
      </c>
      <c r="O80" s="10">
        <v>39.9</v>
      </c>
      <c r="P80" s="10">
        <f t="shared" si="13"/>
        <v>1536</v>
      </c>
      <c r="Q80" s="10">
        <f t="shared" si="17"/>
        <v>1466.24</v>
      </c>
      <c r="R80" s="10">
        <f t="shared" si="14"/>
        <v>36.747869674185466</v>
      </c>
      <c r="S80" s="10" t="s">
        <v>65</v>
      </c>
      <c r="T80" s="10"/>
      <c r="U80" s="10">
        <f>384000+528000+201600+15200+437760+259200+145920+91200+108000</f>
        <v>2170880</v>
      </c>
      <c r="V80" s="10" t="s">
        <v>244</v>
      </c>
      <c r="W80" s="43">
        <f t="shared" si="15"/>
        <v>1480.5761676123964</v>
      </c>
      <c r="X80" s="10">
        <v>3</v>
      </c>
      <c r="Y80" s="47"/>
      <c r="Z80" s="43"/>
      <c r="AA80" s="31"/>
    </row>
    <row r="81" spans="1:27" ht="40" customHeight="1" x14ac:dyDescent="0.2">
      <c r="A81" s="9">
        <v>1</v>
      </c>
      <c r="B81" s="10" t="s">
        <v>670</v>
      </c>
      <c r="C81" s="10"/>
      <c r="D81" s="10"/>
      <c r="E81" s="10" t="s">
        <v>539</v>
      </c>
      <c r="F81" s="10"/>
      <c r="G81" s="10" t="s">
        <v>58</v>
      </c>
      <c r="H81" s="10"/>
      <c r="I81" s="10" t="s">
        <v>433</v>
      </c>
      <c r="J81" s="10" t="s">
        <v>346</v>
      </c>
      <c r="K81" s="10" t="s">
        <v>128</v>
      </c>
      <c r="L81" s="10" t="s">
        <v>68</v>
      </c>
      <c r="M81" s="10">
        <v>4</v>
      </c>
      <c r="N81" s="10" t="s">
        <v>127</v>
      </c>
      <c r="O81" s="10">
        <v>39.9</v>
      </c>
      <c r="P81" s="10">
        <f t="shared" si="13"/>
        <v>1536</v>
      </c>
      <c r="Q81" s="10">
        <f t="shared" si="17"/>
        <v>1466.24</v>
      </c>
      <c r="R81" s="10">
        <f t="shared" si="14"/>
        <v>36.747869674185466</v>
      </c>
      <c r="S81" s="10" t="s">
        <v>67</v>
      </c>
      <c r="T81" s="10"/>
      <c r="U81" s="10">
        <v>5244</v>
      </c>
      <c r="V81" s="10" t="s">
        <v>244</v>
      </c>
      <c r="W81" s="43">
        <f t="shared" si="15"/>
        <v>3.5764949803579222</v>
      </c>
      <c r="X81" s="10">
        <v>3</v>
      </c>
      <c r="Y81" s="47"/>
      <c r="Z81" s="43"/>
      <c r="AA81" s="31"/>
    </row>
    <row r="82" spans="1:27" ht="40" customHeight="1" x14ac:dyDescent="0.2">
      <c r="A82" s="9">
        <v>1</v>
      </c>
      <c r="B82" s="10" t="s">
        <v>670</v>
      </c>
      <c r="C82" s="10"/>
      <c r="D82" s="10"/>
      <c r="E82" s="10" t="s">
        <v>539</v>
      </c>
      <c r="F82" s="10"/>
      <c r="G82" s="10" t="s">
        <v>58</v>
      </c>
      <c r="H82" s="10"/>
      <c r="I82" s="10" t="s">
        <v>70</v>
      </c>
      <c r="J82" s="10" t="s">
        <v>347</v>
      </c>
      <c r="K82" s="10" t="s">
        <v>126</v>
      </c>
      <c r="L82" s="10" t="s">
        <v>125</v>
      </c>
      <c r="M82" s="10">
        <v>7</v>
      </c>
      <c r="N82" s="10" t="s">
        <v>124</v>
      </c>
      <c r="O82" s="10">
        <v>70.3</v>
      </c>
      <c r="P82" s="10">
        <f t="shared" si="13"/>
        <v>2688</v>
      </c>
      <c r="Q82" s="10">
        <f>((32-2*0.25)*(12-2*0.25))*M82</f>
        <v>2535.75</v>
      </c>
      <c r="R82" s="10">
        <f t="shared" si="14"/>
        <v>36.070412517780937</v>
      </c>
      <c r="S82" s="10" t="s">
        <v>65</v>
      </c>
      <c r="T82" s="10"/>
      <c r="U82" s="10">
        <f>696000+926400+313920+145920+875520+259200+145920+91200+172800</f>
        <v>3626880</v>
      </c>
      <c r="V82" s="10" t="s">
        <v>244</v>
      </c>
      <c r="W82" s="43">
        <f t="shared" si="15"/>
        <v>1430.2987281869268</v>
      </c>
      <c r="X82" s="10">
        <v>4</v>
      </c>
      <c r="Y82" s="47"/>
      <c r="Z82" s="43"/>
      <c r="AA82" s="31"/>
    </row>
    <row r="83" spans="1:27" ht="40" customHeight="1" x14ac:dyDescent="0.2">
      <c r="A83" s="9">
        <v>1</v>
      </c>
      <c r="B83" s="10" t="s">
        <v>670</v>
      </c>
      <c r="C83" s="10"/>
      <c r="D83" s="10"/>
      <c r="E83" s="10" t="s">
        <v>539</v>
      </c>
      <c r="F83" s="10"/>
      <c r="G83" s="10" t="s">
        <v>58</v>
      </c>
      <c r="H83" s="10"/>
      <c r="I83" s="10" t="s">
        <v>70</v>
      </c>
      <c r="J83" s="10" t="s">
        <v>348</v>
      </c>
      <c r="K83" s="10" t="s">
        <v>76</v>
      </c>
      <c r="L83" s="10" t="s">
        <v>78</v>
      </c>
      <c r="M83" s="10">
        <v>10</v>
      </c>
      <c r="N83" s="10" t="s">
        <v>123</v>
      </c>
      <c r="O83" s="10">
        <v>124</v>
      </c>
      <c r="P83" s="10">
        <f t="shared" ref="P83:P87" si="18">(30*15)*M83</f>
        <v>4500</v>
      </c>
      <c r="Q83" s="10">
        <f t="shared" ref="Q83:Q87" si="19">((30-2*0.25)*(15-2*0.25))*M83</f>
        <v>4277.5</v>
      </c>
      <c r="R83" s="10">
        <f t="shared" si="14"/>
        <v>34.49596774193548</v>
      </c>
      <c r="S83" s="10" t="s">
        <v>65</v>
      </c>
      <c r="T83" s="10"/>
      <c r="U83" s="10">
        <f>1200000+864000+388800+172800+1036800+288000+172800+108000+230400</f>
        <v>4461600</v>
      </c>
      <c r="V83" s="10" t="s">
        <v>244</v>
      </c>
      <c r="W83" s="43">
        <f t="shared" si="15"/>
        <v>1043.0391583869082</v>
      </c>
      <c r="X83" s="10">
        <v>4</v>
      </c>
      <c r="Y83" s="47"/>
      <c r="Z83" s="43"/>
      <c r="AA83" s="31"/>
    </row>
    <row r="84" spans="1:27" ht="40" customHeight="1" x14ac:dyDescent="0.2">
      <c r="A84" s="9">
        <v>1</v>
      </c>
      <c r="B84" s="10" t="s">
        <v>670</v>
      </c>
      <c r="C84" s="10"/>
      <c r="D84" s="10"/>
      <c r="E84" s="10" t="s">
        <v>539</v>
      </c>
      <c r="F84" s="10"/>
      <c r="G84" s="10" t="s">
        <v>58</v>
      </c>
      <c r="H84" s="10"/>
      <c r="I84" s="10" t="s">
        <v>70</v>
      </c>
      <c r="J84" s="10" t="s">
        <v>349</v>
      </c>
      <c r="K84" s="10" t="s">
        <v>74</v>
      </c>
      <c r="L84" s="10" t="s">
        <v>87</v>
      </c>
      <c r="M84" s="10">
        <v>10</v>
      </c>
      <c r="N84" s="10" t="s">
        <v>122</v>
      </c>
      <c r="O84" s="10">
        <v>124</v>
      </c>
      <c r="P84" s="10">
        <f t="shared" si="18"/>
        <v>4500</v>
      </c>
      <c r="Q84" s="10">
        <f t="shared" si="19"/>
        <v>4277.5</v>
      </c>
      <c r="R84" s="10">
        <f t="shared" si="14"/>
        <v>34.49596774193548</v>
      </c>
      <c r="S84" s="10" t="s">
        <v>65</v>
      </c>
      <c r="T84" s="10"/>
      <c r="U84" s="10">
        <f>172800+1555200+259200+145920+91200+230400</f>
        <v>2454720</v>
      </c>
      <c r="V84" s="10" t="s">
        <v>244</v>
      </c>
      <c r="W84" s="43">
        <f t="shared" si="15"/>
        <v>573.86791350087663</v>
      </c>
      <c r="X84" s="10">
        <v>4</v>
      </c>
      <c r="Y84" s="47"/>
      <c r="Z84" s="43"/>
      <c r="AA84" s="31"/>
    </row>
    <row r="85" spans="1:27" ht="40" customHeight="1" x14ac:dyDescent="0.2">
      <c r="A85" s="9">
        <v>1</v>
      </c>
      <c r="B85" s="10" t="s">
        <v>670</v>
      </c>
      <c r="C85" s="10"/>
      <c r="D85" s="10"/>
      <c r="E85" s="10" t="s">
        <v>539</v>
      </c>
      <c r="F85" s="10"/>
      <c r="G85" s="10" t="s">
        <v>58</v>
      </c>
      <c r="H85" s="10"/>
      <c r="I85" s="10" t="s">
        <v>70</v>
      </c>
      <c r="J85" s="10" t="s">
        <v>349</v>
      </c>
      <c r="K85" s="10" t="s">
        <v>74</v>
      </c>
      <c r="L85" s="10" t="s">
        <v>87</v>
      </c>
      <c r="M85" s="10">
        <v>10</v>
      </c>
      <c r="N85" s="10" t="s">
        <v>122</v>
      </c>
      <c r="O85" s="10">
        <v>124</v>
      </c>
      <c r="P85" s="10">
        <f t="shared" si="18"/>
        <v>4500</v>
      </c>
      <c r="Q85" s="10">
        <f t="shared" si="19"/>
        <v>4277.5</v>
      </c>
      <c r="R85" s="10">
        <f t="shared" si="14"/>
        <v>34.49596774193548</v>
      </c>
      <c r="S85" s="10" t="s">
        <v>67</v>
      </c>
      <c r="T85" s="10"/>
      <c r="U85" s="10">
        <v>10800</v>
      </c>
      <c r="V85" s="10" t="s">
        <v>244</v>
      </c>
      <c r="W85" s="43">
        <f t="shared" si="15"/>
        <v>2.5248392752776154</v>
      </c>
      <c r="X85" s="10">
        <v>4</v>
      </c>
      <c r="Y85" s="47"/>
      <c r="Z85" s="43"/>
      <c r="AA85" s="31"/>
    </row>
    <row r="86" spans="1:27" ht="40" customHeight="1" x14ac:dyDescent="0.2">
      <c r="A86" s="9">
        <v>1</v>
      </c>
      <c r="B86" s="10" t="s">
        <v>670</v>
      </c>
      <c r="C86" s="10"/>
      <c r="D86" s="10"/>
      <c r="E86" s="10" t="s">
        <v>539</v>
      </c>
      <c r="F86" s="10"/>
      <c r="G86" s="10" t="s">
        <v>58</v>
      </c>
      <c r="H86" s="10"/>
      <c r="I86" s="10" t="s">
        <v>70</v>
      </c>
      <c r="J86" s="10" t="s">
        <v>350</v>
      </c>
      <c r="K86" s="10" t="s">
        <v>121</v>
      </c>
      <c r="L86" s="10" t="s">
        <v>68</v>
      </c>
      <c r="M86" s="10">
        <v>10</v>
      </c>
      <c r="N86" s="10" t="s">
        <v>120</v>
      </c>
      <c r="O86" s="10">
        <v>123.2</v>
      </c>
      <c r="P86" s="10">
        <f t="shared" si="18"/>
        <v>4500</v>
      </c>
      <c r="Q86" s="10">
        <f t="shared" si="19"/>
        <v>4277.5</v>
      </c>
      <c r="R86" s="10">
        <f t="shared" si="14"/>
        <v>34.719967532467528</v>
      </c>
      <c r="S86" s="10" t="s">
        <v>65</v>
      </c>
      <c r="T86" s="10"/>
      <c r="U86" s="10">
        <f>172800+1555200+259200+145920+91200+230400</f>
        <v>2454720</v>
      </c>
      <c r="V86" s="10" t="s">
        <v>244</v>
      </c>
      <c r="W86" s="43">
        <f t="shared" si="15"/>
        <v>573.86791350087663</v>
      </c>
      <c r="X86" s="10">
        <v>4</v>
      </c>
      <c r="Y86" s="47"/>
      <c r="Z86" s="43"/>
      <c r="AA86" s="31"/>
    </row>
    <row r="87" spans="1:27" ht="40" customHeight="1" x14ac:dyDescent="0.2">
      <c r="A87" s="9">
        <v>1</v>
      </c>
      <c r="B87" s="10" t="s">
        <v>670</v>
      </c>
      <c r="C87" s="10"/>
      <c r="D87" s="10"/>
      <c r="E87" s="10" t="s">
        <v>539</v>
      </c>
      <c r="F87" s="10"/>
      <c r="G87" s="10" t="s">
        <v>58</v>
      </c>
      <c r="H87" s="10"/>
      <c r="I87" s="10" t="s">
        <v>70</v>
      </c>
      <c r="J87" s="10" t="s">
        <v>350</v>
      </c>
      <c r="K87" s="10" t="s">
        <v>121</v>
      </c>
      <c r="L87" s="10" t="s">
        <v>68</v>
      </c>
      <c r="M87" s="10">
        <v>10</v>
      </c>
      <c r="N87" s="10" t="s">
        <v>120</v>
      </c>
      <c r="O87" s="10">
        <v>123.2</v>
      </c>
      <c r="P87" s="10">
        <f t="shared" si="18"/>
        <v>4500</v>
      </c>
      <c r="Q87" s="10">
        <f t="shared" si="19"/>
        <v>4277.5</v>
      </c>
      <c r="R87" s="10">
        <f t="shared" si="14"/>
        <v>34.719967532467528</v>
      </c>
      <c r="S87" s="10" t="s">
        <v>67</v>
      </c>
      <c r="T87" s="10"/>
      <c r="U87" s="10">
        <v>10800</v>
      </c>
      <c r="V87" s="10" t="s">
        <v>244</v>
      </c>
      <c r="W87" s="43">
        <f t="shared" si="15"/>
        <v>2.5248392752776154</v>
      </c>
      <c r="X87" s="10">
        <v>4</v>
      </c>
      <c r="Y87" s="47"/>
      <c r="Z87" s="43"/>
      <c r="AA87" s="31"/>
    </row>
    <row r="88" spans="1:27" ht="40" customHeight="1" x14ac:dyDescent="0.2">
      <c r="A88" s="9">
        <v>1</v>
      </c>
      <c r="B88" s="10" t="s">
        <v>670</v>
      </c>
      <c r="C88" s="10"/>
      <c r="D88" s="10"/>
      <c r="E88" s="10" t="s">
        <v>540</v>
      </c>
      <c r="F88" s="10"/>
      <c r="G88" s="10" t="s">
        <v>58</v>
      </c>
      <c r="H88" s="10"/>
      <c r="I88" s="10" t="s">
        <v>389</v>
      </c>
      <c r="J88" s="10" t="s">
        <v>351</v>
      </c>
      <c r="K88" s="10" t="s">
        <v>119</v>
      </c>
      <c r="L88" s="10" t="s">
        <v>116</v>
      </c>
      <c r="M88" s="10">
        <v>2</v>
      </c>
      <c r="N88" s="10" t="s">
        <v>113</v>
      </c>
      <c r="O88" s="10">
        <v>3.6</v>
      </c>
      <c r="P88" s="10">
        <f t="shared" ref="P88:P103" si="20">(10*9)*M88</f>
        <v>180</v>
      </c>
      <c r="Q88" s="10">
        <f>((10-2*0.5)*(9-2*0.5))*M88</f>
        <v>144</v>
      </c>
      <c r="R88" s="10">
        <f t="shared" si="14"/>
        <v>40</v>
      </c>
      <c r="S88" s="10" t="s">
        <v>67</v>
      </c>
      <c r="T88" s="10"/>
      <c r="U88" s="10">
        <f>400+1750+250+2700+2500+2484+1250+1242</f>
        <v>12576</v>
      </c>
      <c r="V88" s="10" t="s">
        <v>244</v>
      </c>
      <c r="W88" s="43">
        <f t="shared" si="15"/>
        <v>87.333333333333329</v>
      </c>
      <c r="X88" s="10">
        <v>1</v>
      </c>
      <c r="Y88" s="47"/>
      <c r="Z88" s="43"/>
      <c r="AA88" s="31"/>
    </row>
    <row r="89" spans="1:27" ht="40" customHeight="1" x14ac:dyDescent="0.2">
      <c r="A89" s="9">
        <v>1</v>
      </c>
      <c r="B89" s="10" t="s">
        <v>670</v>
      </c>
      <c r="C89" s="10"/>
      <c r="D89" s="10"/>
      <c r="E89" s="10" t="s">
        <v>540</v>
      </c>
      <c r="F89" s="10"/>
      <c r="G89" s="10" t="s">
        <v>58</v>
      </c>
      <c r="H89" s="10"/>
      <c r="I89" s="10" t="s">
        <v>389</v>
      </c>
      <c r="J89" s="10" t="s">
        <v>352</v>
      </c>
      <c r="K89" s="10" t="s">
        <v>110</v>
      </c>
      <c r="L89" s="10" t="s">
        <v>93</v>
      </c>
      <c r="M89" s="10">
        <v>1</v>
      </c>
      <c r="N89" s="10" t="s">
        <v>118</v>
      </c>
      <c r="O89" s="10">
        <v>3.6</v>
      </c>
      <c r="P89" s="10">
        <f t="shared" si="20"/>
        <v>90</v>
      </c>
      <c r="Q89" s="10">
        <f>((10-2*0.4)*(9-2*0.4))*M89</f>
        <v>75.439999999999984</v>
      </c>
      <c r="R89" s="10">
        <f t="shared" si="14"/>
        <v>20.955555555555552</v>
      </c>
      <c r="S89" s="10" t="s">
        <v>65</v>
      </c>
      <c r="T89" s="10"/>
      <c r="U89" s="10">
        <f>28800+69120+38400+34560+21600+30000</f>
        <v>222480</v>
      </c>
      <c r="V89" s="10" t="s">
        <v>244</v>
      </c>
      <c r="W89" s="43">
        <f t="shared" si="15"/>
        <v>2949.0986214209975</v>
      </c>
      <c r="X89" s="10">
        <v>1</v>
      </c>
      <c r="Y89" s="47"/>
      <c r="Z89" s="43"/>
      <c r="AA89" s="31"/>
    </row>
    <row r="90" spans="1:27" ht="40" customHeight="1" x14ac:dyDescent="0.2">
      <c r="A90" s="9">
        <v>1</v>
      </c>
      <c r="B90" s="10" t="s">
        <v>670</v>
      </c>
      <c r="C90" s="10"/>
      <c r="D90" s="10"/>
      <c r="E90" s="10" t="s">
        <v>540</v>
      </c>
      <c r="F90" s="10"/>
      <c r="G90" s="10" t="s">
        <v>58</v>
      </c>
      <c r="H90" s="10"/>
      <c r="I90" s="10" t="s">
        <v>389</v>
      </c>
      <c r="J90" s="10" t="s">
        <v>352</v>
      </c>
      <c r="K90" s="10" t="s">
        <v>110</v>
      </c>
      <c r="L90" s="10" t="s">
        <v>93</v>
      </c>
      <c r="M90" s="10">
        <v>1</v>
      </c>
      <c r="N90" s="10" t="s">
        <v>118</v>
      </c>
      <c r="O90" s="10">
        <v>3.6</v>
      </c>
      <c r="P90" s="10">
        <f t="shared" si="20"/>
        <v>90</v>
      </c>
      <c r="Q90" s="10">
        <f>((10-2*0.4)*(9-2*0.4))*M90</f>
        <v>75.439999999999984</v>
      </c>
      <c r="R90" s="10">
        <f t="shared" si="14"/>
        <v>20.955555555555552</v>
      </c>
      <c r="S90" s="10" t="s">
        <v>67</v>
      </c>
      <c r="T90" s="10"/>
      <c r="U90" s="10">
        <f>400+1750+250</f>
        <v>2400</v>
      </c>
      <c r="V90" s="10" t="s">
        <v>244</v>
      </c>
      <c r="W90" s="43">
        <f t="shared" si="15"/>
        <v>31.813361611876996</v>
      </c>
      <c r="X90" s="10">
        <v>1</v>
      </c>
      <c r="Y90" s="47"/>
      <c r="Z90" s="43"/>
      <c r="AA90" s="31"/>
    </row>
    <row r="91" spans="1:27" ht="40" customHeight="1" x14ac:dyDescent="0.2">
      <c r="A91" s="9">
        <v>1</v>
      </c>
      <c r="B91" s="10" t="s">
        <v>670</v>
      </c>
      <c r="C91" s="10"/>
      <c r="D91" s="10"/>
      <c r="E91" s="10" t="s">
        <v>540</v>
      </c>
      <c r="F91" s="10"/>
      <c r="G91" s="10" t="s">
        <v>58</v>
      </c>
      <c r="H91" s="10"/>
      <c r="I91" s="10" t="s">
        <v>389</v>
      </c>
      <c r="J91" s="10" t="s">
        <v>353</v>
      </c>
      <c r="K91" s="10" t="s">
        <v>117</v>
      </c>
      <c r="L91" s="10" t="s">
        <v>116</v>
      </c>
      <c r="M91" s="10">
        <v>1</v>
      </c>
      <c r="N91" s="10" t="s">
        <v>115</v>
      </c>
      <c r="O91" s="10">
        <v>3.6</v>
      </c>
      <c r="P91" s="10">
        <f t="shared" si="20"/>
        <v>90</v>
      </c>
      <c r="Q91" s="10">
        <f>((10-2*0.2)*(9-2*0.2))*M91</f>
        <v>82.559999999999988</v>
      </c>
      <c r="R91" s="10">
        <f t="shared" si="14"/>
        <v>22.93333333333333</v>
      </c>
      <c r="S91" s="10" t="s">
        <v>67</v>
      </c>
      <c r="T91" s="10"/>
      <c r="U91" s="10">
        <f>17600+4800+400+1750+250+2700+2500+2484+1250+1242</f>
        <v>34976</v>
      </c>
      <c r="V91" s="10" t="s">
        <v>244</v>
      </c>
      <c r="W91" s="43">
        <f t="shared" si="15"/>
        <v>423.64341085271326</v>
      </c>
      <c r="X91" s="10">
        <v>1</v>
      </c>
      <c r="Y91" s="47"/>
      <c r="Z91" s="43"/>
      <c r="AA91" s="31"/>
    </row>
    <row r="92" spans="1:27" ht="40" customHeight="1" x14ac:dyDescent="0.2">
      <c r="A92" s="9">
        <v>1</v>
      </c>
      <c r="B92" s="10" t="s">
        <v>670</v>
      </c>
      <c r="C92" s="10"/>
      <c r="D92" s="10"/>
      <c r="E92" s="10" t="s">
        <v>540</v>
      </c>
      <c r="F92" s="10"/>
      <c r="G92" s="10" t="s">
        <v>58</v>
      </c>
      <c r="H92" s="10"/>
      <c r="I92" s="10" t="s">
        <v>389</v>
      </c>
      <c r="J92" s="10" t="s">
        <v>354</v>
      </c>
      <c r="K92" s="10" t="s">
        <v>114</v>
      </c>
      <c r="L92" s="10" t="s">
        <v>96</v>
      </c>
      <c r="M92" s="10">
        <v>1</v>
      </c>
      <c r="N92" s="10" t="s">
        <v>113</v>
      </c>
      <c r="O92" s="10">
        <v>3.6</v>
      </c>
      <c r="P92" s="10">
        <f t="shared" si="20"/>
        <v>90</v>
      </c>
      <c r="Q92" s="10">
        <f>((10-2*0.16)*(9-2*0.16))*M92</f>
        <v>84.02239999999999</v>
      </c>
      <c r="R92" s="10">
        <f t="shared" si="14"/>
        <v>23.339555555555553</v>
      </c>
      <c r="S92" s="10" t="s">
        <v>65</v>
      </c>
      <c r="T92" s="10"/>
      <c r="U92" s="10">
        <f>69120+38400+34560+21600+30000</f>
        <v>193680</v>
      </c>
      <c r="V92" s="10" t="s">
        <v>244</v>
      </c>
      <c r="W92" s="43">
        <f t="shared" si="15"/>
        <v>2305.099592489622</v>
      </c>
      <c r="X92" s="10">
        <v>1</v>
      </c>
      <c r="Y92" s="47"/>
      <c r="Z92" s="43"/>
      <c r="AA92" s="31"/>
    </row>
    <row r="93" spans="1:27" ht="40" customHeight="1" x14ac:dyDescent="0.2">
      <c r="A93" s="9">
        <v>1</v>
      </c>
      <c r="B93" s="10" t="s">
        <v>670</v>
      </c>
      <c r="C93" s="10"/>
      <c r="D93" s="10"/>
      <c r="E93" s="10" t="s">
        <v>540</v>
      </c>
      <c r="F93" s="10"/>
      <c r="G93" s="10" t="s">
        <v>58</v>
      </c>
      <c r="H93" s="10"/>
      <c r="I93" s="10" t="s">
        <v>389</v>
      </c>
      <c r="J93" s="10" t="s">
        <v>354</v>
      </c>
      <c r="K93" s="10" t="s">
        <v>114</v>
      </c>
      <c r="L93" s="10" t="s">
        <v>96</v>
      </c>
      <c r="M93" s="10">
        <v>1</v>
      </c>
      <c r="N93" s="10" t="s">
        <v>113</v>
      </c>
      <c r="O93" s="10">
        <v>3.6</v>
      </c>
      <c r="P93" s="10">
        <f t="shared" si="20"/>
        <v>90</v>
      </c>
      <c r="Q93" s="10">
        <f>((10-2*0.16)*(9-2*0.16))*M93</f>
        <v>84.02239999999999</v>
      </c>
      <c r="R93" s="10">
        <f t="shared" si="14"/>
        <v>23.339555555555553</v>
      </c>
      <c r="S93" s="10" t="s">
        <v>67</v>
      </c>
      <c r="T93" s="10"/>
      <c r="U93" s="10">
        <f>4000+400+1750+250</f>
        <v>6400</v>
      </c>
      <c r="V93" s="10" t="s">
        <v>244</v>
      </c>
      <c r="W93" s="43">
        <f t="shared" si="15"/>
        <v>76.17016414670374</v>
      </c>
      <c r="X93" s="10">
        <v>1</v>
      </c>
      <c r="Y93" s="47"/>
      <c r="Z93" s="43"/>
      <c r="AA93" s="31"/>
    </row>
    <row r="94" spans="1:27" ht="40" customHeight="1" x14ac:dyDescent="0.2">
      <c r="A94" s="9">
        <v>1</v>
      </c>
      <c r="B94" s="10" t="s">
        <v>670</v>
      </c>
      <c r="C94" s="10"/>
      <c r="D94" s="10"/>
      <c r="E94" s="10" t="s">
        <v>540</v>
      </c>
      <c r="F94" s="10"/>
      <c r="G94" s="10" t="s">
        <v>58</v>
      </c>
      <c r="H94" s="10"/>
      <c r="I94" s="10" t="s">
        <v>389</v>
      </c>
      <c r="J94" s="10" t="s">
        <v>355</v>
      </c>
      <c r="K94" s="10" t="s">
        <v>112</v>
      </c>
      <c r="L94" s="10" t="s">
        <v>111</v>
      </c>
      <c r="M94" s="10">
        <v>1</v>
      </c>
      <c r="N94" s="10" t="s">
        <v>98</v>
      </c>
      <c r="O94" s="10">
        <v>3.6</v>
      </c>
      <c r="P94" s="10">
        <f t="shared" si="20"/>
        <v>90</v>
      </c>
      <c r="Q94" s="10">
        <f>((10-2*0.3)*(9-2*0.3))*M94</f>
        <v>78.960000000000008</v>
      </c>
      <c r="R94" s="10">
        <f t="shared" si="14"/>
        <v>21.933333333333334</v>
      </c>
      <c r="S94" s="10" t="s">
        <v>65</v>
      </c>
      <c r="T94" s="10"/>
      <c r="U94" s="10">
        <f>39600+10800+8640+17280+38400+34560+21600+30000</f>
        <v>200880</v>
      </c>
      <c r="V94" s="10" t="s">
        <v>244</v>
      </c>
      <c r="W94" s="43">
        <f t="shared" si="15"/>
        <v>2544.0729483282671</v>
      </c>
      <c r="X94" s="10">
        <v>1</v>
      </c>
      <c r="Y94" s="47"/>
      <c r="Z94" s="43"/>
      <c r="AA94" s="31"/>
    </row>
    <row r="95" spans="1:27" ht="40" customHeight="1" x14ac:dyDescent="0.2">
      <c r="A95" s="9">
        <v>1</v>
      </c>
      <c r="B95" s="10" t="s">
        <v>670</v>
      </c>
      <c r="C95" s="10"/>
      <c r="D95" s="10"/>
      <c r="E95" s="10" t="s">
        <v>540</v>
      </c>
      <c r="F95" s="10"/>
      <c r="G95" s="10" t="s">
        <v>58</v>
      </c>
      <c r="H95" s="10"/>
      <c r="I95" s="10" t="s">
        <v>389</v>
      </c>
      <c r="J95" s="10" t="s">
        <v>355</v>
      </c>
      <c r="K95" s="10" t="s">
        <v>112</v>
      </c>
      <c r="L95" s="10" t="s">
        <v>111</v>
      </c>
      <c r="M95" s="10">
        <v>1</v>
      </c>
      <c r="N95" s="10" t="s">
        <v>98</v>
      </c>
      <c r="O95" s="10">
        <v>3.6</v>
      </c>
      <c r="P95" s="10">
        <f t="shared" si="20"/>
        <v>90</v>
      </c>
      <c r="Q95" s="10">
        <f>((10-2*0.3)*(9-2*0.3))*M95</f>
        <v>78.960000000000008</v>
      </c>
      <c r="R95" s="10">
        <f t="shared" si="14"/>
        <v>21.933333333333334</v>
      </c>
      <c r="S95" s="10" t="s">
        <v>67</v>
      </c>
      <c r="T95" s="10"/>
      <c r="U95" s="10">
        <f>400+1750+250</f>
        <v>2400</v>
      </c>
      <c r="V95" s="10" t="s">
        <v>244</v>
      </c>
      <c r="W95" s="43">
        <f t="shared" si="15"/>
        <v>30.3951367781155</v>
      </c>
      <c r="X95" s="10">
        <v>1</v>
      </c>
      <c r="Y95" s="47"/>
      <c r="Z95" s="43"/>
      <c r="AA95" s="31"/>
    </row>
    <row r="96" spans="1:27" ht="40" customHeight="1" x14ac:dyDescent="0.2">
      <c r="A96" s="9">
        <v>1</v>
      </c>
      <c r="B96" s="10" t="s">
        <v>670</v>
      </c>
      <c r="C96" s="10"/>
      <c r="D96" s="10"/>
      <c r="E96" s="10" t="s">
        <v>540</v>
      </c>
      <c r="F96" s="10"/>
      <c r="G96" s="10" t="s">
        <v>58</v>
      </c>
      <c r="H96" s="10"/>
      <c r="I96" s="10" t="s">
        <v>389</v>
      </c>
      <c r="J96" s="10" t="s">
        <v>356</v>
      </c>
      <c r="K96" s="10" t="s">
        <v>110</v>
      </c>
      <c r="L96" s="10" t="s">
        <v>83</v>
      </c>
      <c r="M96" s="10">
        <v>1</v>
      </c>
      <c r="N96" s="10" t="s">
        <v>109</v>
      </c>
      <c r="O96" s="10">
        <v>3.6</v>
      </c>
      <c r="P96" s="10">
        <f t="shared" si="20"/>
        <v>90</v>
      </c>
      <c r="Q96" s="10">
        <f t="shared" ref="Q96:Q99" si="21">((10-2*0.25)*(9-2*0.25))*M96</f>
        <v>80.75</v>
      </c>
      <c r="R96" s="10">
        <f t="shared" si="14"/>
        <v>22.430555555555554</v>
      </c>
      <c r="S96" s="10" t="s">
        <v>65</v>
      </c>
      <c r="T96" s="10"/>
      <c r="U96" s="10">
        <f>28800+69120+38400+34560+21600+30000</f>
        <v>222480</v>
      </c>
      <c r="V96" s="10" t="s">
        <v>244</v>
      </c>
      <c r="W96" s="43">
        <f t="shared" si="15"/>
        <v>2755.1702786377709</v>
      </c>
      <c r="X96" s="10">
        <v>1</v>
      </c>
      <c r="Y96" s="47"/>
      <c r="Z96" s="43"/>
      <c r="AA96" s="31"/>
    </row>
    <row r="97" spans="1:24" ht="40" customHeight="1" x14ac:dyDescent="0.2">
      <c r="A97" s="9">
        <v>1</v>
      </c>
      <c r="B97" s="10" t="s">
        <v>670</v>
      </c>
      <c r="C97" s="10"/>
      <c r="D97" s="10"/>
      <c r="E97" s="10" t="s">
        <v>540</v>
      </c>
      <c r="F97" s="10"/>
      <c r="G97" s="10" t="s">
        <v>58</v>
      </c>
      <c r="H97" s="10"/>
      <c r="I97" s="10" t="s">
        <v>389</v>
      </c>
      <c r="J97" s="10" t="s">
        <v>356</v>
      </c>
      <c r="K97" s="10" t="s">
        <v>110</v>
      </c>
      <c r="L97" s="10" t="s">
        <v>83</v>
      </c>
      <c r="M97" s="10">
        <v>1</v>
      </c>
      <c r="N97" s="10" t="s">
        <v>109</v>
      </c>
      <c r="O97" s="10">
        <v>3.6</v>
      </c>
      <c r="P97" s="10">
        <f t="shared" si="20"/>
        <v>90</v>
      </c>
      <c r="Q97" s="10">
        <f t="shared" si="21"/>
        <v>80.75</v>
      </c>
      <c r="R97" s="10">
        <f t="shared" si="14"/>
        <v>22.430555555555554</v>
      </c>
      <c r="S97" s="10" t="s">
        <v>67</v>
      </c>
      <c r="T97" s="10"/>
      <c r="U97" s="10">
        <f>400+1750+250</f>
        <v>2400</v>
      </c>
      <c r="V97" s="10" t="s">
        <v>244</v>
      </c>
      <c r="W97" s="43">
        <f t="shared" si="15"/>
        <v>29.721362229102166</v>
      </c>
      <c r="X97" s="10">
        <v>1</v>
      </c>
    </row>
    <row r="98" spans="1:24" ht="40" customHeight="1" x14ac:dyDescent="0.2">
      <c r="A98" s="9">
        <v>1</v>
      </c>
      <c r="B98" s="10" t="s">
        <v>670</v>
      </c>
      <c r="C98" s="10"/>
      <c r="D98" s="10"/>
      <c r="E98" s="10" t="s">
        <v>540</v>
      </c>
      <c r="F98" s="10"/>
      <c r="G98" s="10" t="s">
        <v>58</v>
      </c>
      <c r="H98" s="10"/>
      <c r="I98" s="10" t="s">
        <v>389</v>
      </c>
      <c r="J98" s="10" t="s">
        <v>357</v>
      </c>
      <c r="K98" s="10" t="s">
        <v>108</v>
      </c>
      <c r="L98" s="10" t="s">
        <v>68</v>
      </c>
      <c r="M98" s="10">
        <v>1</v>
      </c>
      <c r="N98" s="10" t="s">
        <v>104</v>
      </c>
      <c r="O98" s="10">
        <v>3.6</v>
      </c>
      <c r="P98" s="10">
        <f t="shared" si="20"/>
        <v>90</v>
      </c>
      <c r="Q98" s="10">
        <f t="shared" si="21"/>
        <v>80.75</v>
      </c>
      <c r="R98" s="10">
        <f t="shared" si="14"/>
        <v>22.430555555555554</v>
      </c>
      <c r="S98" s="10" t="s">
        <v>65</v>
      </c>
      <c r="T98" s="10"/>
      <c r="U98" s="10">
        <f>69120+38400+34560+21600+30000</f>
        <v>193680</v>
      </c>
      <c r="V98" s="10" t="s">
        <v>244</v>
      </c>
      <c r="W98" s="43">
        <f t="shared" si="15"/>
        <v>2398.5139318885449</v>
      </c>
      <c r="X98" s="10">
        <v>1</v>
      </c>
    </row>
    <row r="99" spans="1:24" ht="40" customHeight="1" x14ac:dyDescent="0.2">
      <c r="A99" s="9">
        <v>1</v>
      </c>
      <c r="B99" s="10" t="s">
        <v>670</v>
      </c>
      <c r="C99" s="10"/>
      <c r="D99" s="10"/>
      <c r="E99" s="10" t="s">
        <v>540</v>
      </c>
      <c r="F99" s="10"/>
      <c r="G99" s="10" t="s">
        <v>58</v>
      </c>
      <c r="H99" s="10"/>
      <c r="I99" s="10" t="s">
        <v>389</v>
      </c>
      <c r="J99" s="10" t="s">
        <v>357</v>
      </c>
      <c r="K99" s="10" t="s">
        <v>108</v>
      </c>
      <c r="L99" s="10" t="s">
        <v>68</v>
      </c>
      <c r="M99" s="10">
        <v>1</v>
      </c>
      <c r="N99" s="10" t="s">
        <v>104</v>
      </c>
      <c r="O99" s="10">
        <v>3.6</v>
      </c>
      <c r="P99" s="10">
        <f t="shared" si="20"/>
        <v>90</v>
      </c>
      <c r="Q99" s="10">
        <f t="shared" si="21"/>
        <v>80.75</v>
      </c>
      <c r="R99" s="10">
        <f t="shared" si="14"/>
        <v>22.430555555555554</v>
      </c>
      <c r="S99" s="10" t="s">
        <v>67</v>
      </c>
      <c r="T99" s="10"/>
      <c r="U99" s="10">
        <f>400+1750+250</f>
        <v>2400</v>
      </c>
      <c r="V99" s="10" t="s">
        <v>244</v>
      </c>
      <c r="W99" s="43">
        <f t="shared" si="15"/>
        <v>29.721362229102166</v>
      </c>
      <c r="X99" s="10">
        <v>1</v>
      </c>
    </row>
    <row r="100" spans="1:24" ht="40" customHeight="1" x14ac:dyDescent="0.2">
      <c r="A100" s="9">
        <v>1</v>
      </c>
      <c r="B100" s="10" t="s">
        <v>670</v>
      </c>
      <c r="C100" s="10"/>
      <c r="D100" s="10"/>
      <c r="E100" s="10" t="s">
        <v>540</v>
      </c>
      <c r="F100" s="10"/>
      <c r="G100" s="10" t="s">
        <v>58</v>
      </c>
      <c r="H100" s="10"/>
      <c r="I100" s="10" t="s">
        <v>389</v>
      </c>
      <c r="J100" s="10" t="s">
        <v>358</v>
      </c>
      <c r="K100" s="10" t="s">
        <v>107</v>
      </c>
      <c r="L100" s="10" t="s">
        <v>73</v>
      </c>
      <c r="M100" s="10">
        <v>1</v>
      </c>
      <c r="N100" s="10" t="s">
        <v>106</v>
      </c>
      <c r="O100" s="10">
        <v>3.6</v>
      </c>
      <c r="P100" s="10">
        <f t="shared" si="20"/>
        <v>90</v>
      </c>
      <c r="Q100" s="10">
        <f t="shared" ref="Q100:Q103" si="22">((10-2*0.16)*(9-2*0.16))*M100</f>
        <v>84.02239999999999</v>
      </c>
      <c r="R100" s="10">
        <f t="shared" si="14"/>
        <v>23.339555555555553</v>
      </c>
      <c r="S100" s="10" t="s">
        <v>65</v>
      </c>
      <c r="T100" s="10"/>
      <c r="U100" s="10">
        <f>38400+34560+21600+30000</f>
        <v>124560</v>
      </c>
      <c r="V100" s="10" t="s">
        <v>244</v>
      </c>
      <c r="W100" s="43">
        <f t="shared" si="15"/>
        <v>1482.4618197052216</v>
      </c>
      <c r="X100" s="10">
        <v>1</v>
      </c>
    </row>
    <row r="101" spans="1:24" ht="40" customHeight="1" x14ac:dyDescent="0.2">
      <c r="A101" s="9">
        <v>1</v>
      </c>
      <c r="B101" s="10" t="s">
        <v>670</v>
      </c>
      <c r="C101" s="10"/>
      <c r="D101" s="10"/>
      <c r="E101" s="10" t="s">
        <v>540</v>
      </c>
      <c r="F101" s="10"/>
      <c r="G101" s="10" t="s">
        <v>58</v>
      </c>
      <c r="H101" s="10"/>
      <c r="I101" s="10" t="s">
        <v>389</v>
      </c>
      <c r="J101" s="10" t="s">
        <v>358</v>
      </c>
      <c r="K101" s="10" t="s">
        <v>107</v>
      </c>
      <c r="L101" s="10" t="s">
        <v>73</v>
      </c>
      <c r="M101" s="10">
        <v>1</v>
      </c>
      <c r="N101" s="10" t="s">
        <v>106</v>
      </c>
      <c r="O101" s="10">
        <v>3.6</v>
      </c>
      <c r="P101" s="10">
        <f t="shared" si="20"/>
        <v>90</v>
      </c>
      <c r="Q101" s="10">
        <f t="shared" si="22"/>
        <v>84.02239999999999</v>
      </c>
      <c r="R101" s="10">
        <f t="shared" si="14"/>
        <v>23.339555555555553</v>
      </c>
      <c r="S101" s="10" t="s">
        <v>67</v>
      </c>
      <c r="T101" s="10"/>
      <c r="U101" s="10">
        <f>3200+1600+400+1750+250+2700+2500+2484</f>
        <v>14884</v>
      </c>
      <c r="V101" s="10" t="s">
        <v>244</v>
      </c>
      <c r="W101" s="43">
        <f t="shared" si="15"/>
        <v>177.1432379936779</v>
      </c>
      <c r="X101" s="10">
        <v>1</v>
      </c>
    </row>
    <row r="102" spans="1:24" ht="40" customHeight="1" x14ac:dyDescent="0.2">
      <c r="A102" s="9">
        <v>1</v>
      </c>
      <c r="B102" s="10" t="s">
        <v>670</v>
      </c>
      <c r="C102" s="10"/>
      <c r="D102" s="10"/>
      <c r="E102" s="10" t="s">
        <v>540</v>
      </c>
      <c r="F102" s="10"/>
      <c r="G102" s="10" t="s">
        <v>58</v>
      </c>
      <c r="H102" s="10"/>
      <c r="I102" s="10" t="s">
        <v>389</v>
      </c>
      <c r="J102" s="10" t="s">
        <v>359</v>
      </c>
      <c r="K102" s="10" t="s">
        <v>105</v>
      </c>
      <c r="L102" s="10" t="s">
        <v>68</v>
      </c>
      <c r="M102" s="10">
        <v>1</v>
      </c>
      <c r="N102" s="10" t="s">
        <v>104</v>
      </c>
      <c r="O102" s="10">
        <v>3.6</v>
      </c>
      <c r="P102" s="10">
        <f t="shared" si="20"/>
        <v>90</v>
      </c>
      <c r="Q102" s="10">
        <f t="shared" si="22"/>
        <v>84.02239999999999</v>
      </c>
      <c r="R102" s="10">
        <f t="shared" si="14"/>
        <v>23.339555555555553</v>
      </c>
      <c r="S102" s="10" t="s">
        <v>65</v>
      </c>
      <c r="T102" s="10"/>
      <c r="U102" s="10">
        <f>38400+34560+21600+30000</f>
        <v>124560</v>
      </c>
      <c r="V102" s="10" t="s">
        <v>244</v>
      </c>
      <c r="W102" s="43">
        <f t="shared" si="15"/>
        <v>1482.4618197052216</v>
      </c>
      <c r="X102" s="10">
        <v>1</v>
      </c>
    </row>
    <row r="103" spans="1:24" ht="40" customHeight="1" x14ac:dyDescent="0.2">
      <c r="A103" s="9">
        <v>1</v>
      </c>
      <c r="B103" s="10" t="s">
        <v>670</v>
      </c>
      <c r="C103" s="10"/>
      <c r="D103" s="10"/>
      <c r="E103" s="10" t="s">
        <v>540</v>
      </c>
      <c r="F103" s="10"/>
      <c r="G103" s="10" t="s">
        <v>58</v>
      </c>
      <c r="H103" s="10"/>
      <c r="I103" s="10" t="s">
        <v>389</v>
      </c>
      <c r="J103" s="10" t="s">
        <v>359</v>
      </c>
      <c r="K103" s="10" t="s">
        <v>105</v>
      </c>
      <c r="L103" s="10" t="s">
        <v>68</v>
      </c>
      <c r="M103" s="10">
        <v>1</v>
      </c>
      <c r="N103" s="10" t="s">
        <v>104</v>
      </c>
      <c r="O103" s="10">
        <v>3.6</v>
      </c>
      <c r="P103" s="10">
        <f t="shared" si="20"/>
        <v>90</v>
      </c>
      <c r="Q103" s="10">
        <f t="shared" si="22"/>
        <v>84.02239999999999</v>
      </c>
      <c r="R103" s="10">
        <f t="shared" si="14"/>
        <v>23.339555555555553</v>
      </c>
      <c r="S103" s="10" t="s">
        <v>67</v>
      </c>
      <c r="T103" s="10"/>
      <c r="U103" s="10">
        <f>3200+1600+400+1750+250+2700+2500+2484</f>
        <v>14884</v>
      </c>
      <c r="V103" s="10" t="s">
        <v>244</v>
      </c>
      <c r="W103" s="43">
        <f t="shared" si="15"/>
        <v>177.1432379936779</v>
      </c>
      <c r="X103" s="10">
        <v>1</v>
      </c>
    </row>
    <row r="104" spans="1:24" ht="40" customHeight="1" x14ac:dyDescent="0.2">
      <c r="A104" s="9">
        <v>1</v>
      </c>
      <c r="B104" s="10" t="s">
        <v>670</v>
      </c>
      <c r="C104" s="10"/>
      <c r="D104" s="10"/>
      <c r="E104" s="10" t="s">
        <v>540</v>
      </c>
      <c r="F104" s="10"/>
      <c r="G104" s="10" t="s">
        <v>58</v>
      </c>
      <c r="H104" s="10"/>
      <c r="I104" s="10" t="s">
        <v>433</v>
      </c>
      <c r="J104" s="10" t="s">
        <v>360</v>
      </c>
      <c r="K104" s="10" t="s">
        <v>103</v>
      </c>
      <c r="L104" s="10" t="s">
        <v>102</v>
      </c>
      <c r="M104" s="10">
        <v>4</v>
      </c>
      <c r="N104" s="10" t="s">
        <v>101</v>
      </c>
      <c r="O104" s="10">
        <v>38.4</v>
      </c>
      <c r="P104" s="10">
        <f t="shared" ref="P104:P120" si="23">(32*12)*M104</f>
        <v>1536</v>
      </c>
      <c r="Q104" s="10">
        <f>((32-2*0.5)*(12-2*0.5))*M104</f>
        <v>1364</v>
      </c>
      <c r="R104" s="10">
        <f t="shared" si="14"/>
        <v>35.520833333333336</v>
      </c>
      <c r="S104" s="10" t="s">
        <v>67</v>
      </c>
      <c r="T104" s="10"/>
      <c r="U104" s="10">
        <f>7000+1250+22800+22000+20976+2500+5244</f>
        <v>81770</v>
      </c>
      <c r="V104" s="10" t="s">
        <v>244</v>
      </c>
      <c r="W104" s="43">
        <f t="shared" si="15"/>
        <v>59.948680351906155</v>
      </c>
      <c r="X104" s="10">
        <v>3</v>
      </c>
    </row>
    <row r="105" spans="1:24" ht="40" customHeight="1" x14ac:dyDescent="0.2">
      <c r="A105" s="9">
        <v>1</v>
      </c>
      <c r="B105" s="10" t="s">
        <v>670</v>
      </c>
      <c r="C105" s="10"/>
      <c r="D105" s="10"/>
      <c r="E105" s="10" t="s">
        <v>540</v>
      </c>
      <c r="F105" s="10"/>
      <c r="G105" s="10" t="s">
        <v>58</v>
      </c>
      <c r="H105" s="10"/>
      <c r="I105" s="10" t="s">
        <v>433</v>
      </c>
      <c r="J105" s="10" t="s">
        <v>361</v>
      </c>
      <c r="K105" s="10" t="s">
        <v>100</v>
      </c>
      <c r="L105" s="10" t="s">
        <v>99</v>
      </c>
      <c r="M105" s="10">
        <v>4</v>
      </c>
      <c r="N105" s="10" t="s">
        <v>98</v>
      </c>
      <c r="O105" s="10">
        <v>38.4</v>
      </c>
      <c r="P105" s="10">
        <f t="shared" si="23"/>
        <v>1536</v>
      </c>
      <c r="Q105" s="10">
        <f>((32-2*0.3)*(12-2*0.3))*M105</f>
        <v>1431.84</v>
      </c>
      <c r="R105" s="10">
        <f t="shared" si="14"/>
        <v>37.287500000000001</v>
      </c>
      <c r="S105" s="10" t="s">
        <v>65</v>
      </c>
      <c r="T105" s="10"/>
      <c r="U105" s="10">
        <f>154800+528000+437760+259200+145920+91200+108000</f>
        <v>1724880</v>
      </c>
      <c r="V105" s="10" t="s">
        <v>244</v>
      </c>
      <c r="W105" s="43">
        <f t="shared" si="15"/>
        <v>1204.6597385182702</v>
      </c>
      <c r="X105" s="10">
        <v>3</v>
      </c>
    </row>
    <row r="106" spans="1:24" ht="40" customHeight="1" x14ac:dyDescent="0.2">
      <c r="A106" s="9">
        <v>1</v>
      </c>
      <c r="B106" s="10" t="s">
        <v>670</v>
      </c>
      <c r="C106" s="10"/>
      <c r="D106" s="10"/>
      <c r="E106" s="10" t="s">
        <v>540</v>
      </c>
      <c r="F106" s="10"/>
      <c r="G106" s="10" t="s">
        <v>58</v>
      </c>
      <c r="H106" s="10"/>
      <c r="I106" s="10" t="s">
        <v>433</v>
      </c>
      <c r="J106" s="10" t="s">
        <v>361</v>
      </c>
      <c r="K106" s="10" t="s">
        <v>100</v>
      </c>
      <c r="L106" s="10" t="s">
        <v>99</v>
      </c>
      <c r="M106" s="10">
        <v>4</v>
      </c>
      <c r="N106" s="10" t="s">
        <v>98</v>
      </c>
      <c r="O106" s="10">
        <v>38.4</v>
      </c>
      <c r="P106" s="10">
        <f t="shared" si="23"/>
        <v>1536</v>
      </c>
      <c r="Q106" s="10">
        <f>((32-2*0.3)*(12-2*0.3))*M106</f>
        <v>1431.84</v>
      </c>
      <c r="R106" s="10">
        <f t="shared" si="14"/>
        <v>37.287500000000001</v>
      </c>
      <c r="S106" s="10" t="s">
        <v>67</v>
      </c>
      <c r="T106" s="10"/>
      <c r="U106" s="10">
        <f>5600+7000+1250</f>
        <v>13850</v>
      </c>
      <c r="V106" s="10" t="s">
        <v>244</v>
      </c>
      <c r="W106" s="43">
        <f t="shared" si="15"/>
        <v>9.6728684769247959</v>
      </c>
      <c r="X106" s="10">
        <v>3</v>
      </c>
    </row>
    <row r="107" spans="1:24" ht="40" customHeight="1" x14ac:dyDescent="0.2">
      <c r="A107" s="9">
        <v>1</v>
      </c>
      <c r="B107" s="10" t="s">
        <v>670</v>
      </c>
      <c r="C107" s="10"/>
      <c r="D107" s="10"/>
      <c r="E107" s="10" t="s">
        <v>540</v>
      </c>
      <c r="F107" s="10"/>
      <c r="G107" s="10" t="s">
        <v>58</v>
      </c>
      <c r="H107" s="10"/>
      <c r="I107" s="10" t="s">
        <v>433</v>
      </c>
      <c r="J107" s="10" t="s">
        <v>362</v>
      </c>
      <c r="K107" s="10" t="s">
        <v>97</v>
      </c>
      <c r="L107" s="10" t="s">
        <v>96</v>
      </c>
      <c r="M107" s="10">
        <v>4</v>
      </c>
      <c r="N107" s="10" t="s">
        <v>95</v>
      </c>
      <c r="O107" s="10">
        <v>38.4</v>
      </c>
      <c r="P107" s="10">
        <f t="shared" si="23"/>
        <v>1536</v>
      </c>
      <c r="Q107" s="10">
        <f>((32-2*0.2)*(12-2*0.2))*M107</f>
        <v>1466.24</v>
      </c>
      <c r="R107" s="10">
        <f t="shared" si="14"/>
        <v>38.183333333333337</v>
      </c>
      <c r="S107" s="10" t="s">
        <v>67</v>
      </c>
      <c r="T107" s="10"/>
      <c r="U107" s="10">
        <f>16000+5600+7000+1250</f>
        <v>29850</v>
      </c>
      <c r="V107" s="10" t="s">
        <v>244</v>
      </c>
      <c r="W107" s="43">
        <f t="shared" si="15"/>
        <v>20.358195111305108</v>
      </c>
      <c r="X107" s="10">
        <v>3</v>
      </c>
    </row>
    <row r="108" spans="1:24" ht="40" customHeight="1" x14ac:dyDescent="0.2">
      <c r="A108" s="9">
        <v>1</v>
      </c>
      <c r="B108" s="10" t="s">
        <v>670</v>
      </c>
      <c r="C108" s="10"/>
      <c r="D108" s="10"/>
      <c r="E108" s="10" t="s">
        <v>540</v>
      </c>
      <c r="F108" s="10"/>
      <c r="G108" s="10" t="s">
        <v>58</v>
      </c>
      <c r="H108" s="10"/>
      <c r="I108" s="10" t="s">
        <v>433</v>
      </c>
      <c r="J108" s="10" t="s">
        <v>363</v>
      </c>
      <c r="K108" s="10" t="s">
        <v>94</v>
      </c>
      <c r="L108" s="10" t="s">
        <v>93</v>
      </c>
      <c r="M108" s="10">
        <v>4</v>
      </c>
      <c r="N108" s="10" t="s">
        <v>92</v>
      </c>
      <c r="O108" s="10">
        <v>38.4</v>
      </c>
      <c r="P108" s="10">
        <f t="shared" si="23"/>
        <v>1536</v>
      </c>
      <c r="Q108" s="10">
        <f>((32-2*0.4)*(12-2*0.4))*M108</f>
        <v>1397.76</v>
      </c>
      <c r="R108" s="10">
        <f t="shared" si="14"/>
        <v>36.4</v>
      </c>
      <c r="S108" s="10" t="s">
        <v>65</v>
      </c>
      <c r="T108" s="10"/>
      <c r="U108" s="10">
        <f>528000+437760+259200+145920+91200+108000</f>
        <v>1570080</v>
      </c>
      <c r="V108" s="10" t="s">
        <v>244</v>
      </c>
      <c r="W108" s="43">
        <f t="shared" si="15"/>
        <v>1123.282967032967</v>
      </c>
      <c r="X108" s="10">
        <v>3</v>
      </c>
    </row>
    <row r="109" spans="1:24" ht="40" customHeight="1" x14ac:dyDescent="0.2">
      <c r="A109" s="9">
        <v>1</v>
      </c>
      <c r="B109" s="10" t="s">
        <v>670</v>
      </c>
      <c r="C109" s="10"/>
      <c r="D109" s="10"/>
      <c r="E109" s="10" t="s">
        <v>540</v>
      </c>
      <c r="F109" s="10"/>
      <c r="G109" s="10" t="s">
        <v>58</v>
      </c>
      <c r="H109" s="10"/>
      <c r="I109" s="10" t="s">
        <v>433</v>
      </c>
      <c r="J109" s="10" t="s">
        <v>363</v>
      </c>
      <c r="K109" s="10" t="s">
        <v>94</v>
      </c>
      <c r="L109" s="10" t="s">
        <v>93</v>
      </c>
      <c r="M109" s="10">
        <v>4</v>
      </c>
      <c r="N109" s="10" t="s">
        <v>92</v>
      </c>
      <c r="O109" s="10">
        <v>38.4</v>
      </c>
      <c r="P109" s="10">
        <f t="shared" si="23"/>
        <v>1536</v>
      </c>
      <c r="Q109" s="10">
        <f>((32-2*0.4)*(12-2*0.4))*M109</f>
        <v>1397.76</v>
      </c>
      <c r="R109" s="10">
        <f t="shared" si="14"/>
        <v>36.4</v>
      </c>
      <c r="S109" s="10" t="s">
        <v>67</v>
      </c>
      <c r="T109" s="10"/>
      <c r="U109" s="10">
        <f>5600+7000+1250</f>
        <v>13850</v>
      </c>
      <c r="V109" s="10" t="s">
        <v>244</v>
      </c>
      <c r="W109" s="43">
        <f t="shared" si="15"/>
        <v>9.9087110805860803</v>
      </c>
      <c r="X109" s="10">
        <v>3</v>
      </c>
    </row>
    <row r="110" spans="1:24" ht="40" customHeight="1" x14ac:dyDescent="0.2">
      <c r="A110" s="9">
        <v>1</v>
      </c>
      <c r="B110" s="10" t="s">
        <v>670</v>
      </c>
      <c r="C110" s="10"/>
      <c r="D110" s="10"/>
      <c r="E110" s="10" t="s">
        <v>540</v>
      </c>
      <c r="F110" s="10"/>
      <c r="G110" s="10" t="s">
        <v>58</v>
      </c>
      <c r="H110" s="10"/>
      <c r="I110" s="10" t="s">
        <v>433</v>
      </c>
      <c r="J110" s="10" t="s">
        <v>364</v>
      </c>
      <c r="K110" s="10" t="s">
        <v>91</v>
      </c>
      <c r="L110" s="10" t="s">
        <v>78</v>
      </c>
      <c r="M110" s="10">
        <v>4</v>
      </c>
      <c r="N110" s="10" t="s">
        <v>90</v>
      </c>
      <c r="O110" s="10">
        <v>38.4</v>
      </c>
      <c r="P110" s="10">
        <f t="shared" si="23"/>
        <v>1536</v>
      </c>
      <c r="Q110" s="10">
        <f>((32-2*0.3)*(12-2*0.3))*M110</f>
        <v>1431.84</v>
      </c>
      <c r="R110" s="10">
        <f t="shared" si="14"/>
        <v>37.287500000000001</v>
      </c>
      <c r="S110" s="10" t="s">
        <v>65</v>
      </c>
      <c r="T110" s="10"/>
      <c r="U110" s="10">
        <f>288000+72000+528000+158400+437760+259200+145920+91200+108000</f>
        <v>2088480</v>
      </c>
      <c r="V110" s="10" t="s">
        <v>244</v>
      </c>
      <c r="W110" s="43">
        <f t="shared" si="15"/>
        <v>1458.5987261146497</v>
      </c>
      <c r="X110" s="10">
        <v>3</v>
      </c>
    </row>
    <row r="111" spans="1:24" ht="40" customHeight="1" x14ac:dyDescent="0.2">
      <c r="A111" s="9">
        <v>1</v>
      </c>
      <c r="B111" s="10" t="s">
        <v>670</v>
      </c>
      <c r="C111" s="10"/>
      <c r="D111" s="10"/>
      <c r="E111" s="10" t="s">
        <v>540</v>
      </c>
      <c r="F111" s="10"/>
      <c r="G111" s="10" t="s">
        <v>58</v>
      </c>
      <c r="H111" s="10"/>
      <c r="I111" s="10" t="s">
        <v>433</v>
      </c>
      <c r="J111" s="10" t="s">
        <v>364</v>
      </c>
      <c r="K111" s="10" t="s">
        <v>91</v>
      </c>
      <c r="L111" s="10" t="s">
        <v>78</v>
      </c>
      <c r="M111" s="10">
        <v>4</v>
      </c>
      <c r="N111" s="10" t="s">
        <v>90</v>
      </c>
      <c r="O111" s="10">
        <v>38.4</v>
      </c>
      <c r="P111" s="10">
        <f t="shared" si="23"/>
        <v>1536</v>
      </c>
      <c r="Q111" s="10">
        <f>((32-2*0.3)*(12-2*0.3))*M111</f>
        <v>1431.84</v>
      </c>
      <c r="R111" s="10">
        <f t="shared" si="14"/>
        <v>37.287500000000001</v>
      </c>
      <c r="S111" s="10" t="s">
        <v>67</v>
      </c>
      <c r="T111" s="10"/>
      <c r="U111" s="10">
        <v>5244</v>
      </c>
      <c r="V111" s="10" t="s">
        <v>244</v>
      </c>
      <c r="W111" s="43">
        <f t="shared" si="15"/>
        <v>3.6624203821656054</v>
      </c>
      <c r="X111" s="10">
        <v>3</v>
      </c>
    </row>
    <row r="112" spans="1:24" ht="40" customHeight="1" x14ac:dyDescent="0.2">
      <c r="A112" s="9">
        <v>1</v>
      </c>
      <c r="B112" s="10" t="s">
        <v>670</v>
      </c>
      <c r="C112" s="10"/>
      <c r="D112" s="10"/>
      <c r="E112" s="10" t="s">
        <v>540</v>
      </c>
      <c r="F112" s="10"/>
      <c r="G112" s="10" t="s">
        <v>58</v>
      </c>
      <c r="H112" s="10"/>
      <c r="I112" s="10" t="s">
        <v>433</v>
      </c>
      <c r="J112" s="10" t="s">
        <v>365</v>
      </c>
      <c r="K112" s="10" t="s">
        <v>88</v>
      </c>
      <c r="L112" s="10" t="s">
        <v>87</v>
      </c>
      <c r="M112" s="10">
        <v>4</v>
      </c>
      <c r="N112" s="10" t="s">
        <v>86</v>
      </c>
      <c r="O112" s="10">
        <v>38.4</v>
      </c>
      <c r="P112" s="10">
        <f t="shared" si="23"/>
        <v>1536</v>
      </c>
      <c r="Q112" s="10">
        <f>((32-2*0.16)*(12-2*0.16))*M112</f>
        <v>1480.0896</v>
      </c>
      <c r="R112" s="10">
        <f t="shared" si="14"/>
        <v>38.544000000000004</v>
      </c>
      <c r="S112" s="10" t="s">
        <v>65</v>
      </c>
      <c r="T112" s="10"/>
      <c r="U112" s="10">
        <f>91200+108000</f>
        <v>199200</v>
      </c>
      <c r="V112" s="10" t="s">
        <v>244</v>
      </c>
      <c r="W112" s="43">
        <f t="shared" si="15"/>
        <v>134.58644665836445</v>
      </c>
      <c r="X112" s="10">
        <v>3</v>
      </c>
    </row>
    <row r="113" spans="1:24" ht="40" customHeight="1" x14ac:dyDescent="0.2">
      <c r="A113" s="9">
        <v>1</v>
      </c>
      <c r="B113" s="10" t="s">
        <v>670</v>
      </c>
      <c r="C113" s="10"/>
      <c r="D113" s="10"/>
      <c r="E113" s="10" t="s">
        <v>540</v>
      </c>
      <c r="F113" s="10"/>
      <c r="G113" s="10" t="s">
        <v>58</v>
      </c>
      <c r="H113" s="10"/>
      <c r="I113" s="10" t="s">
        <v>433</v>
      </c>
      <c r="J113" s="10" t="s">
        <v>365</v>
      </c>
      <c r="K113" s="10" t="s">
        <v>88</v>
      </c>
      <c r="L113" s="10" t="s">
        <v>87</v>
      </c>
      <c r="M113" s="10">
        <v>4</v>
      </c>
      <c r="N113" s="10" t="s">
        <v>86</v>
      </c>
      <c r="O113" s="10">
        <v>38.4</v>
      </c>
      <c r="P113" s="10">
        <f t="shared" si="23"/>
        <v>1536</v>
      </c>
      <c r="Q113" s="10">
        <f>((32-2*0.16)*(12-2*0.16))*M113</f>
        <v>1480.0896</v>
      </c>
      <c r="R113" s="10">
        <f t="shared" si="14"/>
        <v>38.544000000000004</v>
      </c>
      <c r="S113" s="10" t="s">
        <v>67</v>
      </c>
      <c r="T113" s="10"/>
      <c r="U113" s="10">
        <f>8600+16000+17600+5600+7000+1250+11400+11000+10488</f>
        <v>88938</v>
      </c>
      <c r="V113" s="10" t="s">
        <v>244</v>
      </c>
      <c r="W113" s="43">
        <f t="shared" si="15"/>
        <v>60.089605386052305</v>
      </c>
      <c r="X113" s="10">
        <v>3</v>
      </c>
    </row>
    <row r="114" spans="1:24" ht="40" customHeight="1" x14ac:dyDescent="0.2">
      <c r="A114" s="9">
        <v>1</v>
      </c>
      <c r="B114" s="10" t="s">
        <v>670</v>
      </c>
      <c r="C114" s="10"/>
      <c r="D114" s="10"/>
      <c r="E114" s="10" t="s">
        <v>540</v>
      </c>
      <c r="F114" s="10"/>
      <c r="G114" s="10" t="s">
        <v>58</v>
      </c>
      <c r="H114" s="10"/>
      <c r="I114" s="10" t="s">
        <v>433</v>
      </c>
      <c r="J114" s="10" t="s">
        <v>366</v>
      </c>
      <c r="K114" s="10" t="s">
        <v>85</v>
      </c>
      <c r="L114" s="10" t="s">
        <v>68</v>
      </c>
      <c r="M114" s="10">
        <v>4</v>
      </c>
      <c r="N114" s="10" t="s">
        <v>80</v>
      </c>
      <c r="O114" s="10">
        <v>38.4</v>
      </c>
      <c r="P114" s="10">
        <f t="shared" si="23"/>
        <v>1536</v>
      </c>
      <c r="Q114" s="10">
        <f>((32-2*0.16)*(12-2*0.16))*M114</f>
        <v>1480.0896</v>
      </c>
      <c r="R114" s="10">
        <f t="shared" si="14"/>
        <v>38.544000000000004</v>
      </c>
      <c r="S114" s="10" t="s">
        <v>65</v>
      </c>
      <c r="T114" s="10"/>
      <c r="U114" s="10">
        <f>91200+108000</f>
        <v>199200</v>
      </c>
      <c r="V114" s="10" t="s">
        <v>244</v>
      </c>
      <c r="W114" s="43">
        <f t="shared" si="15"/>
        <v>134.58644665836445</v>
      </c>
      <c r="X114" s="10">
        <v>3</v>
      </c>
    </row>
    <row r="115" spans="1:24" ht="40" customHeight="1" x14ac:dyDescent="0.2">
      <c r="A115" s="9">
        <v>1</v>
      </c>
      <c r="B115" s="10" t="s">
        <v>670</v>
      </c>
      <c r="C115" s="10"/>
      <c r="D115" s="10"/>
      <c r="E115" s="10" t="s">
        <v>540</v>
      </c>
      <c r="F115" s="10"/>
      <c r="G115" s="10" t="s">
        <v>58</v>
      </c>
      <c r="H115" s="10"/>
      <c r="I115" s="10" t="s">
        <v>433</v>
      </c>
      <c r="J115" s="10" t="s">
        <v>366</v>
      </c>
      <c r="K115" s="10" t="s">
        <v>85</v>
      </c>
      <c r="L115" s="10" t="s">
        <v>68</v>
      </c>
      <c r="M115" s="10">
        <v>4</v>
      </c>
      <c r="N115" s="10" t="s">
        <v>80</v>
      </c>
      <c r="O115" s="10">
        <v>38.4</v>
      </c>
      <c r="P115" s="10">
        <f t="shared" si="23"/>
        <v>1536</v>
      </c>
      <c r="Q115" s="10">
        <f>((32-2*0.16)*(12-2*0.16))*M115</f>
        <v>1480.0896</v>
      </c>
      <c r="R115" s="10">
        <f t="shared" si="14"/>
        <v>38.544000000000004</v>
      </c>
      <c r="S115" s="10" t="s">
        <v>67</v>
      </c>
      <c r="T115" s="10"/>
      <c r="U115" s="10">
        <f>8600+16000+17600+5600+7000+1250+11400+11000+10488</f>
        <v>88938</v>
      </c>
      <c r="V115" s="10" t="s">
        <v>244</v>
      </c>
      <c r="W115" s="43">
        <f t="shared" si="15"/>
        <v>60.089605386052305</v>
      </c>
      <c r="X115" s="10">
        <v>3</v>
      </c>
    </row>
    <row r="116" spans="1:24" ht="40" customHeight="1" x14ac:dyDescent="0.2">
      <c r="A116" s="9">
        <v>1</v>
      </c>
      <c r="B116" s="10" t="s">
        <v>670</v>
      </c>
      <c r="C116" s="10"/>
      <c r="D116" s="10"/>
      <c r="E116" s="10" t="s">
        <v>540</v>
      </c>
      <c r="F116" s="10"/>
      <c r="G116" s="10" t="s">
        <v>58</v>
      </c>
      <c r="H116" s="10"/>
      <c r="I116" s="10" t="s">
        <v>433</v>
      </c>
      <c r="J116" s="10" t="s">
        <v>367</v>
      </c>
      <c r="K116" s="10" t="s">
        <v>84</v>
      </c>
      <c r="L116" s="10" t="s">
        <v>83</v>
      </c>
      <c r="M116" s="10">
        <v>4</v>
      </c>
      <c r="N116" s="10" t="s">
        <v>82</v>
      </c>
      <c r="O116" s="10">
        <v>38.4</v>
      </c>
      <c r="P116" s="10">
        <f t="shared" si="23"/>
        <v>1536</v>
      </c>
      <c r="Q116" s="10">
        <f t="shared" ref="Q116:Q119" si="24">((32-2*0.25)*(12-2*0.25))*M116</f>
        <v>1449</v>
      </c>
      <c r="R116" s="10">
        <f t="shared" si="14"/>
        <v>37.734375</v>
      </c>
      <c r="S116" s="10" t="s">
        <v>65</v>
      </c>
      <c r="T116" s="10"/>
      <c r="U116" s="10">
        <f>437760+259200+145920+91200+108000</f>
        <v>1042080</v>
      </c>
      <c r="V116" s="10" t="s">
        <v>244</v>
      </c>
      <c r="W116" s="43">
        <f t="shared" si="15"/>
        <v>719.17184265010349</v>
      </c>
      <c r="X116" s="10">
        <v>3</v>
      </c>
    </row>
    <row r="117" spans="1:24" ht="40" customHeight="1" x14ac:dyDescent="0.2">
      <c r="A117" s="9">
        <v>1</v>
      </c>
      <c r="B117" s="10" t="s">
        <v>670</v>
      </c>
      <c r="C117" s="10"/>
      <c r="D117" s="10"/>
      <c r="E117" s="10" t="s">
        <v>540</v>
      </c>
      <c r="F117" s="10"/>
      <c r="G117" s="10" t="s">
        <v>58</v>
      </c>
      <c r="H117" s="10"/>
      <c r="I117" s="10" t="s">
        <v>433</v>
      </c>
      <c r="J117" s="10" t="s">
        <v>367</v>
      </c>
      <c r="K117" s="10" t="s">
        <v>84</v>
      </c>
      <c r="L117" s="10" t="s">
        <v>83</v>
      </c>
      <c r="M117" s="10">
        <v>4</v>
      </c>
      <c r="N117" s="10" t="s">
        <v>82</v>
      </c>
      <c r="O117" s="10">
        <v>38.4</v>
      </c>
      <c r="P117" s="10">
        <f t="shared" si="23"/>
        <v>1536</v>
      </c>
      <c r="Q117" s="10">
        <f t="shared" si="24"/>
        <v>1449</v>
      </c>
      <c r="R117" s="10">
        <f t="shared" si="14"/>
        <v>37.734375</v>
      </c>
      <c r="S117" s="10" t="s">
        <v>67</v>
      </c>
      <c r="T117" s="10"/>
      <c r="U117" s="10">
        <f>5600+7000+1250</f>
        <v>13850</v>
      </c>
      <c r="V117" s="10" t="s">
        <v>244</v>
      </c>
      <c r="W117" s="43">
        <f t="shared" si="15"/>
        <v>9.5583160800552101</v>
      </c>
      <c r="X117" s="10">
        <v>3</v>
      </c>
    </row>
    <row r="118" spans="1:24" ht="40" customHeight="1" x14ac:dyDescent="0.2">
      <c r="A118" s="9">
        <v>1</v>
      </c>
      <c r="B118" s="10" t="s">
        <v>670</v>
      </c>
      <c r="C118" s="10"/>
      <c r="D118" s="10"/>
      <c r="E118" s="10" t="s">
        <v>540</v>
      </c>
      <c r="F118" s="10"/>
      <c r="G118" s="10" t="s">
        <v>58</v>
      </c>
      <c r="H118" s="10"/>
      <c r="I118" s="10" t="s">
        <v>433</v>
      </c>
      <c r="J118" s="10" t="s">
        <v>368</v>
      </c>
      <c r="K118" s="10" t="s">
        <v>81</v>
      </c>
      <c r="L118" s="10" t="s">
        <v>68</v>
      </c>
      <c r="M118" s="10">
        <v>4</v>
      </c>
      <c r="N118" s="10" t="s">
        <v>80</v>
      </c>
      <c r="O118" s="10">
        <v>38.4</v>
      </c>
      <c r="P118" s="10">
        <f t="shared" si="23"/>
        <v>1536</v>
      </c>
      <c r="Q118" s="10">
        <f t="shared" si="24"/>
        <v>1449</v>
      </c>
      <c r="R118" s="10">
        <f t="shared" si="14"/>
        <v>37.734375</v>
      </c>
      <c r="S118" s="10" t="s">
        <v>65</v>
      </c>
      <c r="T118" s="10"/>
      <c r="U118" s="10">
        <f>437760+259200+145920+91200+108000</f>
        <v>1042080</v>
      </c>
      <c r="V118" s="10" t="s">
        <v>244</v>
      </c>
      <c r="W118" s="43">
        <f t="shared" si="15"/>
        <v>719.17184265010349</v>
      </c>
      <c r="X118" s="10">
        <v>3</v>
      </c>
    </row>
    <row r="119" spans="1:24" ht="40" customHeight="1" x14ac:dyDescent="0.2">
      <c r="A119" s="9">
        <v>1</v>
      </c>
      <c r="B119" s="10" t="s">
        <v>670</v>
      </c>
      <c r="C119" s="10"/>
      <c r="D119" s="10"/>
      <c r="E119" s="10" t="s">
        <v>540</v>
      </c>
      <c r="F119" s="10"/>
      <c r="G119" s="10" t="s">
        <v>58</v>
      </c>
      <c r="H119" s="10"/>
      <c r="I119" s="10" t="s">
        <v>433</v>
      </c>
      <c r="J119" s="10" t="s">
        <v>368</v>
      </c>
      <c r="K119" s="10" t="s">
        <v>81</v>
      </c>
      <c r="L119" s="10" t="s">
        <v>68</v>
      </c>
      <c r="M119" s="10">
        <v>4</v>
      </c>
      <c r="N119" s="10" t="s">
        <v>80</v>
      </c>
      <c r="O119" s="10">
        <v>38.4</v>
      </c>
      <c r="P119" s="10">
        <f t="shared" si="23"/>
        <v>1536</v>
      </c>
      <c r="Q119" s="10">
        <f t="shared" si="24"/>
        <v>1449</v>
      </c>
      <c r="R119" s="10">
        <f t="shared" si="14"/>
        <v>37.734375</v>
      </c>
      <c r="S119" s="10" t="s">
        <v>67</v>
      </c>
      <c r="T119" s="10"/>
      <c r="U119" s="10">
        <f>5600+7000+1250</f>
        <v>13850</v>
      </c>
      <c r="V119" s="10" t="s">
        <v>244</v>
      </c>
      <c r="W119" s="43">
        <f t="shared" si="15"/>
        <v>9.5583160800552101</v>
      </c>
      <c r="X119" s="10">
        <v>3</v>
      </c>
    </row>
    <row r="120" spans="1:24" ht="40" customHeight="1" x14ac:dyDescent="0.2">
      <c r="A120" s="9">
        <v>1</v>
      </c>
      <c r="B120" s="10" t="s">
        <v>670</v>
      </c>
      <c r="C120" s="10"/>
      <c r="D120" s="10"/>
      <c r="E120" s="10" t="s">
        <v>540</v>
      </c>
      <c r="F120" s="10"/>
      <c r="G120" s="10" t="s">
        <v>58</v>
      </c>
      <c r="H120" s="10"/>
      <c r="I120" s="10" t="s">
        <v>70</v>
      </c>
      <c r="J120" s="10" t="s">
        <v>369</v>
      </c>
      <c r="K120" s="10" t="s">
        <v>79</v>
      </c>
      <c r="L120" s="10" t="s">
        <v>78</v>
      </c>
      <c r="M120" s="10">
        <v>7</v>
      </c>
      <c r="N120" s="10" t="s">
        <v>77</v>
      </c>
      <c r="O120" s="10">
        <v>69.3</v>
      </c>
      <c r="P120" s="10">
        <f t="shared" si="23"/>
        <v>2688</v>
      </c>
      <c r="Q120" s="10">
        <f>((32-2*0.15)*(12-2*0.15))*M120</f>
        <v>2596.23</v>
      </c>
      <c r="R120" s="10">
        <f t="shared" si="14"/>
        <v>37.463636363636368</v>
      </c>
      <c r="S120" s="10" t="s">
        <v>65</v>
      </c>
      <c r="T120" s="10"/>
      <c r="U120" s="10">
        <f>696000+926400+313920+145920+875520+259200+145920+91200+172800</f>
        <v>3626880</v>
      </c>
      <c r="V120" s="10" t="s">
        <v>244</v>
      </c>
      <c r="W120" s="43">
        <f t="shared" si="15"/>
        <v>1396.9794663800974</v>
      </c>
      <c r="X120" s="10">
        <v>4</v>
      </c>
    </row>
    <row r="121" spans="1:24" ht="40" customHeight="1" x14ac:dyDescent="0.2">
      <c r="A121" s="9">
        <v>1</v>
      </c>
      <c r="B121" s="10" t="s">
        <v>670</v>
      </c>
      <c r="C121" s="10"/>
      <c r="D121" s="10"/>
      <c r="E121" s="10" t="s">
        <v>540</v>
      </c>
      <c r="F121" s="10"/>
      <c r="G121" s="10" t="s">
        <v>58</v>
      </c>
      <c r="H121" s="10"/>
      <c r="I121" s="10" t="s">
        <v>70</v>
      </c>
      <c r="J121" s="10" t="s">
        <v>370</v>
      </c>
      <c r="K121" s="10" t="s">
        <v>76</v>
      </c>
      <c r="L121" s="10" t="s">
        <v>75</v>
      </c>
      <c r="M121" s="10">
        <v>10</v>
      </c>
      <c r="N121" s="10">
        <v>60</v>
      </c>
      <c r="O121" s="10">
        <v>120</v>
      </c>
      <c r="P121" s="10">
        <f t="shared" ref="P121:P125" si="25">(30*15)*M121</f>
        <v>4500</v>
      </c>
      <c r="Q121" s="10">
        <f>((30-2*0.25)*(15-2*0.25))*M121</f>
        <v>4277.5</v>
      </c>
      <c r="R121" s="10">
        <f t="shared" si="14"/>
        <v>35.645833333333336</v>
      </c>
      <c r="S121" s="10" t="s">
        <v>65</v>
      </c>
      <c r="T121" s="10"/>
      <c r="U121" s="10">
        <f>1200000+864000+388800+172800+1036800+288000+172800+108000+230400</f>
        <v>4461600</v>
      </c>
      <c r="V121" s="10" t="s">
        <v>244</v>
      </c>
      <c r="W121" s="43">
        <f t="shared" si="15"/>
        <v>1043.0391583869082</v>
      </c>
      <c r="X121" s="10">
        <v>4</v>
      </c>
    </row>
    <row r="122" spans="1:24" ht="40" customHeight="1" x14ac:dyDescent="0.2">
      <c r="A122" s="9">
        <v>1</v>
      </c>
      <c r="B122" s="10" t="s">
        <v>670</v>
      </c>
      <c r="C122" s="10"/>
      <c r="D122" s="10"/>
      <c r="E122" s="10" t="s">
        <v>540</v>
      </c>
      <c r="F122" s="10"/>
      <c r="G122" s="10" t="s">
        <v>58</v>
      </c>
      <c r="H122" s="10"/>
      <c r="I122" s="10" t="s">
        <v>70</v>
      </c>
      <c r="J122" s="10" t="s">
        <v>371</v>
      </c>
      <c r="K122" s="10" t="s">
        <v>74</v>
      </c>
      <c r="L122" s="10" t="s">
        <v>73</v>
      </c>
      <c r="M122" s="10">
        <v>10</v>
      </c>
      <c r="N122" s="10">
        <v>90</v>
      </c>
      <c r="O122" s="10">
        <v>120</v>
      </c>
      <c r="P122" s="10">
        <f t="shared" si="25"/>
        <v>4500</v>
      </c>
      <c r="Q122" s="10">
        <f t="shared" ref="Q122:Q125" si="26">((30-2*0.3)*(15-2*0.3))*M122</f>
        <v>4233.6000000000004</v>
      </c>
      <c r="R122" s="10">
        <f t="shared" si="14"/>
        <v>35.28</v>
      </c>
      <c r="S122" s="10" t="s">
        <v>65</v>
      </c>
      <c r="T122" s="10"/>
      <c r="U122" s="10">
        <f>172800+1555200+259200+145920+91200+230400</f>
        <v>2454720</v>
      </c>
      <c r="V122" s="10" t="s">
        <v>244</v>
      </c>
      <c r="W122" s="43">
        <f t="shared" si="15"/>
        <v>579.81859410430832</v>
      </c>
      <c r="X122" s="10">
        <v>4</v>
      </c>
    </row>
    <row r="123" spans="1:24" ht="40" customHeight="1" x14ac:dyDescent="0.2">
      <c r="A123" s="9">
        <v>1</v>
      </c>
      <c r="B123" s="10" t="s">
        <v>670</v>
      </c>
      <c r="C123" s="10"/>
      <c r="D123" s="10"/>
      <c r="E123" s="10" t="s">
        <v>540</v>
      </c>
      <c r="F123" s="10"/>
      <c r="G123" s="10" t="s">
        <v>58</v>
      </c>
      <c r="H123" s="10"/>
      <c r="I123" s="10" t="s">
        <v>70</v>
      </c>
      <c r="J123" s="10" t="s">
        <v>371</v>
      </c>
      <c r="K123" s="10" t="s">
        <v>74</v>
      </c>
      <c r="L123" s="10" t="s">
        <v>73</v>
      </c>
      <c r="M123" s="10">
        <v>10</v>
      </c>
      <c r="N123" s="10">
        <v>90</v>
      </c>
      <c r="O123" s="10">
        <v>120</v>
      </c>
      <c r="P123" s="10">
        <f t="shared" si="25"/>
        <v>4500</v>
      </c>
      <c r="Q123" s="10">
        <f t="shared" si="26"/>
        <v>4233.6000000000004</v>
      </c>
      <c r="R123" s="10">
        <f t="shared" si="14"/>
        <v>35.28</v>
      </c>
      <c r="S123" s="10" t="s">
        <v>67</v>
      </c>
      <c r="T123" s="10"/>
      <c r="U123" s="10">
        <v>10800</v>
      </c>
      <c r="V123" s="10" t="s">
        <v>244</v>
      </c>
      <c r="W123" s="43">
        <f t="shared" si="15"/>
        <v>2.5510204081632653</v>
      </c>
      <c r="X123" s="10">
        <v>4</v>
      </c>
    </row>
    <row r="124" spans="1:24" ht="40" customHeight="1" x14ac:dyDescent="0.2">
      <c r="A124" s="9">
        <v>1</v>
      </c>
      <c r="B124" s="10" t="s">
        <v>670</v>
      </c>
      <c r="C124" s="10"/>
      <c r="D124" s="10"/>
      <c r="E124" s="10" t="s">
        <v>540</v>
      </c>
      <c r="F124" s="10"/>
      <c r="G124" s="10" t="s">
        <v>58</v>
      </c>
      <c r="H124" s="10"/>
      <c r="I124" s="10" t="s">
        <v>70</v>
      </c>
      <c r="J124" s="10" t="s">
        <v>372</v>
      </c>
      <c r="K124" s="10"/>
      <c r="L124" s="10" t="s">
        <v>68</v>
      </c>
      <c r="M124" s="10">
        <v>10</v>
      </c>
      <c r="N124" s="10">
        <v>3.1</v>
      </c>
      <c r="O124" s="10">
        <v>120</v>
      </c>
      <c r="P124" s="10">
        <f t="shared" si="25"/>
        <v>4500</v>
      </c>
      <c r="Q124" s="10">
        <f t="shared" si="26"/>
        <v>4233.6000000000004</v>
      </c>
      <c r="R124" s="10">
        <f t="shared" si="14"/>
        <v>35.28</v>
      </c>
      <c r="S124" s="10" t="s">
        <v>65</v>
      </c>
      <c r="T124" s="10"/>
      <c r="U124" s="10">
        <f>172800+1555200+259200+145920+91200+230400</f>
        <v>2454720</v>
      </c>
      <c r="V124" s="10" t="s">
        <v>244</v>
      </c>
      <c r="W124" s="43">
        <f t="shared" si="15"/>
        <v>579.81859410430832</v>
      </c>
      <c r="X124" s="10">
        <v>4</v>
      </c>
    </row>
    <row r="125" spans="1:24" ht="40" customHeight="1" x14ac:dyDescent="0.2">
      <c r="A125" s="9">
        <v>1</v>
      </c>
      <c r="B125" s="10" t="s">
        <v>670</v>
      </c>
      <c r="C125" s="10"/>
      <c r="D125" s="10"/>
      <c r="E125" s="10" t="s">
        <v>540</v>
      </c>
      <c r="F125" s="10"/>
      <c r="G125" s="10" t="s">
        <v>58</v>
      </c>
      <c r="H125" s="10"/>
      <c r="I125" s="10" t="s">
        <v>70</v>
      </c>
      <c r="J125" s="10" t="s">
        <v>372</v>
      </c>
      <c r="K125" s="10"/>
      <c r="L125" s="10" t="s">
        <v>68</v>
      </c>
      <c r="M125" s="10">
        <v>10</v>
      </c>
      <c r="N125" s="10">
        <v>3.1</v>
      </c>
      <c r="O125" s="10">
        <v>120</v>
      </c>
      <c r="P125" s="10">
        <f t="shared" si="25"/>
        <v>4500</v>
      </c>
      <c r="Q125" s="10">
        <f t="shared" si="26"/>
        <v>4233.6000000000004</v>
      </c>
      <c r="R125" s="10">
        <f t="shared" si="14"/>
        <v>35.28</v>
      </c>
      <c r="S125" s="10" t="s">
        <v>67</v>
      </c>
      <c r="T125" s="10"/>
      <c r="U125" s="10">
        <v>10800</v>
      </c>
      <c r="V125" s="10" t="s">
        <v>244</v>
      </c>
      <c r="W125" s="43">
        <f t="shared" si="15"/>
        <v>2.5510204081632653</v>
      </c>
      <c r="X125" s="10">
        <v>4</v>
      </c>
    </row>
    <row r="126" spans="1:24" ht="40" customHeight="1" x14ac:dyDescent="0.2">
      <c r="A126" s="36">
        <v>2</v>
      </c>
      <c r="B126" s="10" t="s">
        <v>671</v>
      </c>
      <c r="C126" s="10" t="s">
        <v>385</v>
      </c>
      <c r="D126" s="10"/>
      <c r="E126" s="10" t="s">
        <v>387</v>
      </c>
      <c r="F126" s="10"/>
      <c r="G126" s="10" t="s">
        <v>58</v>
      </c>
      <c r="H126" s="10"/>
      <c r="I126" s="10" t="s">
        <v>432</v>
      </c>
      <c r="J126" s="10" t="s">
        <v>922</v>
      </c>
      <c r="K126" s="10" t="s">
        <v>386</v>
      </c>
      <c r="L126" s="10"/>
      <c r="M126" s="10"/>
      <c r="N126" s="10"/>
      <c r="O126" s="10">
        <v>4</v>
      </c>
      <c r="P126" s="10">
        <v>140</v>
      </c>
      <c r="Q126" s="10">
        <f>((10-2*0.5)*(7-2*0.5))*2</f>
        <v>108</v>
      </c>
      <c r="R126" s="10">
        <f t="shared" si="14"/>
        <v>27</v>
      </c>
      <c r="S126" s="10" t="s">
        <v>67</v>
      </c>
      <c r="T126" s="10"/>
      <c r="U126" s="10">
        <v>5725</v>
      </c>
      <c r="V126" s="10" t="s">
        <v>244</v>
      </c>
      <c r="W126" s="43">
        <f t="shared" si="15"/>
        <v>53.00925925925926</v>
      </c>
      <c r="X126" s="10">
        <v>2</v>
      </c>
    </row>
    <row r="127" spans="1:24" ht="40" customHeight="1" x14ac:dyDescent="0.2">
      <c r="A127" s="36">
        <v>2</v>
      </c>
      <c r="B127" s="10" t="s">
        <v>671</v>
      </c>
      <c r="C127" s="10"/>
      <c r="D127" s="10"/>
      <c r="E127" s="10" t="s">
        <v>387</v>
      </c>
      <c r="F127" s="10"/>
      <c r="G127" s="10" t="s">
        <v>58</v>
      </c>
      <c r="H127" s="10"/>
      <c r="I127" s="10" t="s">
        <v>432</v>
      </c>
      <c r="J127" s="10" t="s">
        <v>922</v>
      </c>
      <c r="K127" s="10" t="s">
        <v>386</v>
      </c>
      <c r="L127" s="10"/>
      <c r="M127" s="10"/>
      <c r="N127" s="10"/>
      <c r="O127" s="10">
        <v>4</v>
      </c>
      <c r="P127" s="10">
        <v>140</v>
      </c>
      <c r="Q127" s="10">
        <f>((10-2*0.5)*(7-2*0.5))*2</f>
        <v>108</v>
      </c>
      <c r="R127" s="10">
        <f t="shared" si="14"/>
        <v>27</v>
      </c>
      <c r="S127" s="10" t="s">
        <v>65</v>
      </c>
      <c r="T127" s="10"/>
      <c r="U127" s="10">
        <v>130800</v>
      </c>
      <c r="V127" s="10" t="s">
        <v>244</v>
      </c>
      <c r="W127" s="43">
        <f t="shared" si="15"/>
        <v>1211.1111111111111</v>
      </c>
      <c r="X127" s="10">
        <v>2</v>
      </c>
    </row>
    <row r="128" spans="1:24" ht="40" customHeight="1" x14ac:dyDescent="0.2">
      <c r="A128" s="36">
        <v>2</v>
      </c>
      <c r="B128" s="10" t="s">
        <v>671</v>
      </c>
      <c r="C128" s="10"/>
      <c r="D128" s="10"/>
      <c r="E128" s="10" t="s">
        <v>387</v>
      </c>
      <c r="F128" s="10"/>
      <c r="G128" s="10" t="s">
        <v>58</v>
      </c>
      <c r="H128" s="10"/>
      <c r="I128" s="10" t="s">
        <v>432</v>
      </c>
      <c r="J128" s="10" t="s">
        <v>922</v>
      </c>
      <c r="K128" s="10" t="s">
        <v>386</v>
      </c>
      <c r="L128" s="10"/>
      <c r="M128" s="10"/>
      <c r="N128" s="10"/>
      <c r="O128" s="10">
        <v>4</v>
      </c>
      <c r="P128" s="10">
        <v>140</v>
      </c>
      <c r="Q128" s="10">
        <f>((10-2*0.5)*(7-2*0.5))*2</f>
        <v>108</v>
      </c>
      <c r="R128" s="10">
        <f t="shared" si="14"/>
        <v>27</v>
      </c>
      <c r="S128" s="10" t="s">
        <v>290</v>
      </c>
      <c r="T128" s="10"/>
      <c r="U128" s="10">
        <v>25.3</v>
      </c>
      <c r="V128" s="10" t="s">
        <v>244</v>
      </c>
      <c r="W128" s="43">
        <f t="shared" si="15"/>
        <v>0.23425925925925928</v>
      </c>
      <c r="X128" s="10">
        <v>2</v>
      </c>
    </row>
    <row r="129" spans="1:24" ht="40" customHeight="1" x14ac:dyDescent="0.2">
      <c r="A129" s="36">
        <v>3</v>
      </c>
      <c r="B129" s="10" t="s">
        <v>672</v>
      </c>
      <c r="C129" s="10" t="s">
        <v>597</v>
      </c>
      <c r="D129" s="10"/>
      <c r="E129" s="10" t="s">
        <v>63</v>
      </c>
      <c r="F129" s="10" t="s">
        <v>62</v>
      </c>
      <c r="G129" s="10" t="s">
        <v>58</v>
      </c>
      <c r="H129" s="10" t="s">
        <v>28</v>
      </c>
      <c r="I129" s="10" t="s">
        <v>389</v>
      </c>
      <c r="J129" s="10" t="s">
        <v>61</v>
      </c>
      <c r="K129" s="10" t="s">
        <v>60</v>
      </c>
      <c r="L129" s="10">
        <v>2012</v>
      </c>
      <c r="M129" s="10">
        <v>3</v>
      </c>
      <c r="N129" s="10"/>
      <c r="O129" s="10">
        <v>4</v>
      </c>
      <c r="P129" s="10">
        <v>330</v>
      </c>
      <c r="Q129" s="10">
        <f>P129*0.9</f>
        <v>297</v>
      </c>
      <c r="R129" s="10">
        <f t="shared" si="14"/>
        <v>74.25</v>
      </c>
      <c r="S129" s="10" t="s">
        <v>30</v>
      </c>
      <c r="T129" s="10"/>
      <c r="U129" s="10">
        <f>(0.008+0.532+4.918+5.508+0.411+0.411+0.065)*1000</f>
        <v>11853</v>
      </c>
      <c r="V129" s="10" t="s">
        <v>244</v>
      </c>
      <c r="W129" s="43">
        <f t="shared" si="15"/>
        <v>39.909090909090907</v>
      </c>
      <c r="X129" s="10">
        <v>1</v>
      </c>
    </row>
    <row r="130" spans="1:24" ht="40" customHeight="1" x14ac:dyDescent="0.2">
      <c r="A130" s="36">
        <v>3</v>
      </c>
      <c r="B130" s="10" t="s">
        <v>672</v>
      </c>
      <c r="C130" s="10"/>
      <c r="D130" s="10"/>
      <c r="E130" s="10" t="s">
        <v>63</v>
      </c>
      <c r="F130" s="10"/>
      <c r="G130" s="10" t="s">
        <v>58</v>
      </c>
      <c r="H130" s="10"/>
      <c r="I130" s="10" t="s">
        <v>389</v>
      </c>
      <c r="J130" s="10" t="s">
        <v>61</v>
      </c>
      <c r="K130" s="10" t="s">
        <v>60</v>
      </c>
      <c r="L130" s="10">
        <v>2012</v>
      </c>
      <c r="M130" s="10">
        <v>3</v>
      </c>
      <c r="N130" s="10"/>
      <c r="O130" s="10">
        <v>4</v>
      </c>
      <c r="P130" s="10">
        <v>330</v>
      </c>
      <c r="Q130" s="10">
        <f>P130*0.9</f>
        <v>297</v>
      </c>
      <c r="R130" s="10">
        <f>Q130/O130</f>
        <v>74.25</v>
      </c>
      <c r="S130" s="10" t="s">
        <v>65</v>
      </c>
      <c r="T130" s="10">
        <v>2320</v>
      </c>
      <c r="U130" s="10">
        <f>(25.295+15.466+12.045+18.068+9.679+20.595)*T130</f>
        <v>234663.36000000002</v>
      </c>
      <c r="V130" s="10" t="s">
        <v>244</v>
      </c>
      <c r="W130" s="43">
        <f t="shared" ref="W130:W140" si="27">U130/Q130</f>
        <v>790.11232323232332</v>
      </c>
      <c r="X130" s="10">
        <v>1</v>
      </c>
    </row>
    <row r="131" spans="1:24" ht="40" customHeight="1" x14ac:dyDescent="0.2">
      <c r="A131" s="36">
        <v>3</v>
      </c>
      <c r="B131" s="10" t="s">
        <v>672</v>
      </c>
      <c r="C131" s="10"/>
      <c r="D131" s="10"/>
      <c r="E131" s="10" t="s">
        <v>63</v>
      </c>
      <c r="F131" s="10"/>
      <c r="G131" s="10" t="s">
        <v>58</v>
      </c>
      <c r="H131" s="10" t="s">
        <v>28</v>
      </c>
      <c r="I131" s="10" t="s">
        <v>389</v>
      </c>
      <c r="J131" s="10" t="s">
        <v>61</v>
      </c>
      <c r="K131" s="10" t="s">
        <v>60</v>
      </c>
      <c r="L131" s="10">
        <v>2012</v>
      </c>
      <c r="M131" s="10">
        <v>3</v>
      </c>
      <c r="N131" s="10" t="s">
        <v>28</v>
      </c>
      <c r="O131" s="10">
        <v>4</v>
      </c>
      <c r="P131" s="10">
        <v>330</v>
      </c>
      <c r="Q131" s="10">
        <f>P131*0.9</f>
        <v>297</v>
      </c>
      <c r="R131" s="10">
        <f>Q131/O131</f>
        <v>74.25</v>
      </c>
      <c r="S131" s="10" t="s">
        <v>412</v>
      </c>
      <c r="T131" s="10"/>
      <c r="U131" s="10">
        <f>0.002*1000</f>
        <v>2</v>
      </c>
      <c r="V131" s="10" t="s">
        <v>244</v>
      </c>
      <c r="W131" s="43">
        <f t="shared" si="27"/>
        <v>6.7340067340067337E-3</v>
      </c>
      <c r="X131" s="10">
        <v>1</v>
      </c>
    </row>
    <row r="132" spans="1:24" ht="40" customHeight="1" x14ac:dyDescent="0.2">
      <c r="A132" s="36">
        <v>3</v>
      </c>
      <c r="B132" s="10" t="s">
        <v>672</v>
      </c>
      <c r="C132" s="10"/>
      <c r="D132" s="10"/>
      <c r="E132" s="10" t="s">
        <v>63</v>
      </c>
      <c r="F132" s="10"/>
      <c r="G132" s="10" t="s">
        <v>58</v>
      </c>
      <c r="H132" s="10"/>
      <c r="I132" s="10" t="s">
        <v>389</v>
      </c>
      <c r="J132" s="10" t="s">
        <v>61</v>
      </c>
      <c r="K132" s="10" t="s">
        <v>60</v>
      </c>
      <c r="L132" s="10">
        <v>2012</v>
      </c>
      <c r="M132" s="10">
        <v>3</v>
      </c>
      <c r="N132" s="10"/>
      <c r="O132" s="10">
        <v>4</v>
      </c>
      <c r="P132" s="10">
        <v>330</v>
      </c>
      <c r="Q132" s="10">
        <f>P132*0.9</f>
        <v>297</v>
      </c>
      <c r="R132" s="10">
        <f>Q132/O132</f>
        <v>74.25</v>
      </c>
      <c r="S132" s="10" t="s">
        <v>67</v>
      </c>
      <c r="T132" s="10">
        <v>450</v>
      </c>
      <c r="U132" s="10">
        <f>(4.68+7.36+0.328)*T132</f>
        <v>5565.5999999999995</v>
      </c>
      <c r="V132" s="10" t="s">
        <v>244</v>
      </c>
      <c r="W132" s="43">
        <f t="shared" si="27"/>
        <v>18.739393939393938</v>
      </c>
      <c r="X132" s="10">
        <v>1</v>
      </c>
    </row>
    <row r="133" spans="1:24" ht="40" customHeight="1" x14ac:dyDescent="0.2">
      <c r="A133" s="36">
        <v>3</v>
      </c>
      <c r="B133" s="10" t="s">
        <v>672</v>
      </c>
      <c r="C133" s="10"/>
      <c r="D133" s="10"/>
      <c r="E133" s="10" t="s">
        <v>63</v>
      </c>
      <c r="F133" s="10"/>
      <c r="G133" s="10" t="s">
        <v>58</v>
      </c>
      <c r="H133" s="10" t="s">
        <v>28</v>
      </c>
      <c r="I133" s="10" t="s">
        <v>70</v>
      </c>
      <c r="J133" s="10" t="s">
        <v>56</v>
      </c>
      <c r="K133" s="10" t="s">
        <v>57</v>
      </c>
      <c r="L133" s="10" t="s">
        <v>55</v>
      </c>
      <c r="M133" s="10" t="s">
        <v>54</v>
      </c>
      <c r="N133" s="10" t="s">
        <v>392</v>
      </c>
      <c r="O133" s="10" t="s">
        <v>537</v>
      </c>
      <c r="P133" s="10" t="s">
        <v>53</v>
      </c>
      <c r="Q133" s="10">
        <f>(80*0.9)</f>
        <v>72</v>
      </c>
      <c r="R133" s="10">
        <f>Q133/O134</f>
        <v>36</v>
      </c>
      <c r="S133" s="10" t="s">
        <v>30</v>
      </c>
      <c r="T133" s="10"/>
      <c r="U133" s="10">
        <f>(0.003+0.005+1.529+0.122+0.13)*1000</f>
        <v>1788.9999999999998</v>
      </c>
      <c r="V133" s="10" t="s">
        <v>244</v>
      </c>
      <c r="W133" s="43">
        <f t="shared" si="27"/>
        <v>24.847222222222218</v>
      </c>
      <c r="X133" s="10">
        <v>4</v>
      </c>
    </row>
    <row r="134" spans="1:24" ht="40" customHeight="1" x14ac:dyDescent="0.2">
      <c r="A134" s="36">
        <v>3</v>
      </c>
      <c r="B134" s="10" t="s">
        <v>672</v>
      </c>
      <c r="C134" s="10"/>
      <c r="D134" s="10"/>
      <c r="E134" s="10" t="s">
        <v>63</v>
      </c>
      <c r="F134" s="10"/>
      <c r="G134" s="10" t="s">
        <v>58</v>
      </c>
      <c r="H134" s="10"/>
      <c r="I134" s="10" t="s">
        <v>70</v>
      </c>
      <c r="J134" s="10" t="s">
        <v>56</v>
      </c>
      <c r="K134" s="10" t="s">
        <v>57</v>
      </c>
      <c r="L134" s="10" t="s">
        <v>55</v>
      </c>
      <c r="M134" s="10" t="s">
        <v>54</v>
      </c>
      <c r="N134" s="10" t="s">
        <v>392</v>
      </c>
      <c r="O134" s="10">
        <v>2</v>
      </c>
      <c r="P134" s="10">
        <v>80</v>
      </c>
      <c r="Q134" s="10">
        <f>(80*0.9)</f>
        <v>72</v>
      </c>
      <c r="R134" s="10">
        <f>Q134/O134</f>
        <v>36</v>
      </c>
      <c r="S134" s="10" t="s">
        <v>65</v>
      </c>
      <c r="T134" s="10">
        <v>2320</v>
      </c>
      <c r="U134" s="10">
        <f>(8.888+3.52+9.203+1.32+2.787+6.989)*T134</f>
        <v>75880.239999999991</v>
      </c>
      <c r="V134" s="10" t="s">
        <v>244</v>
      </c>
      <c r="W134" s="43">
        <f t="shared" si="27"/>
        <v>1053.892222222222</v>
      </c>
      <c r="X134" s="10">
        <v>4</v>
      </c>
    </row>
    <row r="135" spans="1:24" ht="40" customHeight="1" x14ac:dyDescent="0.2">
      <c r="A135" s="36">
        <v>3</v>
      </c>
      <c r="B135" s="10" t="s">
        <v>672</v>
      </c>
      <c r="C135" s="10"/>
      <c r="D135" s="10"/>
      <c r="E135" s="10" t="s">
        <v>63</v>
      </c>
      <c r="F135" s="10"/>
      <c r="G135" s="10" t="s">
        <v>58</v>
      </c>
      <c r="H135" s="10" t="s">
        <v>28</v>
      </c>
      <c r="I135" s="10" t="s">
        <v>70</v>
      </c>
      <c r="J135" s="10" t="s">
        <v>56</v>
      </c>
      <c r="K135" s="10" t="s">
        <v>57</v>
      </c>
      <c r="L135" s="10" t="s">
        <v>55</v>
      </c>
      <c r="M135" s="10" t="s">
        <v>54</v>
      </c>
      <c r="N135" s="10" t="s">
        <v>392</v>
      </c>
      <c r="O135" s="10">
        <v>2</v>
      </c>
      <c r="P135" s="10">
        <v>80</v>
      </c>
      <c r="Q135" s="10">
        <f>(80*0.9)</f>
        <v>72</v>
      </c>
      <c r="R135" s="10">
        <f t="shared" ref="R135:R150" si="28">Q135/O135</f>
        <v>36</v>
      </c>
      <c r="S135" s="10" t="s">
        <v>412</v>
      </c>
      <c r="T135" s="10"/>
      <c r="U135" s="10">
        <f>0.001*1000</f>
        <v>1</v>
      </c>
      <c r="V135" s="10" t="s">
        <v>244</v>
      </c>
      <c r="W135" s="43">
        <f t="shared" si="27"/>
        <v>1.3888888888888888E-2</v>
      </c>
      <c r="X135" s="10">
        <v>4</v>
      </c>
    </row>
    <row r="136" spans="1:24" ht="40" customHeight="1" x14ac:dyDescent="0.2">
      <c r="A136" s="36">
        <v>3</v>
      </c>
      <c r="B136" s="10" t="s">
        <v>672</v>
      </c>
      <c r="C136" s="10"/>
      <c r="D136" s="10"/>
      <c r="E136" s="10" t="s">
        <v>63</v>
      </c>
      <c r="F136" s="10"/>
      <c r="G136" s="10" t="s">
        <v>58</v>
      </c>
      <c r="H136" s="10"/>
      <c r="I136" s="10" t="s">
        <v>70</v>
      </c>
      <c r="J136" s="10" t="s">
        <v>56</v>
      </c>
      <c r="K136" s="10" t="s">
        <v>57</v>
      </c>
      <c r="L136" s="10" t="s">
        <v>55</v>
      </c>
      <c r="M136" s="10" t="s">
        <v>54</v>
      </c>
      <c r="N136" s="10" t="s">
        <v>392</v>
      </c>
      <c r="O136" s="10">
        <v>2</v>
      </c>
      <c r="P136" s="10">
        <v>80</v>
      </c>
      <c r="Q136" s="10">
        <f>(80*0.9)</f>
        <v>72</v>
      </c>
      <c r="R136" s="10">
        <f t="shared" si="28"/>
        <v>36</v>
      </c>
      <c r="S136" s="10" t="s">
        <v>67</v>
      </c>
      <c r="T136" s="10">
        <v>450</v>
      </c>
      <c r="U136" s="10">
        <f>(1.62+0.131)*T136</f>
        <v>787.95</v>
      </c>
      <c r="V136" s="10" t="s">
        <v>244</v>
      </c>
      <c r="W136" s="43">
        <f t="shared" si="27"/>
        <v>10.943750000000001</v>
      </c>
      <c r="X136" s="10">
        <v>4</v>
      </c>
    </row>
    <row r="137" spans="1:24" ht="40" customHeight="1" x14ac:dyDescent="0.2">
      <c r="A137" s="9">
        <v>4</v>
      </c>
      <c r="B137" s="10" t="s">
        <v>673</v>
      </c>
      <c r="C137" s="10" t="s">
        <v>741</v>
      </c>
      <c r="D137" s="10"/>
      <c r="E137" s="10" t="s">
        <v>388</v>
      </c>
      <c r="F137" s="10"/>
      <c r="G137" s="10" t="s">
        <v>215</v>
      </c>
      <c r="H137" s="10" t="s">
        <v>390</v>
      </c>
      <c r="I137" s="10" t="s">
        <v>389</v>
      </c>
      <c r="J137" s="10" t="s">
        <v>906</v>
      </c>
      <c r="K137" s="10" t="s">
        <v>391</v>
      </c>
      <c r="L137" s="10"/>
      <c r="M137" s="10">
        <v>2</v>
      </c>
      <c r="N137" s="10"/>
      <c r="O137" s="10">
        <v>2.2999999999999998</v>
      </c>
      <c r="P137" s="10"/>
      <c r="Q137" s="10">
        <v>130</v>
      </c>
      <c r="R137" s="10">
        <f t="shared" si="28"/>
        <v>56.521739130434788</v>
      </c>
      <c r="S137" s="10" t="s">
        <v>65</v>
      </c>
      <c r="T137" s="10"/>
      <c r="U137" s="10">
        <f>14577+19615+15600+3750</f>
        <v>53542</v>
      </c>
      <c r="V137" s="10" t="s">
        <v>244</v>
      </c>
      <c r="W137" s="43">
        <f t="shared" si="27"/>
        <v>411.86153846153849</v>
      </c>
      <c r="X137" s="10">
        <v>1</v>
      </c>
    </row>
    <row r="138" spans="1:24" ht="40" customHeight="1" x14ac:dyDescent="0.2">
      <c r="A138" s="9">
        <v>4</v>
      </c>
      <c r="B138" s="10" t="s">
        <v>673</v>
      </c>
      <c r="C138" s="10"/>
      <c r="D138" s="10"/>
      <c r="E138" s="10" t="s">
        <v>388</v>
      </c>
      <c r="F138" s="10"/>
      <c r="G138" s="10" t="s">
        <v>215</v>
      </c>
      <c r="H138" s="10"/>
      <c r="I138" s="10" t="s">
        <v>389</v>
      </c>
      <c r="J138" s="10" t="s">
        <v>906</v>
      </c>
      <c r="K138" s="10" t="s">
        <v>391</v>
      </c>
      <c r="L138" s="10"/>
      <c r="M138" s="10">
        <v>2</v>
      </c>
      <c r="N138" s="10"/>
      <c r="O138" s="10">
        <v>2.2999999999999998</v>
      </c>
      <c r="P138" s="10"/>
      <c r="Q138" s="10">
        <v>130</v>
      </c>
      <c r="R138" s="10">
        <f t="shared" si="28"/>
        <v>56.521739130434788</v>
      </c>
      <c r="S138" s="10" t="s">
        <v>67</v>
      </c>
      <c r="T138" s="10"/>
      <c r="U138" s="10">
        <f>640+1104+264+2478+78+292+121</f>
        <v>4977</v>
      </c>
      <c r="V138" s="10" t="s">
        <v>244</v>
      </c>
      <c r="W138" s="43">
        <f t="shared" si="27"/>
        <v>38.284615384615385</v>
      </c>
      <c r="X138" s="10">
        <v>1</v>
      </c>
    </row>
    <row r="139" spans="1:24" ht="40" customHeight="1" x14ac:dyDescent="0.2">
      <c r="A139" s="9">
        <v>4</v>
      </c>
      <c r="B139" s="10" t="s">
        <v>673</v>
      </c>
      <c r="C139" s="10"/>
      <c r="D139" s="10"/>
      <c r="E139" s="10" t="s">
        <v>388</v>
      </c>
      <c r="F139" s="10"/>
      <c r="G139" s="10" t="s">
        <v>215</v>
      </c>
      <c r="H139" s="10"/>
      <c r="I139" s="10" t="s">
        <v>432</v>
      </c>
      <c r="J139" s="10" t="s">
        <v>907</v>
      </c>
      <c r="K139" s="10" t="s">
        <v>391</v>
      </c>
      <c r="L139" s="10"/>
      <c r="M139" s="10">
        <v>2</v>
      </c>
      <c r="N139" s="10"/>
      <c r="O139" s="10">
        <v>2.2999999999999998</v>
      </c>
      <c r="P139" s="10"/>
      <c r="Q139" s="10">
        <v>90</v>
      </c>
      <c r="R139" s="10">
        <f t="shared" si="28"/>
        <v>39.130434782608695</v>
      </c>
      <c r="S139" s="10" t="s">
        <v>65</v>
      </c>
      <c r="T139" s="10"/>
      <c r="U139" s="10">
        <f>10559+16157+10824+2602</f>
        <v>40142</v>
      </c>
      <c r="V139" s="10" t="s">
        <v>244</v>
      </c>
      <c r="W139" s="43">
        <f t="shared" si="27"/>
        <v>446.02222222222224</v>
      </c>
      <c r="X139" s="10">
        <v>2</v>
      </c>
    </row>
    <row r="140" spans="1:24" ht="40" customHeight="1" x14ac:dyDescent="0.2">
      <c r="A140" s="9">
        <v>4</v>
      </c>
      <c r="B140" s="10" t="s">
        <v>673</v>
      </c>
      <c r="C140" s="10"/>
      <c r="D140" s="10"/>
      <c r="E140" s="10" t="s">
        <v>388</v>
      </c>
      <c r="F140" s="10"/>
      <c r="G140" s="10" t="s">
        <v>215</v>
      </c>
      <c r="H140" s="10"/>
      <c r="I140" s="10" t="s">
        <v>432</v>
      </c>
      <c r="J140" s="10" t="s">
        <v>907</v>
      </c>
      <c r="K140" s="10" t="s">
        <v>391</v>
      </c>
      <c r="L140" s="10"/>
      <c r="M140" s="10">
        <v>2</v>
      </c>
      <c r="N140" s="10"/>
      <c r="O140" s="10">
        <v>2.2999999999999998</v>
      </c>
      <c r="P140" s="10"/>
      <c r="Q140" s="10">
        <v>90</v>
      </c>
      <c r="R140" s="10">
        <f t="shared" si="28"/>
        <v>39.130434782608695</v>
      </c>
      <c r="S140" s="10" t="s">
        <v>67</v>
      </c>
      <c r="T140" s="10"/>
      <c r="U140" s="10">
        <f>443+767+227+1668+54+371</f>
        <v>3530</v>
      </c>
      <c r="V140" s="10" t="s">
        <v>244</v>
      </c>
      <c r="W140" s="43">
        <f t="shared" si="27"/>
        <v>39.222222222222221</v>
      </c>
      <c r="X140" s="10">
        <v>2</v>
      </c>
    </row>
    <row r="141" spans="1:24" ht="40" customHeight="1" x14ac:dyDescent="0.2">
      <c r="A141" s="9">
        <v>4</v>
      </c>
      <c r="B141" s="10" t="s">
        <v>673</v>
      </c>
      <c r="C141" s="10"/>
      <c r="D141" s="10"/>
      <c r="E141" s="10" t="s">
        <v>388</v>
      </c>
      <c r="F141" s="10"/>
      <c r="G141" s="10" t="s">
        <v>215</v>
      </c>
      <c r="H141" s="10"/>
      <c r="I141" s="10" t="s">
        <v>432</v>
      </c>
      <c r="J141" s="10" t="s">
        <v>908</v>
      </c>
      <c r="K141" s="10" t="s">
        <v>391</v>
      </c>
      <c r="L141" s="10"/>
      <c r="M141" s="10">
        <v>2</v>
      </c>
      <c r="N141" s="10"/>
      <c r="O141" s="10">
        <v>2.2999999999999998</v>
      </c>
      <c r="P141" s="10"/>
      <c r="Q141" s="10">
        <v>60</v>
      </c>
      <c r="R141" s="10">
        <f t="shared" si="28"/>
        <v>26.086956521739133</v>
      </c>
      <c r="S141" s="10" t="s">
        <v>65</v>
      </c>
      <c r="T141" s="10"/>
      <c r="U141" s="10">
        <f>6716+13094+7200+1732</f>
        <v>28742</v>
      </c>
      <c r="V141" s="10" t="s">
        <v>244</v>
      </c>
      <c r="W141" s="43">
        <f>U141/Q141</f>
        <v>479.03333333333336</v>
      </c>
      <c r="X141" s="10">
        <v>2</v>
      </c>
    </row>
    <row r="142" spans="1:24" ht="40" customHeight="1" x14ac:dyDescent="0.2">
      <c r="A142" s="9">
        <v>4</v>
      </c>
      <c r="B142" s="10" t="s">
        <v>673</v>
      </c>
      <c r="C142" s="10"/>
      <c r="D142" s="10"/>
      <c r="E142" s="10" t="s">
        <v>388</v>
      </c>
      <c r="F142" s="10"/>
      <c r="G142" s="10" t="s">
        <v>215</v>
      </c>
      <c r="H142" s="10"/>
      <c r="I142" s="10" t="s">
        <v>432</v>
      </c>
      <c r="J142" s="10" t="s">
        <v>908</v>
      </c>
      <c r="K142" s="10" t="s">
        <v>391</v>
      </c>
      <c r="L142" s="10"/>
      <c r="M142" s="10">
        <v>2</v>
      </c>
      <c r="N142" s="10"/>
      <c r="O142" s="10">
        <v>2.2999999999999998</v>
      </c>
      <c r="P142" s="10"/>
      <c r="Q142" s="10">
        <v>60</v>
      </c>
      <c r="R142" s="10">
        <f t="shared" si="28"/>
        <v>26.086956521739133</v>
      </c>
      <c r="S142" s="10" t="s">
        <v>67</v>
      </c>
      <c r="T142" s="10"/>
      <c r="U142" s="10">
        <f>288+504+161+1185+38+288</f>
        <v>2464</v>
      </c>
      <c r="V142" s="10" t="s">
        <v>244</v>
      </c>
      <c r="W142" s="43">
        <f>U142/Q142</f>
        <v>41.06666666666667</v>
      </c>
      <c r="X142" s="10">
        <v>2</v>
      </c>
    </row>
    <row r="143" spans="1:24" ht="40" customHeight="1" x14ac:dyDescent="0.2">
      <c r="A143" s="9">
        <v>5</v>
      </c>
      <c r="B143" s="10" t="s">
        <v>654</v>
      </c>
      <c r="C143" s="10" t="s">
        <v>641</v>
      </c>
      <c r="D143" s="10"/>
      <c r="E143" s="10" t="s">
        <v>541</v>
      </c>
      <c r="F143" s="10"/>
      <c r="G143" s="10" t="s">
        <v>58</v>
      </c>
      <c r="H143" s="10"/>
      <c r="I143" s="10" t="s">
        <v>426</v>
      </c>
      <c r="J143" s="10" t="s">
        <v>909</v>
      </c>
      <c r="K143" s="10" t="s">
        <v>434</v>
      </c>
      <c r="L143" s="10"/>
      <c r="M143" s="10">
        <v>2</v>
      </c>
      <c r="N143" s="10">
        <v>1</v>
      </c>
      <c r="O143" s="10">
        <v>4</v>
      </c>
      <c r="P143" s="10"/>
      <c r="Q143" s="10">
        <v>353</v>
      </c>
      <c r="R143" s="10">
        <f t="shared" si="28"/>
        <v>88.25</v>
      </c>
      <c r="S143" s="10" t="s">
        <v>65</v>
      </c>
      <c r="T143" s="10"/>
      <c r="U143" s="10">
        <v>302608</v>
      </c>
      <c r="V143" s="10" t="s">
        <v>244</v>
      </c>
      <c r="W143" s="43">
        <f t="shared" ref="W143:W150" si="29">U143/Q143</f>
        <v>857.24645892351271</v>
      </c>
      <c r="X143" s="10">
        <v>1</v>
      </c>
    </row>
    <row r="144" spans="1:24" ht="40" customHeight="1" x14ac:dyDescent="0.2">
      <c r="A144" s="9">
        <v>5</v>
      </c>
      <c r="B144" s="10" t="s">
        <v>654</v>
      </c>
      <c r="C144" s="10"/>
      <c r="D144" s="10"/>
      <c r="E144" s="10" t="s">
        <v>541</v>
      </c>
      <c r="F144" s="10"/>
      <c r="G144" s="10" t="s">
        <v>58</v>
      </c>
      <c r="H144" s="10"/>
      <c r="I144" s="10" t="s">
        <v>426</v>
      </c>
      <c r="J144" s="10" t="s">
        <v>909</v>
      </c>
      <c r="K144" s="10" t="s">
        <v>434</v>
      </c>
      <c r="L144" s="10"/>
      <c r="M144" s="10">
        <v>2</v>
      </c>
      <c r="N144" s="10">
        <v>1</v>
      </c>
      <c r="O144" s="10">
        <v>4</v>
      </c>
      <c r="P144" s="10"/>
      <c r="Q144" s="10">
        <v>353</v>
      </c>
      <c r="R144" s="10">
        <f t="shared" si="28"/>
        <v>88.25</v>
      </c>
      <c r="S144" s="10" t="s">
        <v>290</v>
      </c>
      <c r="T144" s="10"/>
      <c r="U144" s="10">
        <v>330</v>
      </c>
      <c r="V144" s="10" t="s">
        <v>244</v>
      </c>
      <c r="W144" s="43">
        <f t="shared" si="29"/>
        <v>0.93484419263456087</v>
      </c>
      <c r="X144" s="10">
        <v>1</v>
      </c>
    </row>
    <row r="145" spans="1:24" ht="40" customHeight="1" x14ac:dyDescent="0.2">
      <c r="A145" s="9">
        <v>5</v>
      </c>
      <c r="B145" s="10" t="s">
        <v>654</v>
      </c>
      <c r="C145" s="10"/>
      <c r="D145" s="10"/>
      <c r="E145" s="10" t="s">
        <v>541</v>
      </c>
      <c r="F145" s="10"/>
      <c r="G145" s="10" t="s">
        <v>58</v>
      </c>
      <c r="H145" s="10"/>
      <c r="I145" s="10" t="s">
        <v>426</v>
      </c>
      <c r="J145" s="10" t="s">
        <v>909</v>
      </c>
      <c r="K145" s="10" t="s">
        <v>434</v>
      </c>
      <c r="L145" s="10"/>
      <c r="M145" s="10">
        <v>2</v>
      </c>
      <c r="N145" s="10">
        <v>1</v>
      </c>
      <c r="O145" s="10">
        <v>4</v>
      </c>
      <c r="P145" s="10"/>
      <c r="Q145" s="10">
        <v>353</v>
      </c>
      <c r="R145" s="10">
        <f t="shared" si="28"/>
        <v>88.25</v>
      </c>
      <c r="S145" s="10" t="s">
        <v>412</v>
      </c>
      <c r="T145" s="10"/>
      <c r="U145" s="10">
        <v>114</v>
      </c>
      <c r="V145" s="10" t="s">
        <v>244</v>
      </c>
      <c r="W145" s="43">
        <f t="shared" si="29"/>
        <v>0.32294617563739375</v>
      </c>
      <c r="X145" s="10">
        <v>1</v>
      </c>
    </row>
    <row r="146" spans="1:24" ht="40" customHeight="1" x14ac:dyDescent="0.2">
      <c r="A146" s="9">
        <v>5</v>
      </c>
      <c r="B146" s="10" t="s">
        <v>654</v>
      </c>
      <c r="C146" s="10"/>
      <c r="D146" s="10"/>
      <c r="E146" s="10" t="s">
        <v>541</v>
      </c>
      <c r="F146" s="10"/>
      <c r="G146" s="10" t="s">
        <v>58</v>
      </c>
      <c r="H146" s="10"/>
      <c r="I146" s="10" t="s">
        <v>426</v>
      </c>
      <c r="J146" s="10" t="s">
        <v>909</v>
      </c>
      <c r="K146" s="10" t="s">
        <v>434</v>
      </c>
      <c r="L146" s="10"/>
      <c r="M146" s="10">
        <v>2</v>
      </c>
      <c r="N146" s="10">
        <v>1</v>
      </c>
      <c r="O146" s="10">
        <v>4</v>
      </c>
      <c r="P146" s="10"/>
      <c r="Q146" s="10">
        <v>353</v>
      </c>
      <c r="R146" s="10">
        <f t="shared" si="28"/>
        <v>88.25</v>
      </c>
      <c r="S146" s="10" t="s">
        <v>67</v>
      </c>
      <c r="T146" s="10"/>
      <c r="U146" s="10">
        <v>15554</v>
      </c>
      <c r="V146" s="10" t="s">
        <v>244</v>
      </c>
      <c r="W146" s="43">
        <f t="shared" si="29"/>
        <v>44.062322946175641</v>
      </c>
      <c r="X146" s="10">
        <v>1</v>
      </c>
    </row>
    <row r="147" spans="1:24" ht="40" customHeight="1" x14ac:dyDescent="0.2">
      <c r="A147" s="9">
        <v>5</v>
      </c>
      <c r="B147" s="10" t="s">
        <v>654</v>
      </c>
      <c r="C147" s="10"/>
      <c r="D147" s="10"/>
      <c r="E147" s="10" t="s">
        <v>541</v>
      </c>
      <c r="F147" s="10"/>
      <c r="G147" s="10" t="s">
        <v>58</v>
      </c>
      <c r="H147" s="10"/>
      <c r="I147" s="10" t="s">
        <v>426</v>
      </c>
      <c r="J147" s="10" t="s">
        <v>909</v>
      </c>
      <c r="K147" s="10" t="s">
        <v>434</v>
      </c>
      <c r="L147" s="10"/>
      <c r="M147" s="10">
        <v>2</v>
      </c>
      <c r="N147" s="10">
        <v>1</v>
      </c>
      <c r="O147" s="10">
        <v>4</v>
      </c>
      <c r="P147" s="10"/>
      <c r="Q147" s="10">
        <v>353</v>
      </c>
      <c r="R147" s="10">
        <f t="shared" si="28"/>
        <v>88.25</v>
      </c>
      <c r="S147" s="10" t="s">
        <v>435</v>
      </c>
      <c r="T147" s="10"/>
      <c r="U147" s="10">
        <v>1998</v>
      </c>
      <c r="V147" s="10" t="s">
        <v>244</v>
      </c>
      <c r="W147" s="43">
        <f t="shared" si="29"/>
        <v>5.6600566572237963</v>
      </c>
      <c r="X147" s="10">
        <v>1</v>
      </c>
    </row>
    <row r="148" spans="1:24" ht="40" customHeight="1" x14ac:dyDescent="0.2">
      <c r="A148" s="9">
        <v>6</v>
      </c>
      <c r="B148" s="10" t="s">
        <v>674</v>
      </c>
      <c r="C148" s="10" t="s">
        <v>746</v>
      </c>
      <c r="D148" s="10"/>
      <c r="E148" s="10" t="s">
        <v>862</v>
      </c>
      <c r="F148" s="10"/>
      <c r="G148" s="10" t="s">
        <v>58</v>
      </c>
      <c r="H148" s="10"/>
      <c r="I148" s="10" t="s">
        <v>432</v>
      </c>
      <c r="J148" s="10" t="s">
        <v>910</v>
      </c>
      <c r="K148" s="10" t="s">
        <v>536</v>
      </c>
      <c r="L148" s="10"/>
      <c r="M148" s="10">
        <v>2</v>
      </c>
      <c r="N148" s="10">
        <v>1</v>
      </c>
      <c r="O148" s="10">
        <v>4</v>
      </c>
      <c r="P148" s="10"/>
      <c r="Q148" s="10">
        <v>117</v>
      </c>
      <c r="R148" s="10">
        <f t="shared" si="28"/>
        <v>29.25</v>
      </c>
      <c r="S148" s="10" t="s">
        <v>65</v>
      </c>
      <c r="T148" s="10"/>
      <c r="U148" s="10">
        <v>122608</v>
      </c>
      <c r="V148" s="10" t="s">
        <v>244</v>
      </c>
      <c r="W148" s="43">
        <f t="shared" si="29"/>
        <v>1047.931623931624</v>
      </c>
      <c r="X148" s="10">
        <v>2</v>
      </c>
    </row>
    <row r="149" spans="1:24" ht="40" customHeight="1" x14ac:dyDescent="0.2">
      <c r="A149" s="9">
        <v>6</v>
      </c>
      <c r="B149" s="10" t="s">
        <v>674</v>
      </c>
      <c r="C149" s="10"/>
      <c r="D149" s="10"/>
      <c r="E149" s="10" t="s">
        <v>862</v>
      </c>
      <c r="F149" s="10"/>
      <c r="G149" s="10" t="s">
        <v>58</v>
      </c>
      <c r="H149" s="10"/>
      <c r="I149" s="10" t="s">
        <v>432</v>
      </c>
      <c r="J149" s="10" t="s">
        <v>911</v>
      </c>
      <c r="K149" s="10" t="s">
        <v>536</v>
      </c>
      <c r="L149" s="10"/>
      <c r="M149" s="10">
        <v>2</v>
      </c>
      <c r="N149" s="10">
        <v>1</v>
      </c>
      <c r="O149" s="10">
        <v>4</v>
      </c>
      <c r="P149" s="10"/>
      <c r="Q149" s="10">
        <v>117</v>
      </c>
      <c r="R149" s="10">
        <f t="shared" si="28"/>
        <v>29.25</v>
      </c>
      <c r="S149" s="10" t="s">
        <v>30</v>
      </c>
      <c r="T149" s="10"/>
      <c r="U149" s="10">
        <v>2882</v>
      </c>
      <c r="V149" s="10" t="s">
        <v>244</v>
      </c>
      <c r="W149" s="43">
        <f t="shared" si="29"/>
        <v>24.632478632478634</v>
      </c>
      <c r="X149" s="10">
        <v>2</v>
      </c>
    </row>
    <row r="150" spans="1:24" ht="40" customHeight="1" x14ac:dyDescent="0.2">
      <c r="A150" s="9">
        <v>6</v>
      </c>
      <c r="B150" s="10" t="s">
        <v>674</v>
      </c>
      <c r="C150" s="10"/>
      <c r="D150" s="10"/>
      <c r="E150" s="10" t="s">
        <v>862</v>
      </c>
      <c r="F150" s="10"/>
      <c r="G150" s="10" t="s">
        <v>58</v>
      </c>
      <c r="H150" s="10"/>
      <c r="I150" s="10" t="s">
        <v>432</v>
      </c>
      <c r="J150" s="10" t="s">
        <v>912</v>
      </c>
      <c r="K150" s="10" t="s">
        <v>536</v>
      </c>
      <c r="L150" s="10"/>
      <c r="M150" s="10">
        <v>2</v>
      </c>
      <c r="N150" s="10">
        <v>1</v>
      </c>
      <c r="O150" s="10">
        <v>4</v>
      </c>
      <c r="P150" s="10"/>
      <c r="Q150" s="10">
        <v>117</v>
      </c>
      <c r="R150" s="10">
        <f t="shared" si="28"/>
        <v>29.25</v>
      </c>
      <c r="S150" s="10" t="s">
        <v>67</v>
      </c>
      <c r="T150" s="10"/>
      <c r="U150" s="10">
        <v>1146</v>
      </c>
      <c r="V150" s="10" t="s">
        <v>244</v>
      </c>
      <c r="W150" s="43">
        <f t="shared" si="29"/>
        <v>9.7948717948717956</v>
      </c>
      <c r="X150" s="10">
        <v>2</v>
      </c>
    </row>
    <row r="151" spans="1:24" ht="40" customHeight="1" x14ac:dyDescent="0.2">
      <c r="A151" s="9">
        <v>7</v>
      </c>
      <c r="B151" s="10" t="s">
        <v>748</v>
      </c>
      <c r="C151" s="10"/>
      <c r="D151" s="10"/>
      <c r="E151" s="10" t="s">
        <v>750</v>
      </c>
      <c r="F151" s="10"/>
      <c r="G151" s="10" t="s">
        <v>58</v>
      </c>
      <c r="H151" s="10"/>
      <c r="I151" s="10" t="s">
        <v>389</v>
      </c>
      <c r="J151" s="10" t="s">
        <v>751</v>
      </c>
      <c r="K151" s="10"/>
      <c r="L151" s="10">
        <v>1920</v>
      </c>
      <c r="M151" s="10">
        <v>1.5</v>
      </c>
      <c r="N151" s="10">
        <v>1</v>
      </c>
      <c r="O151" s="10"/>
      <c r="P151" s="10">
        <v>252</v>
      </c>
      <c r="Q151" s="10"/>
      <c r="R151" s="10"/>
      <c r="S151" s="10" t="s">
        <v>67</v>
      </c>
      <c r="T151" s="10"/>
      <c r="U151" s="10"/>
      <c r="V151" s="10" t="s">
        <v>0</v>
      </c>
      <c r="W151" s="43">
        <f>108+33</f>
        <v>141</v>
      </c>
      <c r="X151" s="10">
        <v>1</v>
      </c>
    </row>
    <row r="152" spans="1:24" ht="40" customHeight="1" x14ac:dyDescent="0.2">
      <c r="A152" s="9">
        <v>7</v>
      </c>
      <c r="B152" s="10" t="s">
        <v>748</v>
      </c>
      <c r="C152" s="10"/>
      <c r="D152" s="10"/>
      <c r="E152" s="10" t="s">
        <v>750</v>
      </c>
      <c r="F152" s="10"/>
      <c r="G152" s="10" t="s">
        <v>58</v>
      </c>
      <c r="H152" s="10"/>
      <c r="I152" s="10" t="s">
        <v>389</v>
      </c>
      <c r="J152" s="10" t="s">
        <v>751</v>
      </c>
      <c r="K152" s="10"/>
      <c r="L152" s="10">
        <v>1920</v>
      </c>
      <c r="M152" s="10">
        <v>1.5</v>
      </c>
      <c r="N152" s="10">
        <v>1</v>
      </c>
      <c r="O152" s="10"/>
      <c r="P152" s="10">
        <v>252</v>
      </c>
      <c r="Q152" s="10"/>
      <c r="R152" s="10"/>
      <c r="S152" s="10" t="s">
        <v>65</v>
      </c>
      <c r="T152" s="10"/>
      <c r="U152" s="10"/>
      <c r="V152" s="10" t="s">
        <v>0</v>
      </c>
      <c r="W152" s="43">
        <v>289</v>
      </c>
      <c r="X152" s="10">
        <v>1</v>
      </c>
    </row>
    <row r="153" spans="1:24" ht="40" customHeight="1" x14ac:dyDescent="0.2">
      <c r="A153" s="9">
        <v>7</v>
      </c>
      <c r="B153" s="10" t="s">
        <v>748</v>
      </c>
      <c r="C153" s="10"/>
      <c r="D153" s="10"/>
      <c r="E153" s="10" t="s">
        <v>750</v>
      </c>
      <c r="F153" s="10"/>
      <c r="G153" s="10" t="s">
        <v>58</v>
      </c>
      <c r="H153" s="10"/>
      <c r="I153" s="10" t="s">
        <v>389</v>
      </c>
      <c r="J153" s="10" t="s">
        <v>751</v>
      </c>
      <c r="K153" s="10"/>
      <c r="L153" s="10">
        <v>1920</v>
      </c>
      <c r="M153" s="10">
        <v>1.5</v>
      </c>
      <c r="N153" s="10">
        <v>1</v>
      </c>
      <c r="O153" s="10"/>
      <c r="P153" s="10">
        <v>252</v>
      </c>
      <c r="Q153" s="10"/>
      <c r="R153" s="10"/>
      <c r="S153" s="10" t="s">
        <v>435</v>
      </c>
      <c r="T153" s="10"/>
      <c r="U153" s="10"/>
      <c r="V153" s="10" t="s">
        <v>0</v>
      </c>
      <c r="W153" s="43">
        <v>3</v>
      </c>
      <c r="X153" s="10">
        <v>1</v>
      </c>
    </row>
    <row r="154" spans="1:24" ht="40" customHeight="1" x14ac:dyDescent="0.2">
      <c r="A154" s="9">
        <v>7</v>
      </c>
      <c r="B154" s="10" t="s">
        <v>748</v>
      </c>
      <c r="C154" s="10"/>
      <c r="D154" s="10"/>
      <c r="E154" s="10" t="s">
        <v>750</v>
      </c>
      <c r="F154" s="10"/>
      <c r="G154" s="10" t="s">
        <v>58</v>
      </c>
      <c r="H154" s="10"/>
      <c r="I154" s="10" t="s">
        <v>389</v>
      </c>
      <c r="J154" s="10" t="s">
        <v>752</v>
      </c>
      <c r="K154" s="10"/>
      <c r="L154" s="10">
        <v>1930</v>
      </c>
      <c r="M154" s="10">
        <v>2</v>
      </c>
      <c r="N154" s="10">
        <v>1</v>
      </c>
      <c r="O154" s="10"/>
      <c r="P154" s="10">
        <v>300</v>
      </c>
      <c r="Q154" s="10"/>
      <c r="R154" s="10"/>
      <c r="S154" s="10" t="s">
        <v>67</v>
      </c>
      <c r="T154" s="10"/>
      <c r="U154" s="10"/>
      <c r="V154" s="10" t="s">
        <v>0</v>
      </c>
      <c r="W154" s="43">
        <f>107+10</f>
        <v>117</v>
      </c>
      <c r="X154" s="10">
        <v>1</v>
      </c>
    </row>
    <row r="155" spans="1:24" ht="40" customHeight="1" x14ac:dyDescent="0.2">
      <c r="A155" s="9">
        <v>7</v>
      </c>
      <c r="B155" s="10" t="s">
        <v>748</v>
      </c>
      <c r="C155" s="10"/>
      <c r="D155" s="10"/>
      <c r="E155" s="10" t="s">
        <v>750</v>
      </c>
      <c r="F155" s="10"/>
      <c r="G155" s="10" t="s">
        <v>58</v>
      </c>
      <c r="H155" s="10"/>
      <c r="I155" s="10" t="s">
        <v>389</v>
      </c>
      <c r="J155" s="10" t="s">
        <v>752</v>
      </c>
      <c r="K155" s="10"/>
      <c r="L155" s="10">
        <v>1930</v>
      </c>
      <c r="M155" s="10">
        <v>2</v>
      </c>
      <c r="N155" s="10">
        <v>1</v>
      </c>
      <c r="O155" s="10"/>
      <c r="P155" s="10">
        <v>300</v>
      </c>
      <c r="Q155" s="10"/>
      <c r="R155" s="10"/>
      <c r="S155" s="10" t="s">
        <v>65</v>
      </c>
      <c r="T155" s="10"/>
      <c r="U155" s="10"/>
      <c r="V155" s="10" t="s">
        <v>0</v>
      </c>
      <c r="W155" s="43">
        <v>269</v>
      </c>
      <c r="X155" s="10">
        <v>1</v>
      </c>
    </row>
    <row r="156" spans="1:24" ht="40" customHeight="1" x14ac:dyDescent="0.2">
      <c r="A156" s="9">
        <v>7</v>
      </c>
      <c r="B156" s="10" t="s">
        <v>748</v>
      </c>
      <c r="C156" s="10"/>
      <c r="D156" s="10"/>
      <c r="E156" s="10" t="s">
        <v>750</v>
      </c>
      <c r="F156" s="10"/>
      <c r="G156" s="10" t="s">
        <v>58</v>
      </c>
      <c r="H156" s="10"/>
      <c r="I156" s="10" t="s">
        <v>389</v>
      </c>
      <c r="J156" s="10" t="s">
        <v>752</v>
      </c>
      <c r="K156" s="10"/>
      <c r="L156" s="10">
        <v>1930</v>
      </c>
      <c r="M156" s="10">
        <v>2</v>
      </c>
      <c r="N156" s="10">
        <v>1</v>
      </c>
      <c r="O156" s="10"/>
      <c r="P156" s="10">
        <v>300</v>
      </c>
      <c r="Q156" s="10"/>
      <c r="R156" s="10"/>
      <c r="S156" s="10" t="s">
        <v>435</v>
      </c>
      <c r="T156" s="10"/>
      <c r="U156" s="10"/>
      <c r="V156" s="10" t="s">
        <v>0</v>
      </c>
      <c r="W156" s="43">
        <v>2</v>
      </c>
      <c r="X156" s="10">
        <v>1</v>
      </c>
    </row>
    <row r="157" spans="1:24" ht="64" x14ac:dyDescent="0.2">
      <c r="A157" s="9">
        <v>7</v>
      </c>
      <c r="B157" s="10" t="s">
        <v>748</v>
      </c>
      <c r="C157" s="10"/>
      <c r="D157" s="10"/>
      <c r="E157" s="10" t="s">
        <v>750</v>
      </c>
      <c r="F157" s="10"/>
      <c r="G157" s="10" t="s">
        <v>58</v>
      </c>
      <c r="H157" s="10"/>
      <c r="I157" s="10" t="s">
        <v>389</v>
      </c>
      <c r="J157" s="10" t="s">
        <v>752</v>
      </c>
      <c r="K157" s="10"/>
      <c r="L157" s="10">
        <v>1930</v>
      </c>
      <c r="M157" s="10">
        <v>2</v>
      </c>
      <c r="N157" s="10">
        <v>1</v>
      </c>
      <c r="O157" s="10"/>
      <c r="P157" s="10">
        <v>300</v>
      </c>
      <c r="Q157" s="10"/>
      <c r="R157" s="10"/>
      <c r="S157" s="10" t="s">
        <v>412</v>
      </c>
      <c r="T157" s="10"/>
      <c r="U157" s="10"/>
      <c r="V157" s="10" t="s">
        <v>0</v>
      </c>
      <c r="W157" s="43">
        <v>9</v>
      </c>
      <c r="X157" s="10">
        <v>1</v>
      </c>
    </row>
    <row r="158" spans="1:24" ht="64" x14ac:dyDescent="0.2">
      <c r="A158" s="9">
        <v>7</v>
      </c>
      <c r="B158" s="10" t="s">
        <v>748</v>
      </c>
      <c r="C158" s="10"/>
      <c r="D158" s="10"/>
      <c r="E158" s="10" t="s">
        <v>750</v>
      </c>
      <c r="F158" s="10"/>
      <c r="G158" s="10" t="s">
        <v>58</v>
      </c>
      <c r="H158" s="10"/>
      <c r="I158" s="10" t="s">
        <v>389</v>
      </c>
      <c r="J158" s="10" t="s">
        <v>753</v>
      </c>
      <c r="K158" s="10"/>
      <c r="L158" s="10">
        <v>1940</v>
      </c>
      <c r="M158" s="10">
        <v>2</v>
      </c>
      <c r="N158" s="10">
        <v>1</v>
      </c>
      <c r="O158" s="10"/>
      <c r="P158" s="10">
        <v>243</v>
      </c>
      <c r="Q158" s="10"/>
      <c r="R158" s="10"/>
      <c r="S158" s="10" t="s">
        <v>67</v>
      </c>
      <c r="T158" s="10"/>
      <c r="U158" s="10"/>
      <c r="V158" s="10" t="s">
        <v>0</v>
      </c>
      <c r="W158" s="43">
        <f>80+23</f>
        <v>103</v>
      </c>
      <c r="X158" s="10">
        <v>1</v>
      </c>
    </row>
    <row r="159" spans="1:24" ht="64" x14ac:dyDescent="0.2">
      <c r="A159" s="9">
        <v>7</v>
      </c>
      <c r="B159" s="10" t="s">
        <v>748</v>
      </c>
      <c r="C159" s="10"/>
      <c r="D159" s="10"/>
      <c r="E159" s="10" t="s">
        <v>750</v>
      </c>
      <c r="F159" s="10"/>
      <c r="G159" s="10" t="s">
        <v>58</v>
      </c>
      <c r="H159" s="10"/>
      <c r="I159" s="10" t="s">
        <v>389</v>
      </c>
      <c r="J159" s="10" t="s">
        <v>753</v>
      </c>
      <c r="K159" s="10"/>
      <c r="L159" s="10">
        <v>1940</v>
      </c>
      <c r="M159" s="10">
        <v>2</v>
      </c>
      <c r="N159" s="10">
        <v>1</v>
      </c>
      <c r="O159" s="10"/>
      <c r="P159" s="10">
        <v>243</v>
      </c>
      <c r="Q159" s="10"/>
      <c r="R159" s="10"/>
      <c r="S159" s="10" t="s">
        <v>65</v>
      </c>
      <c r="T159" s="10"/>
      <c r="U159" s="10"/>
      <c r="V159" s="10" t="s">
        <v>0</v>
      </c>
      <c r="W159" s="43">
        <v>250</v>
      </c>
      <c r="X159" s="10">
        <v>1</v>
      </c>
    </row>
    <row r="160" spans="1:24" ht="64" x14ac:dyDescent="0.2">
      <c r="A160" s="9">
        <v>7</v>
      </c>
      <c r="B160" s="10" t="s">
        <v>748</v>
      </c>
      <c r="C160" s="10"/>
      <c r="D160" s="10"/>
      <c r="E160" s="10" t="s">
        <v>750</v>
      </c>
      <c r="F160" s="10"/>
      <c r="G160" s="10" t="s">
        <v>58</v>
      </c>
      <c r="H160" s="10"/>
      <c r="I160" s="10" t="s">
        <v>389</v>
      </c>
      <c r="J160" s="10" t="s">
        <v>753</v>
      </c>
      <c r="K160" s="10"/>
      <c r="L160" s="10">
        <v>1940</v>
      </c>
      <c r="M160" s="10">
        <v>2</v>
      </c>
      <c r="N160" s="10">
        <v>1</v>
      </c>
      <c r="O160" s="10"/>
      <c r="P160" s="10">
        <v>243</v>
      </c>
      <c r="Q160" s="10"/>
      <c r="R160" s="10"/>
      <c r="S160" s="10" t="s">
        <v>435</v>
      </c>
      <c r="T160" s="10"/>
      <c r="U160" s="10"/>
      <c r="V160" s="10" t="s">
        <v>0</v>
      </c>
      <c r="W160" s="43">
        <v>2</v>
      </c>
      <c r="X160" s="10">
        <v>1</v>
      </c>
    </row>
    <row r="161" spans="1:24" ht="64" x14ac:dyDescent="0.2">
      <c r="A161" s="9">
        <v>7</v>
      </c>
      <c r="B161" s="10" t="s">
        <v>748</v>
      </c>
      <c r="C161" s="10"/>
      <c r="D161" s="10"/>
      <c r="E161" s="10" t="s">
        <v>750</v>
      </c>
      <c r="F161" s="10"/>
      <c r="G161" s="10" t="s">
        <v>58</v>
      </c>
      <c r="H161" s="10"/>
      <c r="I161" s="10" t="s">
        <v>389</v>
      </c>
      <c r="J161" s="10" t="s">
        <v>753</v>
      </c>
      <c r="K161" s="10"/>
      <c r="L161" s="10">
        <v>1940</v>
      </c>
      <c r="M161" s="10">
        <v>2</v>
      </c>
      <c r="N161" s="10">
        <v>1</v>
      </c>
      <c r="O161" s="10"/>
      <c r="P161" s="10">
        <v>243</v>
      </c>
      <c r="Q161" s="10"/>
      <c r="R161" s="10"/>
      <c r="S161" s="10" t="s">
        <v>30</v>
      </c>
      <c r="T161" s="10"/>
      <c r="U161" s="10"/>
      <c r="V161" s="10" t="s">
        <v>0</v>
      </c>
      <c r="W161" s="43">
        <v>23</v>
      </c>
      <c r="X161" s="10">
        <v>1</v>
      </c>
    </row>
    <row r="162" spans="1:24" ht="64" x14ac:dyDescent="0.2">
      <c r="A162" s="9">
        <v>7</v>
      </c>
      <c r="B162" s="10" t="s">
        <v>748</v>
      </c>
      <c r="C162" s="10"/>
      <c r="D162" s="10"/>
      <c r="E162" s="10" t="s">
        <v>750</v>
      </c>
      <c r="F162" s="10"/>
      <c r="G162" s="10" t="s">
        <v>58</v>
      </c>
      <c r="H162" s="10"/>
      <c r="I162" s="10" t="s">
        <v>389</v>
      </c>
      <c r="J162" s="10" t="s">
        <v>754</v>
      </c>
      <c r="K162" s="10"/>
      <c r="L162" s="10">
        <v>1950</v>
      </c>
      <c r="M162" s="10">
        <v>1</v>
      </c>
      <c r="N162" s="10">
        <v>1</v>
      </c>
      <c r="O162" s="10"/>
      <c r="P162" s="10">
        <v>248</v>
      </c>
      <c r="Q162" s="10"/>
      <c r="R162" s="10"/>
      <c r="S162" s="10" t="s">
        <v>67</v>
      </c>
      <c r="T162" s="10"/>
      <c r="U162" s="10"/>
      <c r="V162" s="10" t="s">
        <v>0</v>
      </c>
      <c r="W162" s="43">
        <f>35+8</f>
        <v>43</v>
      </c>
      <c r="X162" s="10">
        <v>1</v>
      </c>
    </row>
    <row r="163" spans="1:24" ht="64" x14ac:dyDescent="0.2">
      <c r="A163" s="9">
        <v>7</v>
      </c>
      <c r="B163" s="10" t="s">
        <v>748</v>
      </c>
      <c r="C163" s="10"/>
      <c r="D163" s="10"/>
      <c r="E163" s="10" t="s">
        <v>750</v>
      </c>
      <c r="F163" s="10"/>
      <c r="G163" s="10" t="s">
        <v>58</v>
      </c>
      <c r="H163" s="10"/>
      <c r="I163" s="10" t="s">
        <v>389</v>
      </c>
      <c r="J163" s="10" t="s">
        <v>754</v>
      </c>
      <c r="K163" s="10"/>
      <c r="L163" s="10">
        <v>1950</v>
      </c>
      <c r="M163" s="10">
        <v>1</v>
      </c>
      <c r="N163" s="10">
        <v>1</v>
      </c>
      <c r="O163" s="10"/>
      <c r="P163" s="10">
        <v>248</v>
      </c>
      <c r="Q163" s="10"/>
      <c r="R163" s="10"/>
      <c r="S163" s="10" t="s">
        <v>65</v>
      </c>
      <c r="T163" s="10"/>
      <c r="U163" s="10"/>
      <c r="V163" s="10" t="s">
        <v>0</v>
      </c>
      <c r="W163" s="43">
        <v>499</v>
      </c>
      <c r="X163" s="10">
        <v>1</v>
      </c>
    </row>
    <row r="164" spans="1:24" ht="64" x14ac:dyDescent="0.2">
      <c r="A164" s="9">
        <v>7</v>
      </c>
      <c r="B164" s="10" t="s">
        <v>748</v>
      </c>
      <c r="C164" s="10"/>
      <c r="D164" s="10"/>
      <c r="E164" s="10" t="s">
        <v>750</v>
      </c>
      <c r="F164" s="10"/>
      <c r="G164" s="10" t="s">
        <v>58</v>
      </c>
      <c r="H164" s="10"/>
      <c r="I164" s="10" t="s">
        <v>389</v>
      </c>
      <c r="J164" s="10" t="s">
        <v>754</v>
      </c>
      <c r="K164" s="10"/>
      <c r="L164" s="10">
        <v>1950</v>
      </c>
      <c r="M164" s="10">
        <v>1</v>
      </c>
      <c r="N164" s="10">
        <v>1</v>
      </c>
      <c r="O164" s="10"/>
      <c r="P164" s="10">
        <v>248</v>
      </c>
      <c r="Q164" s="10"/>
      <c r="R164" s="10"/>
      <c r="S164" s="10" t="s">
        <v>435</v>
      </c>
      <c r="T164" s="10"/>
      <c r="U164" s="10"/>
      <c r="V164" s="10" t="s">
        <v>0</v>
      </c>
      <c r="W164" s="43">
        <v>1</v>
      </c>
      <c r="X164" s="10">
        <v>1</v>
      </c>
    </row>
    <row r="165" spans="1:24" ht="64" x14ac:dyDescent="0.2">
      <c r="A165" s="9">
        <v>7</v>
      </c>
      <c r="B165" s="10" t="s">
        <v>748</v>
      </c>
      <c r="C165" s="10"/>
      <c r="D165" s="10"/>
      <c r="E165" s="10" t="s">
        <v>750</v>
      </c>
      <c r="F165" s="10"/>
      <c r="G165" s="10" t="s">
        <v>58</v>
      </c>
      <c r="H165" s="10"/>
      <c r="I165" s="10" t="s">
        <v>389</v>
      </c>
      <c r="J165" s="10" t="s">
        <v>754</v>
      </c>
      <c r="K165" s="10"/>
      <c r="L165" s="10">
        <v>1950</v>
      </c>
      <c r="M165" s="10">
        <v>1</v>
      </c>
      <c r="N165" s="10">
        <v>1</v>
      </c>
      <c r="O165" s="10"/>
      <c r="P165" s="10">
        <v>248</v>
      </c>
      <c r="Q165" s="10"/>
      <c r="R165" s="10"/>
      <c r="S165" s="10" t="s">
        <v>30</v>
      </c>
      <c r="T165" s="10"/>
      <c r="U165" s="10"/>
      <c r="V165" s="10" t="s">
        <v>0</v>
      </c>
      <c r="W165" s="43">
        <v>106</v>
      </c>
      <c r="X165" s="10">
        <v>1</v>
      </c>
    </row>
    <row r="166" spans="1:24" ht="64" x14ac:dyDescent="0.2">
      <c r="A166" s="9">
        <v>7</v>
      </c>
      <c r="B166" s="10" t="s">
        <v>748</v>
      </c>
      <c r="C166" s="10"/>
      <c r="D166" s="10"/>
      <c r="E166" s="10" t="s">
        <v>750</v>
      </c>
      <c r="F166" s="10"/>
      <c r="G166" s="10" t="s">
        <v>58</v>
      </c>
      <c r="H166" s="10"/>
      <c r="I166" s="10" t="s">
        <v>389</v>
      </c>
      <c r="J166" s="10" t="s">
        <v>755</v>
      </c>
      <c r="K166" s="10"/>
      <c r="L166" s="10">
        <v>1960</v>
      </c>
      <c r="M166" s="10">
        <v>1</v>
      </c>
      <c r="N166" s="10">
        <v>1</v>
      </c>
      <c r="O166" s="10"/>
      <c r="P166" s="10">
        <v>298</v>
      </c>
      <c r="Q166" s="10"/>
      <c r="R166" s="10"/>
      <c r="S166" s="10" t="s">
        <v>67</v>
      </c>
      <c r="T166" s="10"/>
      <c r="U166" s="10"/>
      <c r="V166" s="10" t="s">
        <v>0</v>
      </c>
      <c r="W166" s="43">
        <f>39+14</f>
        <v>53</v>
      </c>
      <c r="X166" s="10">
        <v>1</v>
      </c>
    </row>
    <row r="167" spans="1:24" ht="64" x14ac:dyDescent="0.2">
      <c r="A167" s="9">
        <v>7</v>
      </c>
      <c r="B167" s="10" t="s">
        <v>748</v>
      </c>
      <c r="C167" s="10"/>
      <c r="D167" s="10"/>
      <c r="E167" s="10" t="s">
        <v>750</v>
      </c>
      <c r="F167" s="10"/>
      <c r="G167" s="10" t="s">
        <v>58</v>
      </c>
      <c r="H167" s="10"/>
      <c r="I167" s="10" t="s">
        <v>389</v>
      </c>
      <c r="J167" s="10" t="s">
        <v>755</v>
      </c>
      <c r="K167" s="10"/>
      <c r="L167" s="10">
        <v>1960</v>
      </c>
      <c r="M167" s="10">
        <v>1</v>
      </c>
      <c r="N167" s="10">
        <v>1</v>
      </c>
      <c r="O167" s="10"/>
      <c r="P167" s="10">
        <v>298</v>
      </c>
      <c r="Q167" s="10"/>
      <c r="R167" s="10"/>
      <c r="S167" s="10" t="s">
        <v>65</v>
      </c>
      <c r="T167" s="10"/>
      <c r="U167" s="10"/>
      <c r="V167" s="10" t="s">
        <v>0</v>
      </c>
      <c r="W167" s="43">
        <v>369</v>
      </c>
      <c r="X167" s="10">
        <v>1</v>
      </c>
    </row>
    <row r="168" spans="1:24" ht="64" x14ac:dyDescent="0.2">
      <c r="A168" s="9">
        <v>7</v>
      </c>
      <c r="B168" s="10" t="s">
        <v>748</v>
      </c>
      <c r="C168" s="10"/>
      <c r="D168" s="10"/>
      <c r="E168" s="10" t="s">
        <v>750</v>
      </c>
      <c r="F168" s="10"/>
      <c r="G168" s="10" t="s">
        <v>58</v>
      </c>
      <c r="H168" s="10"/>
      <c r="I168" s="10" t="s">
        <v>389</v>
      </c>
      <c r="J168" s="10" t="s">
        <v>755</v>
      </c>
      <c r="K168" s="10"/>
      <c r="L168" s="10">
        <v>1960</v>
      </c>
      <c r="M168" s="10">
        <v>1</v>
      </c>
      <c r="N168" s="10">
        <v>1</v>
      </c>
      <c r="O168" s="10"/>
      <c r="P168" s="10">
        <v>298</v>
      </c>
      <c r="Q168" s="10"/>
      <c r="R168" s="10"/>
      <c r="S168" s="10" t="s">
        <v>435</v>
      </c>
      <c r="T168" s="10"/>
      <c r="U168" s="10"/>
      <c r="V168" s="10" t="s">
        <v>0</v>
      </c>
      <c r="W168" s="43">
        <v>1</v>
      </c>
      <c r="X168" s="10">
        <v>1</v>
      </c>
    </row>
    <row r="169" spans="1:24" ht="64" x14ac:dyDescent="0.2">
      <c r="A169" s="9">
        <v>7</v>
      </c>
      <c r="B169" s="10" t="s">
        <v>748</v>
      </c>
      <c r="C169" s="10"/>
      <c r="D169" s="10"/>
      <c r="E169" s="10" t="s">
        <v>750</v>
      </c>
      <c r="F169" s="10"/>
      <c r="G169" s="10" t="s">
        <v>58</v>
      </c>
      <c r="H169" s="10"/>
      <c r="I169" s="10" t="s">
        <v>389</v>
      </c>
      <c r="J169" s="10" t="s">
        <v>755</v>
      </c>
      <c r="K169" s="10"/>
      <c r="L169" s="10">
        <v>1960</v>
      </c>
      <c r="M169" s="10">
        <v>1</v>
      </c>
      <c r="N169" s="10">
        <v>1</v>
      </c>
      <c r="O169" s="10"/>
      <c r="P169" s="10">
        <v>298</v>
      </c>
      <c r="Q169" s="10"/>
      <c r="R169" s="10"/>
      <c r="S169" s="10" t="s">
        <v>30</v>
      </c>
      <c r="T169" s="10"/>
      <c r="U169" s="10"/>
      <c r="V169" s="10" t="s">
        <v>0</v>
      </c>
      <c r="W169" s="43">
        <v>81</v>
      </c>
      <c r="X169" s="10">
        <v>1</v>
      </c>
    </row>
    <row r="170" spans="1:24" ht="64" x14ac:dyDescent="0.2">
      <c r="A170" s="9">
        <v>7</v>
      </c>
      <c r="B170" s="10" t="s">
        <v>748</v>
      </c>
      <c r="C170" s="10"/>
      <c r="D170" s="10"/>
      <c r="E170" s="10" t="s">
        <v>750</v>
      </c>
      <c r="F170" s="10"/>
      <c r="G170" s="10" t="s">
        <v>58</v>
      </c>
      <c r="H170" s="10"/>
      <c r="I170" s="10" t="s">
        <v>389</v>
      </c>
      <c r="J170" s="10" t="s">
        <v>756</v>
      </c>
      <c r="K170" s="10"/>
      <c r="L170" s="10">
        <v>1970</v>
      </c>
      <c r="M170" s="10">
        <v>1.5</v>
      </c>
      <c r="N170" s="10">
        <v>1</v>
      </c>
      <c r="O170" s="10"/>
      <c r="P170" s="10">
        <v>236</v>
      </c>
      <c r="Q170" s="10"/>
      <c r="R170" s="10"/>
      <c r="S170" s="10" t="s">
        <v>67</v>
      </c>
      <c r="T170" s="10"/>
      <c r="U170" s="10"/>
      <c r="V170" s="10" t="s">
        <v>0</v>
      </c>
      <c r="W170" s="43">
        <f>38+20</f>
        <v>58</v>
      </c>
      <c r="X170" s="10">
        <v>1</v>
      </c>
    </row>
    <row r="171" spans="1:24" ht="64" x14ac:dyDescent="0.2">
      <c r="A171" s="9">
        <v>7</v>
      </c>
      <c r="B171" s="10" t="s">
        <v>748</v>
      </c>
      <c r="C171" s="10"/>
      <c r="D171" s="10"/>
      <c r="E171" s="10" t="s">
        <v>750</v>
      </c>
      <c r="F171" s="10"/>
      <c r="G171" s="10" t="s">
        <v>58</v>
      </c>
      <c r="H171" s="10"/>
      <c r="I171" s="10" t="s">
        <v>389</v>
      </c>
      <c r="J171" s="10" t="s">
        <v>756</v>
      </c>
      <c r="K171" s="10"/>
      <c r="L171" s="10">
        <v>1970</v>
      </c>
      <c r="M171" s="10">
        <v>1.5</v>
      </c>
      <c r="N171" s="10">
        <v>1</v>
      </c>
      <c r="O171" s="10"/>
      <c r="P171" s="10">
        <v>236</v>
      </c>
      <c r="Q171" s="10"/>
      <c r="R171" s="10"/>
      <c r="S171" s="10" t="s">
        <v>65</v>
      </c>
      <c r="T171" s="10"/>
      <c r="U171" s="10"/>
      <c r="V171" s="10" t="s">
        <v>0</v>
      </c>
      <c r="W171" s="43">
        <v>178</v>
      </c>
      <c r="X171" s="10">
        <v>1</v>
      </c>
    </row>
    <row r="172" spans="1:24" ht="64" x14ac:dyDescent="0.2">
      <c r="A172" s="9">
        <v>7</v>
      </c>
      <c r="B172" s="10" t="s">
        <v>748</v>
      </c>
      <c r="C172" s="10"/>
      <c r="D172" s="10"/>
      <c r="E172" s="10" t="s">
        <v>750</v>
      </c>
      <c r="F172" s="10"/>
      <c r="G172" s="10" t="s">
        <v>58</v>
      </c>
      <c r="H172" s="10"/>
      <c r="I172" s="10" t="s">
        <v>389</v>
      </c>
      <c r="J172" s="10" t="s">
        <v>756</v>
      </c>
      <c r="K172" s="10"/>
      <c r="L172" s="10">
        <v>1970</v>
      </c>
      <c r="M172" s="10">
        <v>1.5</v>
      </c>
      <c r="N172" s="10">
        <v>1</v>
      </c>
      <c r="O172" s="10"/>
      <c r="P172" s="10">
        <v>236</v>
      </c>
      <c r="Q172" s="10"/>
      <c r="R172" s="10"/>
      <c r="S172" s="10" t="s">
        <v>435</v>
      </c>
      <c r="T172" s="10"/>
      <c r="U172" s="10"/>
      <c r="V172" s="10" t="s">
        <v>0</v>
      </c>
      <c r="W172" s="43">
        <v>1</v>
      </c>
      <c r="X172" s="10">
        <v>1</v>
      </c>
    </row>
    <row r="173" spans="1:24" ht="64" x14ac:dyDescent="0.2">
      <c r="A173" s="9">
        <v>7</v>
      </c>
      <c r="B173" s="10" t="s">
        <v>748</v>
      </c>
      <c r="C173" s="10"/>
      <c r="D173" s="10"/>
      <c r="E173" s="10" t="s">
        <v>750</v>
      </c>
      <c r="F173" s="10"/>
      <c r="G173" s="10" t="s">
        <v>58</v>
      </c>
      <c r="H173" s="10"/>
      <c r="I173" s="10" t="s">
        <v>389</v>
      </c>
      <c r="J173" s="10" t="s">
        <v>756</v>
      </c>
      <c r="K173" s="10"/>
      <c r="L173" s="10">
        <v>1970</v>
      </c>
      <c r="M173" s="10">
        <v>1.5</v>
      </c>
      <c r="N173" s="10">
        <v>1</v>
      </c>
      <c r="O173" s="10"/>
      <c r="P173" s="10">
        <v>236</v>
      </c>
      <c r="Q173" s="10"/>
      <c r="R173" s="10"/>
      <c r="S173" s="10" t="s">
        <v>30</v>
      </c>
      <c r="T173" s="10"/>
      <c r="U173" s="10"/>
      <c r="V173" s="10" t="s">
        <v>0</v>
      </c>
      <c r="W173" s="43">
        <v>48</v>
      </c>
      <c r="X173" s="10">
        <v>1</v>
      </c>
    </row>
    <row r="174" spans="1:24" ht="64" x14ac:dyDescent="0.2">
      <c r="A174" s="9">
        <v>7</v>
      </c>
      <c r="B174" s="10" t="s">
        <v>748</v>
      </c>
      <c r="C174" s="10"/>
      <c r="D174" s="10"/>
      <c r="E174" s="10" t="s">
        <v>750</v>
      </c>
      <c r="F174" s="10"/>
      <c r="G174" s="10" t="s">
        <v>58</v>
      </c>
      <c r="H174" s="10"/>
      <c r="I174" s="10" t="s">
        <v>389</v>
      </c>
      <c r="J174" s="10" t="s">
        <v>757</v>
      </c>
      <c r="K174" s="10"/>
      <c r="L174" s="10">
        <v>1980</v>
      </c>
      <c r="M174" s="10">
        <v>2</v>
      </c>
      <c r="N174" s="10">
        <v>1</v>
      </c>
      <c r="O174" s="10"/>
      <c r="P174" s="10">
        <v>144</v>
      </c>
      <c r="Q174" s="10"/>
      <c r="R174" s="10"/>
      <c r="S174" s="10" t="s">
        <v>67</v>
      </c>
      <c r="T174" s="10"/>
      <c r="U174" s="10"/>
      <c r="V174" s="10" t="s">
        <v>0</v>
      </c>
      <c r="W174" s="43">
        <f>36+18</f>
        <v>54</v>
      </c>
      <c r="X174" s="10">
        <v>1</v>
      </c>
    </row>
    <row r="175" spans="1:24" ht="64" x14ac:dyDescent="0.2">
      <c r="A175" s="9">
        <v>7</v>
      </c>
      <c r="B175" s="10" t="s">
        <v>748</v>
      </c>
      <c r="C175" s="10"/>
      <c r="D175" s="10"/>
      <c r="E175" s="10" t="s">
        <v>750</v>
      </c>
      <c r="F175" s="10"/>
      <c r="G175" s="10" t="s">
        <v>58</v>
      </c>
      <c r="H175" s="10"/>
      <c r="I175" s="10" t="s">
        <v>389</v>
      </c>
      <c r="J175" s="10" t="s">
        <v>757</v>
      </c>
      <c r="K175" s="10"/>
      <c r="L175" s="10">
        <v>1980</v>
      </c>
      <c r="M175" s="10">
        <v>2</v>
      </c>
      <c r="N175" s="10">
        <v>1</v>
      </c>
      <c r="O175" s="10"/>
      <c r="P175" s="10">
        <v>144</v>
      </c>
      <c r="Q175" s="10"/>
      <c r="R175" s="10"/>
      <c r="S175" s="10" t="s">
        <v>65</v>
      </c>
      <c r="T175" s="10"/>
      <c r="U175" s="10"/>
      <c r="V175" s="10" t="s">
        <v>0</v>
      </c>
      <c r="W175" s="43">
        <v>294</v>
      </c>
      <c r="X175" s="10">
        <v>1</v>
      </c>
    </row>
    <row r="176" spans="1:24" ht="64" x14ac:dyDescent="0.2">
      <c r="A176" s="9">
        <v>7</v>
      </c>
      <c r="B176" s="10" t="s">
        <v>748</v>
      </c>
      <c r="C176" s="10"/>
      <c r="D176" s="10"/>
      <c r="E176" s="10" t="s">
        <v>750</v>
      </c>
      <c r="F176" s="10"/>
      <c r="G176" s="10" t="s">
        <v>58</v>
      </c>
      <c r="H176" s="10"/>
      <c r="I176" s="10" t="s">
        <v>389</v>
      </c>
      <c r="J176" s="10" t="s">
        <v>757</v>
      </c>
      <c r="K176" s="10"/>
      <c r="L176" s="10">
        <v>1980</v>
      </c>
      <c r="M176" s="10">
        <v>2</v>
      </c>
      <c r="N176" s="10">
        <v>1</v>
      </c>
      <c r="O176" s="10"/>
      <c r="P176" s="10">
        <v>144</v>
      </c>
      <c r="Q176" s="10"/>
      <c r="R176" s="10"/>
      <c r="S176" s="10" t="s">
        <v>435</v>
      </c>
      <c r="T176" s="10"/>
      <c r="U176" s="10"/>
      <c r="V176" s="10" t="s">
        <v>0</v>
      </c>
      <c r="W176" s="43">
        <v>4</v>
      </c>
      <c r="X176" s="10">
        <v>1</v>
      </c>
    </row>
    <row r="177" spans="1:24" ht="64" x14ac:dyDescent="0.2">
      <c r="A177" s="9">
        <v>7</v>
      </c>
      <c r="B177" s="10" t="s">
        <v>748</v>
      </c>
      <c r="C177" s="10"/>
      <c r="D177" s="10"/>
      <c r="E177" s="10" t="s">
        <v>750</v>
      </c>
      <c r="F177" s="10"/>
      <c r="G177" s="10" t="s">
        <v>58</v>
      </c>
      <c r="H177" s="10"/>
      <c r="I177" s="10" t="s">
        <v>389</v>
      </c>
      <c r="J177" s="10" t="s">
        <v>757</v>
      </c>
      <c r="K177" s="10"/>
      <c r="L177" s="10">
        <v>1980</v>
      </c>
      <c r="M177" s="10">
        <v>2</v>
      </c>
      <c r="N177" s="10">
        <v>1</v>
      </c>
      <c r="O177" s="10"/>
      <c r="P177" s="10">
        <v>144</v>
      </c>
      <c r="Q177" s="10"/>
      <c r="R177" s="10"/>
      <c r="S177" s="10" t="s">
        <v>30</v>
      </c>
      <c r="T177" s="10"/>
      <c r="U177" s="10"/>
      <c r="V177" s="10" t="s">
        <v>0</v>
      </c>
      <c r="W177" s="43">
        <v>63</v>
      </c>
      <c r="X177" s="10">
        <v>1</v>
      </c>
    </row>
    <row r="178" spans="1:24" ht="64" x14ac:dyDescent="0.2">
      <c r="A178" s="9">
        <v>7</v>
      </c>
      <c r="B178" s="10" t="s">
        <v>748</v>
      </c>
      <c r="C178" s="10"/>
      <c r="D178" s="10"/>
      <c r="E178" s="10" t="s">
        <v>750</v>
      </c>
      <c r="F178" s="10"/>
      <c r="G178" s="10" t="s">
        <v>58</v>
      </c>
      <c r="H178" s="10"/>
      <c r="I178" s="10" t="s">
        <v>389</v>
      </c>
      <c r="J178" s="10" t="s">
        <v>758</v>
      </c>
      <c r="K178" s="10"/>
      <c r="L178" s="10">
        <v>1990</v>
      </c>
      <c r="M178" s="10">
        <v>1.5</v>
      </c>
      <c r="N178" s="10">
        <v>1</v>
      </c>
      <c r="O178" s="10"/>
      <c r="P178" s="10">
        <v>289</v>
      </c>
      <c r="Q178" s="10"/>
      <c r="R178" s="10"/>
      <c r="S178" s="10" t="s">
        <v>67</v>
      </c>
      <c r="T178" s="10"/>
      <c r="U178" s="10"/>
      <c r="V178" s="10" t="s">
        <v>0</v>
      </c>
      <c r="W178" s="43">
        <f>35+15</f>
        <v>50</v>
      </c>
      <c r="X178" s="10">
        <v>1</v>
      </c>
    </row>
    <row r="179" spans="1:24" ht="64" x14ac:dyDescent="0.2">
      <c r="A179" s="9">
        <v>7</v>
      </c>
      <c r="B179" s="10" t="s">
        <v>748</v>
      </c>
      <c r="C179" s="10"/>
      <c r="D179" s="10"/>
      <c r="E179" s="10" t="s">
        <v>750</v>
      </c>
      <c r="F179" s="10"/>
      <c r="G179" s="10" t="s">
        <v>58</v>
      </c>
      <c r="H179" s="10"/>
      <c r="I179" s="10" t="s">
        <v>389</v>
      </c>
      <c r="J179" s="10" t="s">
        <v>758</v>
      </c>
      <c r="K179" s="10"/>
      <c r="L179" s="10">
        <v>1990</v>
      </c>
      <c r="M179" s="10">
        <v>1.5</v>
      </c>
      <c r="N179" s="10">
        <v>1</v>
      </c>
      <c r="O179" s="10"/>
      <c r="P179" s="10">
        <v>289</v>
      </c>
      <c r="Q179" s="10"/>
      <c r="R179" s="10"/>
      <c r="S179" s="10" t="s">
        <v>65</v>
      </c>
      <c r="T179" s="10"/>
      <c r="U179" s="10"/>
      <c r="V179" s="10" t="s">
        <v>0</v>
      </c>
      <c r="W179" s="43">
        <v>183</v>
      </c>
      <c r="X179" s="10">
        <v>1</v>
      </c>
    </row>
    <row r="180" spans="1:24" ht="64" x14ac:dyDescent="0.2">
      <c r="A180" s="9">
        <v>7</v>
      </c>
      <c r="B180" s="10" t="s">
        <v>748</v>
      </c>
      <c r="C180" s="10"/>
      <c r="D180" s="10"/>
      <c r="E180" s="10" t="s">
        <v>750</v>
      </c>
      <c r="F180" s="10"/>
      <c r="G180" s="10" t="s">
        <v>58</v>
      </c>
      <c r="H180" s="10"/>
      <c r="I180" s="10" t="s">
        <v>389</v>
      </c>
      <c r="J180" s="10" t="s">
        <v>758</v>
      </c>
      <c r="K180" s="10"/>
      <c r="L180" s="10">
        <v>1990</v>
      </c>
      <c r="M180" s="10">
        <v>1.5</v>
      </c>
      <c r="N180" s="10">
        <v>1</v>
      </c>
      <c r="O180" s="10"/>
      <c r="P180" s="10">
        <v>289</v>
      </c>
      <c r="Q180" s="10"/>
      <c r="R180" s="10"/>
      <c r="S180" s="10" t="s">
        <v>435</v>
      </c>
      <c r="T180" s="10"/>
      <c r="U180" s="10"/>
      <c r="V180" s="10" t="s">
        <v>0</v>
      </c>
      <c r="W180" s="43">
        <v>2</v>
      </c>
      <c r="X180" s="10">
        <v>1</v>
      </c>
    </row>
    <row r="181" spans="1:24" ht="64" x14ac:dyDescent="0.2">
      <c r="A181" s="9">
        <v>7</v>
      </c>
      <c r="B181" s="10" t="s">
        <v>748</v>
      </c>
      <c r="C181" s="10"/>
      <c r="D181" s="10"/>
      <c r="E181" s="10" t="s">
        <v>750</v>
      </c>
      <c r="F181" s="10"/>
      <c r="G181" s="10" t="s">
        <v>58</v>
      </c>
      <c r="H181" s="10"/>
      <c r="I181" s="10" t="s">
        <v>389</v>
      </c>
      <c r="J181" s="10" t="s">
        <v>758</v>
      </c>
      <c r="K181" s="10"/>
      <c r="L181" s="10">
        <v>1990</v>
      </c>
      <c r="M181" s="10">
        <v>1.5</v>
      </c>
      <c r="N181" s="10">
        <v>1</v>
      </c>
      <c r="O181" s="10"/>
      <c r="P181" s="10">
        <v>289</v>
      </c>
      <c r="Q181" s="10"/>
      <c r="R181" s="10"/>
      <c r="S181" s="10" t="s">
        <v>30</v>
      </c>
      <c r="T181" s="10"/>
      <c r="U181" s="10"/>
      <c r="V181" s="10" t="s">
        <v>0</v>
      </c>
      <c r="W181" s="43">
        <v>64</v>
      </c>
      <c r="X181" s="10">
        <v>1</v>
      </c>
    </row>
    <row r="182" spans="1:24" ht="64" x14ac:dyDescent="0.2">
      <c r="A182" s="9">
        <v>7</v>
      </c>
      <c r="B182" s="10" t="s">
        <v>748</v>
      </c>
      <c r="C182" s="10"/>
      <c r="D182" s="10"/>
      <c r="E182" s="10" t="s">
        <v>750</v>
      </c>
      <c r="F182" s="10"/>
      <c r="G182" s="10" t="s">
        <v>58</v>
      </c>
      <c r="H182" s="10"/>
      <c r="I182" s="10" t="s">
        <v>389</v>
      </c>
      <c r="J182" s="10" t="s">
        <v>759</v>
      </c>
      <c r="K182" s="10"/>
      <c r="L182" s="10">
        <v>2000</v>
      </c>
      <c r="M182" s="10">
        <v>2</v>
      </c>
      <c r="N182" s="10">
        <v>1</v>
      </c>
      <c r="O182" s="10"/>
      <c r="P182" s="10">
        <v>220</v>
      </c>
      <c r="Q182" s="10"/>
      <c r="R182" s="10"/>
      <c r="S182" s="10" t="s">
        <v>67</v>
      </c>
      <c r="T182" s="10"/>
      <c r="U182" s="10"/>
      <c r="V182" s="10" t="s">
        <v>0</v>
      </c>
      <c r="W182" s="43">
        <f>30+17</f>
        <v>47</v>
      </c>
      <c r="X182" s="10">
        <v>1</v>
      </c>
    </row>
    <row r="183" spans="1:24" ht="64" x14ac:dyDescent="0.2">
      <c r="A183" s="9">
        <v>7</v>
      </c>
      <c r="B183" s="10" t="s">
        <v>748</v>
      </c>
      <c r="C183" s="10"/>
      <c r="D183" s="10"/>
      <c r="E183" s="10" t="s">
        <v>750</v>
      </c>
      <c r="F183" s="10"/>
      <c r="G183" s="10" t="s">
        <v>58</v>
      </c>
      <c r="H183" s="10"/>
      <c r="I183" s="10" t="s">
        <v>389</v>
      </c>
      <c r="J183" s="10" t="s">
        <v>759</v>
      </c>
      <c r="K183" s="10"/>
      <c r="L183" s="10">
        <v>2000</v>
      </c>
      <c r="M183" s="10">
        <v>2</v>
      </c>
      <c r="N183" s="10">
        <v>1</v>
      </c>
      <c r="O183" s="10"/>
      <c r="P183" s="10">
        <v>220</v>
      </c>
      <c r="Q183" s="10"/>
      <c r="R183" s="10"/>
      <c r="S183" s="10" t="s">
        <v>65</v>
      </c>
      <c r="T183" s="10"/>
      <c r="U183" s="10"/>
      <c r="V183" s="10" t="s">
        <v>0</v>
      </c>
      <c r="W183" s="43">
        <v>176</v>
      </c>
      <c r="X183" s="10">
        <v>1</v>
      </c>
    </row>
    <row r="184" spans="1:24" ht="64" x14ac:dyDescent="0.2">
      <c r="A184" s="9">
        <v>7</v>
      </c>
      <c r="B184" s="10" t="s">
        <v>748</v>
      </c>
      <c r="C184" s="10"/>
      <c r="D184" s="10"/>
      <c r="E184" s="10" t="s">
        <v>750</v>
      </c>
      <c r="F184" s="10"/>
      <c r="G184" s="10" t="s">
        <v>58</v>
      </c>
      <c r="H184" s="10"/>
      <c r="I184" s="10" t="s">
        <v>389</v>
      </c>
      <c r="J184" s="10" t="s">
        <v>759</v>
      </c>
      <c r="K184" s="10"/>
      <c r="L184" s="10">
        <v>2000</v>
      </c>
      <c r="M184" s="10">
        <v>2</v>
      </c>
      <c r="N184" s="10">
        <v>1</v>
      </c>
      <c r="O184" s="10"/>
      <c r="P184" s="10">
        <v>220</v>
      </c>
      <c r="Q184" s="10"/>
      <c r="R184" s="10"/>
      <c r="S184" s="10" t="s">
        <v>435</v>
      </c>
      <c r="T184" s="10"/>
      <c r="U184" s="10"/>
      <c r="V184" s="10" t="s">
        <v>0</v>
      </c>
      <c r="W184" s="43">
        <v>2</v>
      </c>
      <c r="X184" s="10">
        <v>1</v>
      </c>
    </row>
    <row r="185" spans="1:24" ht="64" x14ac:dyDescent="0.2">
      <c r="A185" s="9">
        <v>7</v>
      </c>
      <c r="B185" s="10" t="s">
        <v>748</v>
      </c>
      <c r="C185" s="10"/>
      <c r="D185" s="10"/>
      <c r="E185" s="10" t="s">
        <v>750</v>
      </c>
      <c r="F185" s="10"/>
      <c r="G185" s="10" t="s">
        <v>58</v>
      </c>
      <c r="H185" s="10"/>
      <c r="I185" s="10" t="s">
        <v>389</v>
      </c>
      <c r="J185" s="10" t="s">
        <v>759</v>
      </c>
      <c r="K185" s="10"/>
      <c r="L185" s="10">
        <v>2000</v>
      </c>
      <c r="M185" s="10">
        <v>2</v>
      </c>
      <c r="N185" s="10">
        <v>1</v>
      </c>
      <c r="O185" s="10"/>
      <c r="P185" s="10">
        <v>220</v>
      </c>
      <c r="Q185" s="10"/>
      <c r="R185" s="10"/>
      <c r="S185" s="10" t="s">
        <v>30</v>
      </c>
      <c r="T185" s="10"/>
      <c r="U185" s="10"/>
      <c r="V185" s="10" t="s">
        <v>0</v>
      </c>
      <c r="W185" s="43">
        <v>15</v>
      </c>
      <c r="X185" s="10">
        <v>1</v>
      </c>
    </row>
    <row r="186" spans="1:24" ht="64" x14ac:dyDescent="0.2">
      <c r="A186" s="9">
        <v>7</v>
      </c>
      <c r="B186" s="10" t="s">
        <v>748</v>
      </c>
      <c r="C186" s="10"/>
      <c r="D186" s="10"/>
      <c r="E186" s="10" t="s">
        <v>750</v>
      </c>
      <c r="F186" s="10"/>
      <c r="G186" s="10" t="s">
        <v>58</v>
      </c>
      <c r="H186" s="10"/>
      <c r="I186" s="10" t="s">
        <v>433</v>
      </c>
      <c r="J186" s="10" t="s">
        <v>760</v>
      </c>
      <c r="K186" s="10"/>
      <c r="L186" s="10">
        <v>1920</v>
      </c>
      <c r="M186" s="10">
        <v>2</v>
      </c>
      <c r="N186" s="10">
        <v>1</v>
      </c>
      <c r="O186" s="10"/>
      <c r="P186" s="10">
        <v>528</v>
      </c>
      <c r="Q186" s="10"/>
      <c r="R186" s="10"/>
      <c r="S186" s="10" t="s">
        <v>67</v>
      </c>
      <c r="T186" s="10"/>
      <c r="U186" s="10"/>
      <c r="V186" s="10" t="s">
        <v>0</v>
      </c>
      <c r="W186" s="43">
        <f>139+28</f>
        <v>167</v>
      </c>
      <c r="X186" s="10">
        <v>3</v>
      </c>
    </row>
    <row r="187" spans="1:24" ht="64" x14ac:dyDescent="0.2">
      <c r="A187" s="9">
        <v>7</v>
      </c>
      <c r="B187" s="10" t="s">
        <v>748</v>
      </c>
      <c r="C187" s="10"/>
      <c r="D187" s="10"/>
      <c r="E187" s="10" t="s">
        <v>750</v>
      </c>
      <c r="F187" s="10"/>
      <c r="G187" s="10" t="s">
        <v>58</v>
      </c>
      <c r="H187" s="10"/>
      <c r="I187" s="10" t="s">
        <v>433</v>
      </c>
      <c r="J187" s="10" t="s">
        <v>760</v>
      </c>
      <c r="K187" s="10"/>
      <c r="L187" s="10">
        <v>1920</v>
      </c>
      <c r="M187" s="10">
        <v>2</v>
      </c>
      <c r="N187" s="10">
        <v>1</v>
      </c>
      <c r="O187" s="10"/>
      <c r="P187" s="10">
        <v>528</v>
      </c>
      <c r="Q187" s="10"/>
      <c r="R187" s="10"/>
      <c r="S187" s="10" t="s">
        <v>65</v>
      </c>
      <c r="T187" s="10"/>
      <c r="U187" s="10"/>
      <c r="V187" s="10" t="s">
        <v>0</v>
      </c>
      <c r="W187" s="43">
        <v>399</v>
      </c>
      <c r="X187" s="10">
        <v>3</v>
      </c>
    </row>
    <row r="188" spans="1:24" ht="64" x14ac:dyDescent="0.2">
      <c r="A188" s="9">
        <v>7</v>
      </c>
      <c r="B188" s="10" t="s">
        <v>748</v>
      </c>
      <c r="C188" s="10"/>
      <c r="D188" s="10"/>
      <c r="E188" s="10" t="s">
        <v>750</v>
      </c>
      <c r="F188" s="10"/>
      <c r="G188" s="10" t="s">
        <v>58</v>
      </c>
      <c r="H188" s="10"/>
      <c r="I188" s="10" t="s">
        <v>433</v>
      </c>
      <c r="J188" s="10" t="s">
        <v>760</v>
      </c>
      <c r="K188" s="10"/>
      <c r="L188" s="10">
        <v>1920</v>
      </c>
      <c r="M188" s="10">
        <v>2</v>
      </c>
      <c r="N188" s="10">
        <v>1</v>
      </c>
      <c r="O188" s="10"/>
      <c r="P188" s="10">
        <v>528</v>
      </c>
      <c r="Q188" s="10"/>
      <c r="R188" s="10"/>
      <c r="S188" s="10" t="s">
        <v>435</v>
      </c>
      <c r="T188" s="10"/>
      <c r="U188" s="10"/>
      <c r="V188" s="10" t="s">
        <v>0</v>
      </c>
      <c r="W188" s="43">
        <v>3</v>
      </c>
      <c r="X188" s="10">
        <v>3</v>
      </c>
    </row>
    <row r="189" spans="1:24" ht="64" x14ac:dyDescent="0.2">
      <c r="A189" s="9">
        <v>7</v>
      </c>
      <c r="B189" s="10" t="s">
        <v>748</v>
      </c>
      <c r="C189" s="10"/>
      <c r="D189" s="10"/>
      <c r="E189" s="10" t="s">
        <v>750</v>
      </c>
      <c r="F189" s="10"/>
      <c r="G189" s="10" t="s">
        <v>58</v>
      </c>
      <c r="H189" s="10"/>
      <c r="I189" s="10" t="s">
        <v>433</v>
      </c>
      <c r="J189" s="10" t="s">
        <v>760</v>
      </c>
      <c r="K189" s="10"/>
      <c r="L189" s="10">
        <v>1920</v>
      </c>
      <c r="M189" s="10">
        <v>2</v>
      </c>
      <c r="N189" s="10">
        <v>1</v>
      </c>
      <c r="O189" s="10"/>
      <c r="P189" s="10">
        <v>528</v>
      </c>
      <c r="Q189" s="10"/>
      <c r="R189" s="10"/>
      <c r="S189" s="10" t="s">
        <v>30</v>
      </c>
      <c r="T189" s="10"/>
      <c r="U189" s="10"/>
      <c r="V189" s="10" t="s">
        <v>0</v>
      </c>
      <c r="W189" s="43">
        <v>63</v>
      </c>
      <c r="X189" s="10">
        <v>3</v>
      </c>
    </row>
    <row r="190" spans="1:24" ht="64" x14ac:dyDescent="0.2">
      <c r="A190" s="9">
        <v>7</v>
      </c>
      <c r="B190" s="10" t="s">
        <v>748</v>
      </c>
      <c r="C190" s="10"/>
      <c r="D190" s="10"/>
      <c r="E190" s="10" t="s">
        <v>750</v>
      </c>
      <c r="F190" s="10"/>
      <c r="G190" s="10" t="s">
        <v>58</v>
      </c>
      <c r="H190" s="10"/>
      <c r="I190" s="10" t="s">
        <v>433</v>
      </c>
      <c r="J190" s="10" t="s">
        <v>761</v>
      </c>
      <c r="K190" s="10"/>
      <c r="L190" s="10">
        <v>1930</v>
      </c>
      <c r="M190" s="10">
        <v>2</v>
      </c>
      <c r="N190" s="10">
        <v>1</v>
      </c>
      <c r="O190" s="10"/>
      <c r="P190" s="10">
        <v>300</v>
      </c>
      <c r="Q190" s="10"/>
      <c r="R190" s="10"/>
      <c r="S190" s="10" t="s">
        <v>67</v>
      </c>
      <c r="T190" s="10"/>
      <c r="U190" s="10"/>
      <c r="V190" s="10" t="s">
        <v>0</v>
      </c>
      <c r="W190" s="43">
        <f>145+42</f>
        <v>187</v>
      </c>
      <c r="X190" s="10">
        <v>3</v>
      </c>
    </row>
    <row r="191" spans="1:24" ht="64" x14ac:dyDescent="0.2">
      <c r="A191" s="9">
        <v>7</v>
      </c>
      <c r="B191" s="10" t="s">
        <v>748</v>
      </c>
      <c r="C191" s="10"/>
      <c r="D191" s="10"/>
      <c r="E191" s="10" t="s">
        <v>750</v>
      </c>
      <c r="F191" s="10"/>
      <c r="G191" s="10" t="s">
        <v>58</v>
      </c>
      <c r="H191" s="10"/>
      <c r="I191" s="10" t="s">
        <v>433</v>
      </c>
      <c r="J191" s="10" t="s">
        <v>761</v>
      </c>
      <c r="K191" s="10"/>
      <c r="L191" s="10">
        <v>1930</v>
      </c>
      <c r="M191" s="10">
        <v>2</v>
      </c>
      <c r="N191" s="10">
        <v>1</v>
      </c>
      <c r="O191" s="10"/>
      <c r="P191" s="10">
        <v>300</v>
      </c>
      <c r="Q191" s="10"/>
      <c r="R191" s="10"/>
      <c r="S191" s="10" t="s">
        <v>65</v>
      </c>
      <c r="T191" s="10"/>
      <c r="U191" s="10"/>
      <c r="V191" s="10" t="s">
        <v>0</v>
      </c>
      <c r="W191" s="43">
        <v>303</v>
      </c>
      <c r="X191" s="10">
        <v>3</v>
      </c>
    </row>
    <row r="192" spans="1:24" ht="64" x14ac:dyDescent="0.2">
      <c r="A192" s="9">
        <v>7</v>
      </c>
      <c r="B192" s="10" t="s">
        <v>748</v>
      </c>
      <c r="C192" s="10"/>
      <c r="D192" s="10"/>
      <c r="E192" s="10" t="s">
        <v>750</v>
      </c>
      <c r="F192" s="10"/>
      <c r="G192" s="10" t="s">
        <v>58</v>
      </c>
      <c r="H192" s="10"/>
      <c r="I192" s="10" t="s">
        <v>433</v>
      </c>
      <c r="J192" s="10" t="s">
        <v>761</v>
      </c>
      <c r="K192" s="10"/>
      <c r="L192" s="10">
        <v>1930</v>
      </c>
      <c r="M192" s="10">
        <v>2</v>
      </c>
      <c r="N192" s="10">
        <v>1</v>
      </c>
      <c r="O192" s="10"/>
      <c r="P192" s="10">
        <v>300</v>
      </c>
      <c r="Q192" s="10"/>
      <c r="R192" s="10"/>
      <c r="S192" s="10" t="s">
        <v>435</v>
      </c>
      <c r="T192" s="10"/>
      <c r="U192" s="10"/>
      <c r="V192" s="10" t="s">
        <v>0</v>
      </c>
      <c r="W192" s="43">
        <v>5</v>
      </c>
      <c r="X192" s="10">
        <v>3</v>
      </c>
    </row>
    <row r="193" spans="1:24" ht="64" x14ac:dyDescent="0.2">
      <c r="A193" s="9">
        <v>7</v>
      </c>
      <c r="B193" s="10" t="s">
        <v>748</v>
      </c>
      <c r="C193" s="10"/>
      <c r="D193" s="10"/>
      <c r="E193" s="10" t="s">
        <v>750</v>
      </c>
      <c r="F193" s="10"/>
      <c r="G193" s="10" t="s">
        <v>58</v>
      </c>
      <c r="H193" s="10"/>
      <c r="I193" s="10" t="s">
        <v>433</v>
      </c>
      <c r="J193" s="10" t="s">
        <v>761</v>
      </c>
      <c r="K193" s="10"/>
      <c r="L193" s="10">
        <v>1930</v>
      </c>
      <c r="M193" s="10">
        <v>2</v>
      </c>
      <c r="N193" s="10">
        <v>1</v>
      </c>
      <c r="O193" s="10"/>
      <c r="P193" s="10">
        <v>300</v>
      </c>
      <c r="Q193" s="10"/>
      <c r="R193" s="10"/>
      <c r="S193" s="10" t="s">
        <v>30</v>
      </c>
      <c r="T193" s="10"/>
      <c r="U193" s="10"/>
      <c r="V193" s="10" t="s">
        <v>0</v>
      </c>
      <c r="W193" s="43">
        <v>68</v>
      </c>
      <c r="X193" s="10">
        <v>3</v>
      </c>
    </row>
    <row r="194" spans="1:24" ht="64" x14ac:dyDescent="0.2">
      <c r="A194" s="9">
        <v>7</v>
      </c>
      <c r="B194" s="10" t="s">
        <v>748</v>
      </c>
      <c r="C194" s="10"/>
      <c r="D194" s="10"/>
      <c r="E194" s="10" t="s">
        <v>750</v>
      </c>
      <c r="F194" s="10"/>
      <c r="G194" s="10" t="s">
        <v>58</v>
      </c>
      <c r="H194" s="10"/>
      <c r="I194" s="10" t="s">
        <v>70</v>
      </c>
      <c r="J194" s="10" t="s">
        <v>762</v>
      </c>
      <c r="K194" s="10"/>
      <c r="L194" s="10">
        <v>1990</v>
      </c>
      <c r="M194" s="10">
        <v>5</v>
      </c>
      <c r="N194" s="10">
        <v>1</v>
      </c>
      <c r="O194" s="10"/>
      <c r="P194" s="10">
        <v>1240</v>
      </c>
      <c r="Q194" s="10"/>
      <c r="R194" s="10"/>
      <c r="S194" s="10" t="s">
        <v>67</v>
      </c>
      <c r="T194" s="10"/>
      <c r="U194" s="10"/>
      <c r="V194" s="10" t="s">
        <v>0</v>
      </c>
      <c r="W194" s="43">
        <f>27+17</f>
        <v>44</v>
      </c>
      <c r="X194" s="10">
        <v>4</v>
      </c>
    </row>
    <row r="195" spans="1:24" ht="64" x14ac:dyDescent="0.2">
      <c r="A195" s="9">
        <v>7</v>
      </c>
      <c r="B195" s="10" t="s">
        <v>748</v>
      </c>
      <c r="C195" s="10"/>
      <c r="D195" s="10"/>
      <c r="E195" s="10" t="s">
        <v>750</v>
      </c>
      <c r="F195" s="10"/>
      <c r="G195" s="10" t="s">
        <v>58</v>
      </c>
      <c r="H195" s="10"/>
      <c r="I195" s="10" t="s">
        <v>70</v>
      </c>
      <c r="J195" s="10" t="s">
        <v>762</v>
      </c>
      <c r="K195" s="10"/>
      <c r="L195" s="10">
        <v>1990</v>
      </c>
      <c r="M195" s="10">
        <v>5</v>
      </c>
      <c r="N195" s="10">
        <v>1</v>
      </c>
      <c r="O195" s="10"/>
      <c r="P195" s="10">
        <v>1240</v>
      </c>
      <c r="Q195" s="10"/>
      <c r="R195" s="10"/>
      <c r="S195" s="10" t="s">
        <v>65</v>
      </c>
      <c r="T195" s="10"/>
      <c r="U195" s="10"/>
      <c r="V195" s="10" t="s">
        <v>0</v>
      </c>
      <c r="W195" s="43">
        <v>295</v>
      </c>
      <c r="X195" s="10">
        <v>4</v>
      </c>
    </row>
    <row r="196" spans="1:24" ht="64" x14ac:dyDescent="0.2">
      <c r="A196" s="9">
        <v>7</v>
      </c>
      <c r="B196" s="10" t="s">
        <v>748</v>
      </c>
      <c r="C196" s="10"/>
      <c r="D196" s="10"/>
      <c r="E196" s="10" t="s">
        <v>750</v>
      </c>
      <c r="F196" s="10"/>
      <c r="G196" s="10" t="s">
        <v>58</v>
      </c>
      <c r="H196" s="10"/>
      <c r="I196" s="10" t="s">
        <v>70</v>
      </c>
      <c r="J196" s="10" t="s">
        <v>762</v>
      </c>
      <c r="K196" s="10"/>
      <c r="L196" s="10">
        <v>1990</v>
      </c>
      <c r="M196" s="10">
        <v>5</v>
      </c>
      <c r="N196" s="10">
        <v>1</v>
      </c>
      <c r="O196" s="10"/>
      <c r="P196" s="10">
        <v>1240</v>
      </c>
      <c r="Q196" s="10"/>
      <c r="R196" s="10"/>
      <c r="S196" s="10" t="s">
        <v>435</v>
      </c>
      <c r="T196" s="10"/>
      <c r="U196" s="10"/>
      <c r="V196" s="10" t="s">
        <v>0</v>
      </c>
      <c r="W196" s="43">
        <v>5</v>
      </c>
      <c r="X196" s="10">
        <v>4</v>
      </c>
    </row>
    <row r="197" spans="1:24" ht="64" x14ac:dyDescent="0.2">
      <c r="A197" s="9">
        <v>7</v>
      </c>
      <c r="B197" s="10" t="s">
        <v>748</v>
      </c>
      <c r="C197" s="10"/>
      <c r="D197" s="10"/>
      <c r="E197" s="10" t="s">
        <v>750</v>
      </c>
      <c r="F197" s="10"/>
      <c r="G197" s="10" t="s">
        <v>58</v>
      </c>
      <c r="H197" s="10"/>
      <c r="I197" s="10" t="s">
        <v>70</v>
      </c>
      <c r="J197" s="10" t="s">
        <v>762</v>
      </c>
      <c r="K197" s="10"/>
      <c r="L197" s="10">
        <v>1990</v>
      </c>
      <c r="M197" s="10">
        <v>5</v>
      </c>
      <c r="N197" s="10">
        <v>1</v>
      </c>
      <c r="O197" s="10"/>
      <c r="P197" s="10">
        <v>1240</v>
      </c>
      <c r="Q197" s="10"/>
      <c r="R197" s="10"/>
      <c r="S197" s="10" t="s">
        <v>30</v>
      </c>
      <c r="T197" s="10"/>
      <c r="U197" s="10"/>
      <c r="V197" s="10" t="s">
        <v>0</v>
      </c>
      <c r="W197" s="43">
        <v>428</v>
      </c>
      <c r="X197" s="10">
        <v>4</v>
      </c>
    </row>
    <row r="198" spans="1:24" ht="64" x14ac:dyDescent="0.2">
      <c r="A198" s="9">
        <v>7</v>
      </c>
      <c r="B198" s="10" t="s">
        <v>748</v>
      </c>
      <c r="C198" s="10"/>
      <c r="D198" s="10"/>
      <c r="E198" s="10" t="s">
        <v>750</v>
      </c>
      <c r="F198" s="10"/>
      <c r="G198" s="10" t="s">
        <v>58</v>
      </c>
      <c r="H198" s="10"/>
      <c r="I198" s="10" t="s">
        <v>433</v>
      </c>
      <c r="J198" s="10" t="s">
        <v>763</v>
      </c>
      <c r="K198" s="10"/>
      <c r="L198" s="10">
        <v>1920</v>
      </c>
      <c r="M198" s="10">
        <v>3</v>
      </c>
      <c r="N198" s="10">
        <v>1</v>
      </c>
      <c r="O198" s="10"/>
      <c r="P198" s="10">
        <v>720</v>
      </c>
      <c r="Q198" s="10"/>
      <c r="R198" s="10"/>
      <c r="S198" s="10" t="s">
        <v>67</v>
      </c>
      <c r="T198" s="10"/>
      <c r="U198" s="10"/>
      <c r="V198" s="10" t="s">
        <v>0</v>
      </c>
      <c r="W198" s="43">
        <f>113+36</f>
        <v>149</v>
      </c>
      <c r="X198" s="10">
        <v>3</v>
      </c>
    </row>
    <row r="199" spans="1:24" ht="64" x14ac:dyDescent="0.2">
      <c r="A199" s="9">
        <v>7</v>
      </c>
      <c r="B199" s="10" t="s">
        <v>748</v>
      </c>
      <c r="C199" s="10"/>
      <c r="D199" s="10"/>
      <c r="E199" s="10" t="s">
        <v>750</v>
      </c>
      <c r="F199" s="10"/>
      <c r="G199" s="10" t="s">
        <v>58</v>
      </c>
      <c r="H199" s="10"/>
      <c r="I199" s="10" t="s">
        <v>433</v>
      </c>
      <c r="J199" s="10" t="s">
        <v>763</v>
      </c>
      <c r="K199" s="10"/>
      <c r="L199" s="10">
        <v>1920</v>
      </c>
      <c r="M199" s="10">
        <v>3</v>
      </c>
      <c r="N199" s="10">
        <v>1</v>
      </c>
      <c r="O199" s="10"/>
      <c r="P199" s="10">
        <v>720</v>
      </c>
      <c r="Q199" s="10"/>
      <c r="R199" s="10"/>
      <c r="S199" s="10" t="s">
        <v>65</v>
      </c>
      <c r="T199" s="10"/>
      <c r="U199" s="10"/>
      <c r="V199" s="10" t="s">
        <v>0</v>
      </c>
      <c r="W199" s="43">
        <v>306</v>
      </c>
      <c r="X199" s="10">
        <v>3</v>
      </c>
    </row>
    <row r="200" spans="1:24" ht="64" x14ac:dyDescent="0.2">
      <c r="A200" s="9">
        <v>7</v>
      </c>
      <c r="B200" s="10" t="s">
        <v>748</v>
      </c>
      <c r="C200" s="10"/>
      <c r="D200" s="10"/>
      <c r="E200" s="10" t="s">
        <v>750</v>
      </c>
      <c r="F200" s="10"/>
      <c r="G200" s="10" t="s">
        <v>58</v>
      </c>
      <c r="H200" s="10"/>
      <c r="I200" s="10" t="s">
        <v>433</v>
      </c>
      <c r="J200" s="10" t="s">
        <v>763</v>
      </c>
      <c r="K200" s="10"/>
      <c r="L200" s="10">
        <v>1920</v>
      </c>
      <c r="M200" s="10">
        <v>3</v>
      </c>
      <c r="N200" s="10">
        <v>1</v>
      </c>
      <c r="O200" s="10"/>
      <c r="P200" s="10">
        <v>720</v>
      </c>
      <c r="Q200" s="10"/>
      <c r="R200" s="10"/>
      <c r="S200" s="10" t="s">
        <v>435</v>
      </c>
      <c r="T200" s="10"/>
      <c r="U200" s="10"/>
      <c r="V200" s="10" t="s">
        <v>0</v>
      </c>
      <c r="W200" s="43">
        <v>4</v>
      </c>
      <c r="X200" s="10">
        <v>3</v>
      </c>
    </row>
    <row r="201" spans="1:24" ht="64" x14ac:dyDescent="0.2">
      <c r="A201" s="9">
        <v>7</v>
      </c>
      <c r="B201" s="10" t="s">
        <v>748</v>
      </c>
      <c r="C201" s="10"/>
      <c r="D201" s="10"/>
      <c r="E201" s="10" t="s">
        <v>750</v>
      </c>
      <c r="F201" s="10"/>
      <c r="G201" s="10" t="s">
        <v>58</v>
      </c>
      <c r="H201" s="10"/>
      <c r="I201" s="10" t="s">
        <v>433</v>
      </c>
      <c r="J201" s="10" t="s">
        <v>763</v>
      </c>
      <c r="K201" s="10"/>
      <c r="L201" s="10">
        <v>1920</v>
      </c>
      <c r="M201" s="10">
        <v>3</v>
      </c>
      <c r="N201" s="10">
        <v>1</v>
      </c>
      <c r="O201" s="10"/>
      <c r="P201" s="10">
        <v>720</v>
      </c>
      <c r="Q201" s="10"/>
      <c r="R201" s="10"/>
      <c r="S201" s="10" t="s">
        <v>30</v>
      </c>
      <c r="T201" s="10"/>
      <c r="U201" s="10"/>
      <c r="V201" s="10" t="s">
        <v>0</v>
      </c>
      <c r="W201" s="43">
        <v>48</v>
      </c>
      <c r="X201" s="10">
        <v>3</v>
      </c>
    </row>
    <row r="202" spans="1:24" ht="64" x14ac:dyDescent="0.2">
      <c r="A202" s="9">
        <v>7</v>
      </c>
      <c r="B202" s="10" t="s">
        <v>748</v>
      </c>
      <c r="C202" s="10"/>
      <c r="D202" s="10"/>
      <c r="E202" s="10" t="s">
        <v>750</v>
      </c>
      <c r="F202" s="10"/>
      <c r="G202" s="10" t="s">
        <v>58</v>
      </c>
      <c r="H202" s="10"/>
      <c r="I202" s="10" t="s">
        <v>433</v>
      </c>
      <c r="J202" s="10" t="s">
        <v>764</v>
      </c>
      <c r="K202" s="10"/>
      <c r="L202" s="10">
        <v>1920</v>
      </c>
      <c r="M202" s="10">
        <v>4</v>
      </c>
      <c r="N202" s="10">
        <v>1</v>
      </c>
      <c r="O202" s="10"/>
      <c r="P202" s="10">
        <v>1530</v>
      </c>
      <c r="Q202" s="10"/>
      <c r="R202" s="10"/>
      <c r="S202" s="10" t="s">
        <v>67</v>
      </c>
      <c r="T202" s="10"/>
      <c r="U202" s="10"/>
      <c r="V202" s="10" t="s">
        <v>0</v>
      </c>
      <c r="W202" s="43">
        <f>55+0.5</f>
        <v>55.5</v>
      </c>
      <c r="X202" s="10">
        <v>3</v>
      </c>
    </row>
    <row r="203" spans="1:24" ht="64" x14ac:dyDescent="0.2">
      <c r="A203" s="9">
        <v>7</v>
      </c>
      <c r="B203" s="10" t="s">
        <v>748</v>
      </c>
      <c r="C203" s="10"/>
      <c r="D203" s="10"/>
      <c r="E203" s="10" t="s">
        <v>750</v>
      </c>
      <c r="F203" s="10"/>
      <c r="G203" s="10" t="s">
        <v>58</v>
      </c>
      <c r="H203" s="10"/>
      <c r="I203" s="10" t="s">
        <v>433</v>
      </c>
      <c r="J203" s="10" t="s">
        <v>764</v>
      </c>
      <c r="K203" s="10"/>
      <c r="L203" s="10">
        <v>1920</v>
      </c>
      <c r="M203" s="10">
        <v>4</v>
      </c>
      <c r="N203" s="10">
        <v>1</v>
      </c>
      <c r="O203" s="10"/>
      <c r="P203" s="10">
        <v>1530</v>
      </c>
      <c r="Q203" s="10"/>
      <c r="R203" s="10"/>
      <c r="S203" s="10" t="s">
        <v>65</v>
      </c>
      <c r="T203" s="10"/>
      <c r="U203" s="10"/>
      <c r="V203" s="10" t="s">
        <v>0</v>
      </c>
      <c r="W203" s="43">
        <v>174</v>
      </c>
      <c r="X203" s="10">
        <v>3</v>
      </c>
    </row>
    <row r="204" spans="1:24" ht="64" x14ac:dyDescent="0.2">
      <c r="A204" s="9">
        <v>7</v>
      </c>
      <c r="B204" s="10" t="s">
        <v>748</v>
      </c>
      <c r="C204" s="10"/>
      <c r="D204" s="10"/>
      <c r="E204" s="10" t="s">
        <v>750</v>
      </c>
      <c r="F204" s="10"/>
      <c r="G204" s="10" t="s">
        <v>58</v>
      </c>
      <c r="H204" s="10"/>
      <c r="I204" s="10" t="s">
        <v>433</v>
      </c>
      <c r="J204" s="10" t="s">
        <v>764</v>
      </c>
      <c r="K204" s="10"/>
      <c r="L204" s="10">
        <v>1920</v>
      </c>
      <c r="M204" s="10">
        <v>4</v>
      </c>
      <c r="N204" s="10">
        <v>1</v>
      </c>
      <c r="O204" s="10"/>
      <c r="P204" s="10">
        <v>1530</v>
      </c>
      <c r="Q204" s="10"/>
      <c r="R204" s="10"/>
      <c r="S204" s="10" t="s">
        <v>435</v>
      </c>
      <c r="T204" s="10"/>
      <c r="U204" s="10"/>
      <c r="V204" s="10" t="s">
        <v>0</v>
      </c>
      <c r="W204" s="43">
        <v>3</v>
      </c>
      <c r="X204" s="10">
        <v>3</v>
      </c>
    </row>
    <row r="205" spans="1:24" ht="64" x14ac:dyDescent="0.2">
      <c r="A205" s="9">
        <v>7</v>
      </c>
      <c r="B205" s="10" t="s">
        <v>748</v>
      </c>
      <c r="C205" s="10"/>
      <c r="D205" s="10"/>
      <c r="E205" s="10" t="s">
        <v>750</v>
      </c>
      <c r="F205" s="10"/>
      <c r="G205" s="10" t="s">
        <v>58</v>
      </c>
      <c r="H205" s="10"/>
      <c r="I205" s="10" t="s">
        <v>433</v>
      </c>
      <c r="J205" s="10" t="s">
        <v>764</v>
      </c>
      <c r="K205" s="10"/>
      <c r="L205" s="10">
        <v>1920</v>
      </c>
      <c r="M205" s="10">
        <v>4</v>
      </c>
      <c r="N205" s="10">
        <v>1</v>
      </c>
      <c r="O205" s="10"/>
      <c r="P205" s="10">
        <v>1530</v>
      </c>
      <c r="Q205" s="10"/>
      <c r="R205" s="10"/>
      <c r="S205" s="10" t="s">
        <v>30</v>
      </c>
      <c r="T205" s="10"/>
      <c r="U205" s="10"/>
      <c r="V205" s="10" t="s">
        <v>0</v>
      </c>
      <c r="W205" s="43">
        <v>24</v>
      </c>
      <c r="X205" s="10">
        <v>3</v>
      </c>
    </row>
    <row r="206" spans="1:24" ht="64" x14ac:dyDescent="0.2">
      <c r="A206" s="9">
        <v>7</v>
      </c>
      <c r="B206" s="10" t="s">
        <v>748</v>
      </c>
      <c r="C206" s="10"/>
      <c r="D206" s="10"/>
      <c r="E206" s="10" t="s">
        <v>750</v>
      </c>
      <c r="F206" s="10"/>
      <c r="G206" s="10" t="s">
        <v>58</v>
      </c>
      <c r="H206" s="10"/>
      <c r="I206" s="10" t="s">
        <v>433</v>
      </c>
      <c r="J206" s="10" t="s">
        <v>765</v>
      </c>
      <c r="K206" s="10"/>
      <c r="L206" s="10">
        <v>1920</v>
      </c>
      <c r="M206" s="10">
        <v>4</v>
      </c>
      <c r="N206" s="10">
        <v>1</v>
      </c>
      <c r="O206" s="10"/>
      <c r="P206" s="10">
        <v>2350</v>
      </c>
      <c r="Q206" s="10"/>
      <c r="R206" s="10"/>
      <c r="S206" s="10" t="s">
        <v>67</v>
      </c>
      <c r="T206" s="10"/>
      <c r="U206" s="10"/>
      <c r="V206" s="10" t="s">
        <v>0</v>
      </c>
      <c r="W206" s="43">
        <v>49</v>
      </c>
      <c r="X206" s="10">
        <v>3</v>
      </c>
    </row>
    <row r="207" spans="1:24" ht="64" x14ac:dyDescent="0.2">
      <c r="A207" s="9">
        <v>7</v>
      </c>
      <c r="B207" s="10" t="s">
        <v>748</v>
      </c>
      <c r="C207" s="10"/>
      <c r="D207" s="10"/>
      <c r="E207" s="10" t="s">
        <v>750</v>
      </c>
      <c r="F207" s="10"/>
      <c r="G207" s="10" t="s">
        <v>58</v>
      </c>
      <c r="H207" s="10"/>
      <c r="I207" s="10" t="s">
        <v>433</v>
      </c>
      <c r="J207" s="10" t="s">
        <v>765</v>
      </c>
      <c r="K207" s="10"/>
      <c r="L207" s="10">
        <v>1920</v>
      </c>
      <c r="M207" s="10">
        <v>4</v>
      </c>
      <c r="N207" s="10">
        <v>1</v>
      </c>
      <c r="O207" s="10"/>
      <c r="P207" s="10">
        <v>2350</v>
      </c>
      <c r="Q207" s="10"/>
      <c r="R207" s="10"/>
      <c r="S207" s="10" t="s">
        <v>65</v>
      </c>
      <c r="T207" s="10"/>
      <c r="U207" s="10"/>
      <c r="V207" s="10" t="s">
        <v>0</v>
      </c>
      <c r="W207" s="43">
        <v>328</v>
      </c>
      <c r="X207" s="10">
        <v>3</v>
      </c>
    </row>
    <row r="208" spans="1:24" ht="64" x14ac:dyDescent="0.2">
      <c r="A208" s="9">
        <v>7</v>
      </c>
      <c r="B208" s="10" t="s">
        <v>748</v>
      </c>
      <c r="C208" s="10"/>
      <c r="D208" s="10"/>
      <c r="E208" s="10" t="s">
        <v>750</v>
      </c>
      <c r="F208" s="10"/>
      <c r="G208" s="10" t="s">
        <v>58</v>
      </c>
      <c r="H208" s="10"/>
      <c r="I208" s="10" t="s">
        <v>433</v>
      </c>
      <c r="J208" s="10" t="s">
        <v>765</v>
      </c>
      <c r="K208" s="10"/>
      <c r="L208" s="10">
        <v>1920</v>
      </c>
      <c r="M208" s="10">
        <v>4</v>
      </c>
      <c r="N208" s="10">
        <v>1</v>
      </c>
      <c r="O208" s="10"/>
      <c r="P208" s="10">
        <v>2350</v>
      </c>
      <c r="Q208" s="10"/>
      <c r="R208" s="10"/>
      <c r="S208" s="10" t="s">
        <v>435</v>
      </c>
      <c r="T208" s="10"/>
      <c r="U208" s="10"/>
      <c r="V208" s="10" t="s">
        <v>0</v>
      </c>
      <c r="W208" s="43">
        <v>2</v>
      </c>
      <c r="X208" s="10">
        <v>3</v>
      </c>
    </row>
    <row r="209" spans="1:24" ht="64" x14ac:dyDescent="0.2">
      <c r="A209" s="9">
        <v>7</v>
      </c>
      <c r="B209" s="10" t="s">
        <v>748</v>
      </c>
      <c r="C209" s="10"/>
      <c r="D209" s="10"/>
      <c r="E209" s="10" t="s">
        <v>750</v>
      </c>
      <c r="F209" s="10"/>
      <c r="G209" s="10" t="s">
        <v>58</v>
      </c>
      <c r="H209" s="10"/>
      <c r="I209" s="10" t="s">
        <v>433</v>
      </c>
      <c r="J209" s="10" t="s">
        <v>765</v>
      </c>
      <c r="K209" s="10"/>
      <c r="L209" s="10">
        <v>1920</v>
      </c>
      <c r="M209" s="10">
        <v>4</v>
      </c>
      <c r="N209" s="10">
        <v>1</v>
      </c>
      <c r="O209" s="10"/>
      <c r="P209" s="10">
        <v>2350</v>
      </c>
      <c r="Q209" s="10"/>
      <c r="R209" s="10"/>
      <c r="S209" s="10" t="s">
        <v>30</v>
      </c>
      <c r="T209" s="10"/>
      <c r="U209" s="10"/>
      <c r="V209" s="10" t="s">
        <v>0</v>
      </c>
      <c r="W209" s="43">
        <v>102</v>
      </c>
      <c r="X209" s="10">
        <v>3</v>
      </c>
    </row>
    <row r="210" spans="1:24" ht="64" x14ac:dyDescent="0.2">
      <c r="A210" s="9">
        <v>7</v>
      </c>
      <c r="B210" s="10" t="s">
        <v>748</v>
      </c>
      <c r="C210" s="10"/>
      <c r="D210" s="10"/>
      <c r="E210" s="10" t="s">
        <v>750</v>
      </c>
      <c r="F210" s="10"/>
      <c r="G210" s="10" t="s">
        <v>58</v>
      </c>
      <c r="H210" s="10"/>
      <c r="I210" s="10" t="s">
        <v>433</v>
      </c>
      <c r="J210" s="10" t="s">
        <v>766</v>
      </c>
      <c r="K210" s="10"/>
      <c r="L210" s="10">
        <v>1930</v>
      </c>
      <c r="M210" s="10">
        <v>4</v>
      </c>
      <c r="N210" s="10">
        <v>1</v>
      </c>
      <c r="O210" s="10"/>
      <c r="P210" s="10">
        <v>2640</v>
      </c>
      <c r="Q210" s="10"/>
      <c r="R210" s="10"/>
      <c r="S210" s="10" t="s">
        <v>67</v>
      </c>
      <c r="T210" s="10"/>
      <c r="U210" s="10"/>
      <c r="V210" s="10" t="s">
        <v>0</v>
      </c>
      <c r="W210" s="43">
        <v>57</v>
      </c>
      <c r="X210" s="10">
        <v>3</v>
      </c>
    </row>
    <row r="211" spans="1:24" ht="64" x14ac:dyDescent="0.2">
      <c r="A211" s="9">
        <v>7</v>
      </c>
      <c r="B211" s="10" t="s">
        <v>748</v>
      </c>
      <c r="C211" s="10"/>
      <c r="D211" s="10"/>
      <c r="E211" s="10" t="s">
        <v>750</v>
      </c>
      <c r="F211" s="10"/>
      <c r="G211" s="10" t="s">
        <v>58</v>
      </c>
      <c r="H211" s="10"/>
      <c r="I211" s="10" t="s">
        <v>433</v>
      </c>
      <c r="J211" s="10" t="s">
        <v>766</v>
      </c>
      <c r="K211" s="10"/>
      <c r="L211" s="10">
        <v>1930</v>
      </c>
      <c r="M211" s="10">
        <v>4</v>
      </c>
      <c r="N211" s="10">
        <v>1</v>
      </c>
      <c r="O211" s="10"/>
      <c r="P211" s="10">
        <v>2640</v>
      </c>
      <c r="Q211" s="10"/>
      <c r="R211" s="10"/>
      <c r="S211" s="10" t="s">
        <v>65</v>
      </c>
      <c r="T211" s="10"/>
      <c r="U211" s="10"/>
      <c r="V211" s="10" t="s">
        <v>0</v>
      </c>
      <c r="W211" s="43">
        <v>220</v>
      </c>
      <c r="X211" s="10">
        <v>3</v>
      </c>
    </row>
    <row r="212" spans="1:24" ht="64" x14ac:dyDescent="0.2">
      <c r="A212" s="9">
        <v>7</v>
      </c>
      <c r="B212" s="10" t="s">
        <v>748</v>
      </c>
      <c r="C212" s="10"/>
      <c r="D212" s="10"/>
      <c r="E212" s="10" t="s">
        <v>750</v>
      </c>
      <c r="F212" s="10"/>
      <c r="G212" s="10" t="s">
        <v>58</v>
      </c>
      <c r="H212" s="10"/>
      <c r="I212" s="10" t="s">
        <v>433</v>
      </c>
      <c r="J212" s="10" t="s">
        <v>766</v>
      </c>
      <c r="K212" s="10"/>
      <c r="L212" s="10">
        <v>1930</v>
      </c>
      <c r="M212" s="10">
        <v>4</v>
      </c>
      <c r="N212" s="10">
        <v>1</v>
      </c>
      <c r="O212" s="10"/>
      <c r="P212" s="10">
        <v>2640</v>
      </c>
      <c r="Q212" s="10"/>
      <c r="R212" s="10"/>
      <c r="S212" s="10" t="s">
        <v>435</v>
      </c>
      <c r="T212" s="10"/>
      <c r="U212" s="10"/>
      <c r="V212" s="10" t="s">
        <v>0</v>
      </c>
      <c r="W212" s="43">
        <v>4</v>
      </c>
      <c r="X212" s="10">
        <v>3</v>
      </c>
    </row>
    <row r="213" spans="1:24" ht="64" x14ac:dyDescent="0.2">
      <c r="A213" s="9">
        <v>7</v>
      </c>
      <c r="B213" s="10" t="s">
        <v>748</v>
      </c>
      <c r="C213" s="10"/>
      <c r="D213" s="10"/>
      <c r="E213" s="10" t="s">
        <v>750</v>
      </c>
      <c r="F213" s="10"/>
      <c r="G213" s="10" t="s">
        <v>58</v>
      </c>
      <c r="H213" s="10"/>
      <c r="I213" s="10" t="s">
        <v>433</v>
      </c>
      <c r="J213" s="10" t="s">
        <v>766</v>
      </c>
      <c r="K213" s="10"/>
      <c r="L213" s="10">
        <v>1930</v>
      </c>
      <c r="M213" s="10">
        <v>4</v>
      </c>
      <c r="N213" s="10">
        <v>1</v>
      </c>
      <c r="O213" s="10"/>
      <c r="P213" s="10">
        <v>2640</v>
      </c>
      <c r="Q213" s="10"/>
      <c r="R213" s="10"/>
      <c r="S213" s="10" t="s">
        <v>30</v>
      </c>
      <c r="T213" s="10"/>
      <c r="U213" s="10"/>
      <c r="V213" s="10" t="s">
        <v>0</v>
      </c>
      <c r="W213" s="43">
        <f>56+1</f>
        <v>57</v>
      </c>
      <c r="X213" s="10">
        <v>3</v>
      </c>
    </row>
    <row r="214" spans="1:24" ht="64" x14ac:dyDescent="0.2">
      <c r="A214" s="9">
        <v>7</v>
      </c>
      <c r="B214" s="10" t="s">
        <v>748</v>
      </c>
      <c r="C214" s="10"/>
      <c r="D214" s="10"/>
      <c r="E214" s="10" t="s">
        <v>750</v>
      </c>
      <c r="F214" s="10"/>
      <c r="G214" s="10" t="s">
        <v>58</v>
      </c>
      <c r="H214" s="10"/>
      <c r="I214" s="10" t="s">
        <v>433</v>
      </c>
      <c r="J214" s="10" t="s">
        <v>767</v>
      </c>
      <c r="K214" s="10"/>
      <c r="L214" s="10">
        <v>1930</v>
      </c>
      <c r="M214" s="10">
        <v>3</v>
      </c>
      <c r="N214" s="10">
        <v>1</v>
      </c>
      <c r="O214" s="10"/>
      <c r="P214" s="10">
        <v>496</v>
      </c>
      <c r="Q214" s="10"/>
      <c r="R214" s="10"/>
      <c r="S214" s="10" t="s">
        <v>67</v>
      </c>
      <c r="T214" s="10"/>
      <c r="U214" s="10"/>
      <c r="V214" s="10" t="s">
        <v>0</v>
      </c>
      <c r="W214" s="43">
        <f>57+1</f>
        <v>58</v>
      </c>
      <c r="X214" s="10">
        <v>3</v>
      </c>
    </row>
    <row r="215" spans="1:24" ht="64" x14ac:dyDescent="0.2">
      <c r="A215" s="9">
        <v>7</v>
      </c>
      <c r="B215" s="10" t="s">
        <v>748</v>
      </c>
      <c r="C215" s="10"/>
      <c r="D215" s="10"/>
      <c r="E215" s="10" t="s">
        <v>750</v>
      </c>
      <c r="F215" s="10"/>
      <c r="G215" s="10" t="s">
        <v>58</v>
      </c>
      <c r="H215" s="10"/>
      <c r="I215" s="10" t="s">
        <v>433</v>
      </c>
      <c r="J215" s="10" t="s">
        <v>767</v>
      </c>
      <c r="K215" s="10"/>
      <c r="L215" s="10">
        <v>1930</v>
      </c>
      <c r="M215" s="10">
        <v>3</v>
      </c>
      <c r="N215" s="10">
        <v>1</v>
      </c>
      <c r="O215" s="10"/>
      <c r="P215" s="10">
        <v>496</v>
      </c>
      <c r="Q215" s="10"/>
      <c r="R215" s="10"/>
      <c r="S215" s="10" t="s">
        <v>65</v>
      </c>
      <c r="T215" s="10"/>
      <c r="U215" s="10"/>
      <c r="V215" s="10" t="s">
        <v>0</v>
      </c>
      <c r="W215" s="43">
        <v>319</v>
      </c>
      <c r="X215" s="10">
        <v>3</v>
      </c>
    </row>
    <row r="216" spans="1:24" ht="64" x14ac:dyDescent="0.2">
      <c r="A216" s="9">
        <v>7</v>
      </c>
      <c r="B216" s="10" t="s">
        <v>748</v>
      </c>
      <c r="C216" s="10"/>
      <c r="D216" s="10"/>
      <c r="E216" s="10" t="s">
        <v>750</v>
      </c>
      <c r="F216" s="10"/>
      <c r="G216" s="10" t="s">
        <v>58</v>
      </c>
      <c r="H216" s="10"/>
      <c r="I216" s="10" t="s">
        <v>433</v>
      </c>
      <c r="J216" s="10" t="s">
        <v>767</v>
      </c>
      <c r="K216" s="10"/>
      <c r="L216" s="10">
        <v>1930</v>
      </c>
      <c r="M216" s="10">
        <v>3</v>
      </c>
      <c r="N216" s="10">
        <v>1</v>
      </c>
      <c r="O216" s="10"/>
      <c r="P216" s="10">
        <v>496</v>
      </c>
      <c r="Q216" s="10"/>
      <c r="R216" s="10"/>
      <c r="S216" s="10" t="s">
        <v>435</v>
      </c>
      <c r="T216" s="10"/>
      <c r="U216" s="10"/>
      <c r="V216" s="10" t="s">
        <v>0</v>
      </c>
      <c r="W216" s="43">
        <v>5</v>
      </c>
      <c r="X216" s="10">
        <v>3</v>
      </c>
    </row>
    <row r="217" spans="1:24" ht="64" x14ac:dyDescent="0.2">
      <c r="A217" s="9">
        <v>7</v>
      </c>
      <c r="B217" s="10" t="s">
        <v>748</v>
      </c>
      <c r="C217" s="10"/>
      <c r="D217" s="10"/>
      <c r="E217" s="10" t="s">
        <v>750</v>
      </c>
      <c r="F217" s="10"/>
      <c r="G217" s="10" t="s">
        <v>58</v>
      </c>
      <c r="H217" s="10"/>
      <c r="I217" s="10" t="s">
        <v>433</v>
      </c>
      <c r="J217" s="10" t="s">
        <v>767</v>
      </c>
      <c r="K217" s="10"/>
      <c r="L217" s="10">
        <v>1930</v>
      </c>
      <c r="M217" s="10">
        <v>3</v>
      </c>
      <c r="N217" s="10">
        <v>1</v>
      </c>
      <c r="O217" s="10"/>
      <c r="P217" s="10">
        <v>496</v>
      </c>
      <c r="Q217" s="10"/>
      <c r="R217" s="10"/>
      <c r="S217" s="10" t="s">
        <v>30</v>
      </c>
      <c r="T217" s="10"/>
      <c r="U217" s="10"/>
      <c r="V217" s="10" t="s">
        <v>0</v>
      </c>
      <c r="W217" s="43">
        <v>79</v>
      </c>
      <c r="X217" s="10">
        <v>3</v>
      </c>
    </row>
    <row r="218" spans="1:24" ht="64" x14ac:dyDescent="0.2">
      <c r="A218" s="9">
        <v>7</v>
      </c>
      <c r="B218" s="10" t="s">
        <v>748</v>
      </c>
      <c r="C218" s="10"/>
      <c r="D218" s="10"/>
      <c r="E218" s="10" t="s">
        <v>750</v>
      </c>
      <c r="F218" s="10"/>
      <c r="G218" s="10" t="s">
        <v>58</v>
      </c>
      <c r="H218" s="10"/>
      <c r="I218" s="10" t="s">
        <v>433</v>
      </c>
      <c r="J218" s="10" t="s">
        <v>768</v>
      </c>
      <c r="K218" s="10"/>
      <c r="L218" s="10">
        <v>1940</v>
      </c>
      <c r="M218" s="10">
        <v>3</v>
      </c>
      <c r="N218" s="10">
        <v>1</v>
      </c>
      <c r="O218" s="10"/>
      <c r="P218" s="10">
        <v>792</v>
      </c>
      <c r="Q218" s="10"/>
      <c r="R218" s="10"/>
      <c r="S218" s="10" t="s">
        <v>67</v>
      </c>
      <c r="T218" s="10"/>
      <c r="U218" s="10"/>
      <c r="V218" s="10" t="s">
        <v>0</v>
      </c>
      <c r="W218" s="43">
        <f>27+15</f>
        <v>42</v>
      </c>
      <c r="X218" s="10">
        <v>3</v>
      </c>
    </row>
    <row r="219" spans="1:24" ht="64" x14ac:dyDescent="0.2">
      <c r="A219" s="9">
        <v>7</v>
      </c>
      <c r="B219" s="10" t="s">
        <v>748</v>
      </c>
      <c r="C219" s="10"/>
      <c r="D219" s="10"/>
      <c r="E219" s="10" t="s">
        <v>750</v>
      </c>
      <c r="F219" s="10"/>
      <c r="G219" s="10" t="s">
        <v>58</v>
      </c>
      <c r="H219" s="10"/>
      <c r="I219" s="10" t="s">
        <v>433</v>
      </c>
      <c r="J219" s="10" t="s">
        <v>768</v>
      </c>
      <c r="K219" s="10"/>
      <c r="L219" s="10">
        <v>1940</v>
      </c>
      <c r="M219" s="10">
        <v>3</v>
      </c>
      <c r="N219" s="10">
        <v>1</v>
      </c>
      <c r="O219" s="10"/>
      <c r="P219" s="10">
        <v>792</v>
      </c>
      <c r="Q219" s="10"/>
      <c r="R219" s="10"/>
      <c r="S219" s="10" t="s">
        <v>65</v>
      </c>
      <c r="T219" s="10"/>
      <c r="U219" s="10"/>
      <c r="V219" s="10" t="s">
        <v>0</v>
      </c>
      <c r="W219" s="43">
        <v>567</v>
      </c>
      <c r="X219" s="10">
        <v>3</v>
      </c>
    </row>
    <row r="220" spans="1:24" ht="64" x14ac:dyDescent="0.2">
      <c r="A220" s="9">
        <v>7</v>
      </c>
      <c r="B220" s="10" t="s">
        <v>748</v>
      </c>
      <c r="C220" s="10"/>
      <c r="D220" s="10"/>
      <c r="E220" s="10" t="s">
        <v>750</v>
      </c>
      <c r="F220" s="10"/>
      <c r="G220" s="10" t="s">
        <v>58</v>
      </c>
      <c r="H220" s="10"/>
      <c r="I220" s="10" t="s">
        <v>433</v>
      </c>
      <c r="J220" s="10" t="s">
        <v>768</v>
      </c>
      <c r="K220" s="10"/>
      <c r="L220" s="10">
        <v>1940</v>
      </c>
      <c r="M220" s="10">
        <v>3</v>
      </c>
      <c r="N220" s="10">
        <v>1</v>
      </c>
      <c r="O220" s="10"/>
      <c r="P220" s="10">
        <v>792</v>
      </c>
      <c r="Q220" s="10"/>
      <c r="R220" s="10"/>
      <c r="S220" s="10" t="s">
        <v>435</v>
      </c>
      <c r="T220" s="10"/>
      <c r="U220" s="10"/>
      <c r="V220" s="10" t="s">
        <v>0</v>
      </c>
      <c r="W220" s="43">
        <v>4</v>
      </c>
      <c r="X220" s="10">
        <v>3</v>
      </c>
    </row>
    <row r="221" spans="1:24" ht="64" x14ac:dyDescent="0.2">
      <c r="A221" s="9">
        <v>7</v>
      </c>
      <c r="B221" s="10" t="s">
        <v>748</v>
      </c>
      <c r="C221" s="10"/>
      <c r="D221" s="10"/>
      <c r="E221" s="10" t="s">
        <v>750</v>
      </c>
      <c r="F221" s="10"/>
      <c r="G221" s="10" t="s">
        <v>58</v>
      </c>
      <c r="H221" s="10"/>
      <c r="I221" s="10" t="s">
        <v>433</v>
      </c>
      <c r="J221" s="10" t="s">
        <v>768</v>
      </c>
      <c r="K221" s="10"/>
      <c r="L221" s="10">
        <v>1940</v>
      </c>
      <c r="M221" s="10">
        <v>3</v>
      </c>
      <c r="N221" s="10">
        <v>1</v>
      </c>
      <c r="O221" s="10"/>
      <c r="P221" s="10">
        <v>792</v>
      </c>
      <c r="Q221" s="10"/>
      <c r="R221" s="10"/>
      <c r="S221" s="10" t="s">
        <v>30</v>
      </c>
      <c r="T221" s="10"/>
      <c r="U221" s="10"/>
      <c r="V221" s="10" t="s">
        <v>0</v>
      </c>
      <c r="W221" s="43">
        <v>198</v>
      </c>
      <c r="X221" s="10">
        <v>3</v>
      </c>
    </row>
    <row r="222" spans="1:24" ht="64" x14ac:dyDescent="0.2">
      <c r="A222" s="9">
        <v>7</v>
      </c>
      <c r="B222" s="10" t="s">
        <v>748</v>
      </c>
      <c r="C222" s="10"/>
      <c r="D222" s="10"/>
      <c r="E222" s="10" t="s">
        <v>750</v>
      </c>
      <c r="F222" s="10"/>
      <c r="G222" s="10" t="s">
        <v>58</v>
      </c>
      <c r="H222" s="10"/>
      <c r="I222" s="10" t="s">
        <v>70</v>
      </c>
      <c r="J222" s="10" t="s">
        <v>769</v>
      </c>
      <c r="K222" s="10"/>
      <c r="L222" s="10">
        <v>1940</v>
      </c>
      <c r="M222" s="10">
        <v>6</v>
      </c>
      <c r="N222" s="10">
        <v>1</v>
      </c>
      <c r="O222" s="10"/>
      <c r="P222" s="10">
        <v>2044</v>
      </c>
      <c r="Q222" s="10"/>
      <c r="R222" s="10"/>
      <c r="S222" s="10" t="s">
        <v>67</v>
      </c>
      <c r="T222" s="10"/>
      <c r="U222" s="10"/>
      <c r="V222" s="10" t="s">
        <v>0</v>
      </c>
      <c r="W222" s="43">
        <f>16+6</f>
        <v>22</v>
      </c>
      <c r="X222" s="10">
        <v>4</v>
      </c>
    </row>
    <row r="223" spans="1:24" ht="64" x14ac:dyDescent="0.2">
      <c r="A223" s="9">
        <v>7</v>
      </c>
      <c r="B223" s="10" t="s">
        <v>748</v>
      </c>
      <c r="C223" s="10"/>
      <c r="D223" s="10"/>
      <c r="E223" s="10" t="s">
        <v>750</v>
      </c>
      <c r="F223" s="10"/>
      <c r="G223" s="10" t="s">
        <v>58</v>
      </c>
      <c r="H223" s="10"/>
      <c r="I223" s="10" t="s">
        <v>70</v>
      </c>
      <c r="J223" s="10" t="s">
        <v>769</v>
      </c>
      <c r="K223" s="10"/>
      <c r="L223" s="10">
        <v>1940</v>
      </c>
      <c r="M223" s="10">
        <v>6</v>
      </c>
      <c r="N223" s="10">
        <v>1</v>
      </c>
      <c r="O223" s="10"/>
      <c r="P223" s="10">
        <v>2044</v>
      </c>
      <c r="Q223" s="10"/>
      <c r="R223" s="10"/>
      <c r="S223" s="10" t="s">
        <v>65</v>
      </c>
      <c r="T223" s="10"/>
      <c r="U223" s="10"/>
      <c r="V223" s="10" t="s">
        <v>0</v>
      </c>
      <c r="W223" s="43">
        <v>434</v>
      </c>
      <c r="X223" s="10">
        <v>4</v>
      </c>
    </row>
    <row r="224" spans="1:24" ht="64" x14ac:dyDescent="0.2">
      <c r="A224" s="9">
        <v>7</v>
      </c>
      <c r="B224" s="10" t="s">
        <v>748</v>
      </c>
      <c r="C224" s="10"/>
      <c r="D224" s="10"/>
      <c r="E224" s="10" t="s">
        <v>750</v>
      </c>
      <c r="F224" s="10"/>
      <c r="G224" s="10" t="s">
        <v>58</v>
      </c>
      <c r="H224" s="10"/>
      <c r="I224" s="10" t="s">
        <v>70</v>
      </c>
      <c r="J224" s="10" t="s">
        <v>769</v>
      </c>
      <c r="K224" s="10"/>
      <c r="L224" s="10">
        <v>1940</v>
      </c>
      <c r="M224" s="10">
        <v>6</v>
      </c>
      <c r="N224" s="10">
        <v>1</v>
      </c>
      <c r="O224" s="10"/>
      <c r="P224" s="10">
        <v>2044</v>
      </c>
      <c r="Q224" s="10"/>
      <c r="R224" s="10"/>
      <c r="S224" s="10" t="s">
        <v>435</v>
      </c>
      <c r="T224" s="10"/>
      <c r="U224" s="10"/>
      <c r="V224" s="10" t="s">
        <v>0</v>
      </c>
      <c r="W224" s="43">
        <v>4</v>
      </c>
      <c r="X224" s="10">
        <v>4</v>
      </c>
    </row>
    <row r="225" spans="1:24" ht="64" x14ac:dyDescent="0.2">
      <c r="A225" s="9">
        <v>7</v>
      </c>
      <c r="B225" s="10" t="s">
        <v>748</v>
      </c>
      <c r="C225" s="10"/>
      <c r="D225" s="10"/>
      <c r="E225" s="10" t="s">
        <v>750</v>
      </c>
      <c r="F225" s="10"/>
      <c r="G225" s="10" t="s">
        <v>58</v>
      </c>
      <c r="H225" s="10"/>
      <c r="I225" s="10" t="s">
        <v>70</v>
      </c>
      <c r="J225" s="10" t="s">
        <v>769</v>
      </c>
      <c r="K225" s="10"/>
      <c r="L225" s="10">
        <v>1940</v>
      </c>
      <c r="M225" s="10">
        <v>6</v>
      </c>
      <c r="N225" s="10">
        <v>1</v>
      </c>
      <c r="O225" s="10"/>
      <c r="P225" s="10">
        <v>2044</v>
      </c>
      <c r="Q225" s="10"/>
      <c r="R225" s="10"/>
      <c r="S225" s="10" t="s">
        <v>30</v>
      </c>
      <c r="T225" s="10"/>
      <c r="U225" s="10"/>
      <c r="V225" s="10" t="s">
        <v>0</v>
      </c>
      <c r="W225" s="43">
        <v>135</v>
      </c>
      <c r="X225" s="10">
        <v>4</v>
      </c>
    </row>
    <row r="226" spans="1:24" ht="64" x14ac:dyDescent="0.2">
      <c r="A226" s="9">
        <v>7</v>
      </c>
      <c r="B226" s="10" t="s">
        <v>748</v>
      </c>
      <c r="C226" s="10"/>
      <c r="D226" s="10"/>
      <c r="E226" s="10" t="s">
        <v>750</v>
      </c>
      <c r="F226" s="10"/>
      <c r="G226" s="10" t="s">
        <v>58</v>
      </c>
      <c r="H226" s="10"/>
      <c r="I226" s="10" t="s">
        <v>433</v>
      </c>
      <c r="J226" s="10" t="s">
        <v>782</v>
      </c>
      <c r="K226" s="10"/>
      <c r="L226" s="10">
        <v>1940</v>
      </c>
      <c r="M226" s="10">
        <v>3</v>
      </c>
      <c r="N226" s="10">
        <v>1</v>
      </c>
      <c r="O226" s="10"/>
      <c r="P226" s="10">
        <v>620</v>
      </c>
      <c r="Q226" s="10"/>
      <c r="R226" s="10"/>
      <c r="S226" s="10" t="s">
        <v>67</v>
      </c>
      <c r="T226" s="10"/>
      <c r="U226" s="10"/>
      <c r="V226" s="10" t="s">
        <v>0</v>
      </c>
      <c r="W226" s="43">
        <f>25+8</f>
        <v>33</v>
      </c>
      <c r="X226" s="10">
        <v>3</v>
      </c>
    </row>
    <row r="227" spans="1:24" ht="64" x14ac:dyDescent="0.2">
      <c r="A227" s="9">
        <v>7</v>
      </c>
      <c r="B227" s="10" t="s">
        <v>748</v>
      </c>
      <c r="C227" s="10"/>
      <c r="D227" s="10"/>
      <c r="E227" s="10" t="s">
        <v>750</v>
      </c>
      <c r="F227" s="10"/>
      <c r="G227" s="10" t="s">
        <v>58</v>
      </c>
      <c r="H227" s="10"/>
      <c r="I227" s="10" t="s">
        <v>433</v>
      </c>
      <c r="J227" s="10" t="s">
        <v>782</v>
      </c>
      <c r="K227" s="10"/>
      <c r="L227" s="10">
        <v>1940</v>
      </c>
      <c r="M227" s="10">
        <v>3</v>
      </c>
      <c r="N227" s="10">
        <v>1</v>
      </c>
      <c r="O227" s="10"/>
      <c r="P227" s="10">
        <v>620</v>
      </c>
      <c r="Q227" s="10"/>
      <c r="R227" s="10"/>
      <c r="S227" s="10" t="s">
        <v>65</v>
      </c>
      <c r="T227" s="10"/>
      <c r="U227" s="10"/>
      <c r="V227" s="10" t="s">
        <v>0</v>
      </c>
      <c r="W227" s="43">
        <v>775</v>
      </c>
      <c r="X227" s="10">
        <v>3</v>
      </c>
    </row>
    <row r="228" spans="1:24" ht="64" x14ac:dyDescent="0.2">
      <c r="A228" s="9">
        <v>7</v>
      </c>
      <c r="B228" s="10" t="s">
        <v>748</v>
      </c>
      <c r="C228" s="10"/>
      <c r="D228" s="10"/>
      <c r="E228" s="10" t="s">
        <v>750</v>
      </c>
      <c r="F228" s="10"/>
      <c r="G228" s="10" t="s">
        <v>58</v>
      </c>
      <c r="H228" s="10"/>
      <c r="I228" s="10" t="s">
        <v>433</v>
      </c>
      <c r="J228" s="10" t="s">
        <v>782</v>
      </c>
      <c r="K228" s="10"/>
      <c r="L228" s="10">
        <v>1940</v>
      </c>
      <c r="M228" s="10">
        <v>3</v>
      </c>
      <c r="N228" s="10">
        <v>1</v>
      </c>
      <c r="O228" s="10"/>
      <c r="P228" s="10">
        <v>620</v>
      </c>
      <c r="Q228" s="10"/>
      <c r="R228" s="10"/>
      <c r="S228" s="10" t="s">
        <v>435</v>
      </c>
      <c r="T228" s="10"/>
      <c r="U228" s="10"/>
      <c r="V228" s="10" t="s">
        <v>0</v>
      </c>
      <c r="W228" s="43">
        <v>2</v>
      </c>
      <c r="X228" s="10">
        <v>3</v>
      </c>
    </row>
    <row r="229" spans="1:24" ht="64" x14ac:dyDescent="0.2">
      <c r="A229" s="9">
        <v>7</v>
      </c>
      <c r="B229" s="10" t="s">
        <v>748</v>
      </c>
      <c r="C229" s="10"/>
      <c r="D229" s="10"/>
      <c r="E229" s="10" t="s">
        <v>750</v>
      </c>
      <c r="F229" s="10"/>
      <c r="G229" s="10" t="s">
        <v>58</v>
      </c>
      <c r="H229" s="10"/>
      <c r="I229" s="10" t="s">
        <v>433</v>
      </c>
      <c r="J229" s="10" t="s">
        <v>782</v>
      </c>
      <c r="K229" s="10"/>
      <c r="L229" s="10">
        <v>1940</v>
      </c>
      <c r="M229" s="10">
        <v>3</v>
      </c>
      <c r="N229" s="10">
        <v>1</v>
      </c>
      <c r="O229" s="10"/>
      <c r="P229" s="10">
        <v>620</v>
      </c>
      <c r="Q229" s="10"/>
      <c r="R229" s="10"/>
      <c r="S229" s="10" t="s">
        <v>30</v>
      </c>
      <c r="T229" s="10"/>
      <c r="U229" s="10"/>
      <c r="V229" s="10" t="s">
        <v>0</v>
      </c>
      <c r="W229" s="43">
        <v>132</v>
      </c>
      <c r="X229" s="10">
        <v>3</v>
      </c>
    </row>
    <row r="230" spans="1:24" ht="64" x14ac:dyDescent="0.2">
      <c r="A230" s="9">
        <v>7</v>
      </c>
      <c r="B230" s="10" t="s">
        <v>748</v>
      </c>
      <c r="C230" s="10"/>
      <c r="D230" s="10"/>
      <c r="E230" s="10" t="s">
        <v>750</v>
      </c>
      <c r="F230" s="10"/>
      <c r="G230" s="10" t="s">
        <v>58</v>
      </c>
      <c r="H230" s="10"/>
      <c r="I230" s="10" t="s">
        <v>433</v>
      </c>
      <c r="J230" s="10" t="s">
        <v>781</v>
      </c>
      <c r="K230" s="10"/>
      <c r="L230" s="10">
        <v>1940</v>
      </c>
      <c r="M230" s="10">
        <v>3</v>
      </c>
      <c r="N230" s="10">
        <v>1</v>
      </c>
      <c r="O230" s="10"/>
      <c r="P230" s="10">
        <v>720</v>
      </c>
      <c r="Q230" s="10"/>
      <c r="R230" s="10"/>
      <c r="S230" s="10" t="s">
        <v>67</v>
      </c>
      <c r="T230" s="10"/>
      <c r="U230" s="10"/>
      <c r="V230" s="10" t="s">
        <v>0</v>
      </c>
      <c r="W230" s="43">
        <f>19+3</f>
        <v>22</v>
      </c>
      <c r="X230" s="10">
        <v>3</v>
      </c>
    </row>
    <row r="231" spans="1:24" ht="64" x14ac:dyDescent="0.2">
      <c r="A231" s="9">
        <v>7</v>
      </c>
      <c r="B231" s="10" t="s">
        <v>748</v>
      </c>
      <c r="C231" s="10"/>
      <c r="D231" s="10"/>
      <c r="E231" s="10" t="s">
        <v>750</v>
      </c>
      <c r="F231" s="10"/>
      <c r="G231" s="10" t="s">
        <v>58</v>
      </c>
      <c r="H231" s="10"/>
      <c r="I231" s="10" t="s">
        <v>433</v>
      </c>
      <c r="J231" s="10" t="s">
        <v>781</v>
      </c>
      <c r="K231" s="10"/>
      <c r="L231" s="10">
        <v>1940</v>
      </c>
      <c r="M231" s="10">
        <v>3</v>
      </c>
      <c r="N231" s="10">
        <v>1</v>
      </c>
      <c r="O231" s="10"/>
      <c r="P231" s="10">
        <v>720</v>
      </c>
      <c r="Q231" s="10"/>
      <c r="R231" s="10"/>
      <c r="S231" s="10" t="s">
        <v>65</v>
      </c>
      <c r="T231" s="10"/>
      <c r="U231" s="10"/>
      <c r="V231" s="10" t="s">
        <v>0</v>
      </c>
      <c r="W231" s="43">
        <f>568</f>
        <v>568</v>
      </c>
      <c r="X231" s="10">
        <v>3</v>
      </c>
    </row>
    <row r="232" spans="1:24" ht="64" x14ac:dyDescent="0.2">
      <c r="A232" s="9">
        <v>7</v>
      </c>
      <c r="B232" s="10" t="s">
        <v>748</v>
      </c>
      <c r="C232" s="10"/>
      <c r="D232" s="10"/>
      <c r="E232" s="10" t="s">
        <v>750</v>
      </c>
      <c r="F232" s="10"/>
      <c r="G232" s="10" t="s">
        <v>58</v>
      </c>
      <c r="H232" s="10"/>
      <c r="I232" s="10" t="s">
        <v>433</v>
      </c>
      <c r="J232" s="10" t="s">
        <v>781</v>
      </c>
      <c r="K232" s="10"/>
      <c r="L232" s="10">
        <v>1940</v>
      </c>
      <c r="M232" s="10">
        <v>3</v>
      </c>
      <c r="N232" s="10">
        <v>1</v>
      </c>
      <c r="O232" s="10"/>
      <c r="P232" s="10">
        <v>720</v>
      </c>
      <c r="Q232" s="10"/>
      <c r="R232" s="10"/>
      <c r="S232" s="10" t="s">
        <v>435</v>
      </c>
      <c r="T232" s="10"/>
      <c r="U232" s="10"/>
      <c r="V232" s="10" t="s">
        <v>0</v>
      </c>
      <c r="W232" s="43">
        <v>5</v>
      </c>
      <c r="X232" s="10">
        <v>3</v>
      </c>
    </row>
    <row r="233" spans="1:24" ht="64" x14ac:dyDescent="0.2">
      <c r="A233" s="9">
        <v>7</v>
      </c>
      <c r="B233" s="10" t="s">
        <v>748</v>
      </c>
      <c r="C233" s="10"/>
      <c r="D233" s="10"/>
      <c r="E233" s="10" t="s">
        <v>750</v>
      </c>
      <c r="F233" s="10"/>
      <c r="G233" s="10" t="s">
        <v>58</v>
      </c>
      <c r="H233" s="10"/>
      <c r="I233" s="10" t="s">
        <v>433</v>
      </c>
      <c r="J233" s="10" t="s">
        <v>781</v>
      </c>
      <c r="K233" s="10"/>
      <c r="L233" s="10">
        <v>1940</v>
      </c>
      <c r="M233" s="10">
        <v>3</v>
      </c>
      <c r="N233" s="10">
        <v>1</v>
      </c>
      <c r="O233" s="10"/>
      <c r="P233" s="10">
        <v>720</v>
      </c>
      <c r="Q233" s="10"/>
      <c r="R233" s="10"/>
      <c r="S233" s="10" t="s">
        <v>30</v>
      </c>
      <c r="T233" s="10"/>
      <c r="U233" s="10"/>
      <c r="V233" s="10" t="s">
        <v>0</v>
      </c>
      <c r="W233" s="43">
        <v>80</v>
      </c>
      <c r="X233" s="10">
        <v>3</v>
      </c>
    </row>
    <row r="234" spans="1:24" ht="64" x14ac:dyDescent="0.2">
      <c r="A234" s="9">
        <v>7</v>
      </c>
      <c r="B234" s="10" t="s">
        <v>748</v>
      </c>
      <c r="C234" s="10"/>
      <c r="D234" s="10"/>
      <c r="E234" s="10" t="s">
        <v>750</v>
      </c>
      <c r="F234" s="10"/>
      <c r="G234" s="10" t="s">
        <v>58</v>
      </c>
      <c r="H234" s="10"/>
      <c r="I234" s="10" t="s">
        <v>70</v>
      </c>
      <c r="J234" s="10" t="s">
        <v>780</v>
      </c>
      <c r="K234" s="10"/>
      <c r="L234" s="10">
        <v>1950</v>
      </c>
      <c r="M234" s="10">
        <v>5</v>
      </c>
      <c r="N234" s="10">
        <v>1</v>
      </c>
      <c r="O234" s="10"/>
      <c r="P234" s="10">
        <v>1300</v>
      </c>
      <c r="Q234" s="10"/>
      <c r="R234" s="10"/>
      <c r="S234" s="10" t="s">
        <v>67</v>
      </c>
      <c r="T234" s="10"/>
      <c r="U234" s="10"/>
      <c r="V234" s="10" t="s">
        <v>0</v>
      </c>
      <c r="W234" s="43">
        <v>10</v>
      </c>
      <c r="X234" s="10">
        <v>4</v>
      </c>
    </row>
    <row r="235" spans="1:24" ht="64" x14ac:dyDescent="0.2">
      <c r="A235" s="9">
        <v>7</v>
      </c>
      <c r="B235" s="10" t="s">
        <v>748</v>
      </c>
      <c r="C235" s="10"/>
      <c r="D235" s="10"/>
      <c r="E235" s="10" t="s">
        <v>750</v>
      </c>
      <c r="F235" s="10"/>
      <c r="G235" s="10" t="s">
        <v>58</v>
      </c>
      <c r="H235" s="10"/>
      <c r="I235" s="10" t="s">
        <v>70</v>
      </c>
      <c r="J235" s="10" t="s">
        <v>780</v>
      </c>
      <c r="K235" s="10"/>
      <c r="L235" s="10">
        <v>1950</v>
      </c>
      <c r="M235" s="10">
        <v>5</v>
      </c>
      <c r="N235" s="10">
        <v>1</v>
      </c>
      <c r="O235" s="10"/>
      <c r="P235" s="10">
        <v>1300</v>
      </c>
      <c r="Q235" s="10"/>
      <c r="R235" s="10"/>
      <c r="S235" s="10" t="s">
        <v>65</v>
      </c>
      <c r="T235" s="10"/>
      <c r="U235" s="10"/>
      <c r="V235" s="10" t="s">
        <v>0</v>
      </c>
      <c r="W235" s="43">
        <v>719</v>
      </c>
      <c r="X235" s="10">
        <v>4</v>
      </c>
    </row>
    <row r="236" spans="1:24" ht="64" x14ac:dyDescent="0.2">
      <c r="A236" s="9">
        <v>7</v>
      </c>
      <c r="B236" s="10" t="s">
        <v>748</v>
      </c>
      <c r="C236" s="10"/>
      <c r="D236" s="10"/>
      <c r="E236" s="10" t="s">
        <v>750</v>
      </c>
      <c r="F236" s="10"/>
      <c r="G236" s="10" t="s">
        <v>58</v>
      </c>
      <c r="H236" s="10"/>
      <c r="I236" s="10" t="s">
        <v>70</v>
      </c>
      <c r="J236" s="10" t="s">
        <v>780</v>
      </c>
      <c r="K236" s="10"/>
      <c r="L236" s="10">
        <v>1950</v>
      </c>
      <c r="M236" s="10">
        <v>5</v>
      </c>
      <c r="N236" s="10">
        <v>1</v>
      </c>
      <c r="O236" s="10"/>
      <c r="P236" s="10">
        <v>1300</v>
      </c>
      <c r="Q236" s="10"/>
      <c r="R236" s="10"/>
      <c r="S236" s="10" t="s">
        <v>435</v>
      </c>
      <c r="T236" s="10"/>
      <c r="U236" s="10"/>
      <c r="V236" s="10" t="s">
        <v>0</v>
      </c>
      <c r="W236" s="43">
        <v>4</v>
      </c>
      <c r="X236" s="10">
        <v>4</v>
      </c>
    </row>
    <row r="237" spans="1:24" ht="64" x14ac:dyDescent="0.2">
      <c r="A237" s="9">
        <v>7</v>
      </c>
      <c r="B237" s="10" t="s">
        <v>748</v>
      </c>
      <c r="C237" s="10"/>
      <c r="D237" s="10"/>
      <c r="E237" s="10" t="s">
        <v>750</v>
      </c>
      <c r="F237" s="10"/>
      <c r="G237" s="10" t="s">
        <v>58</v>
      </c>
      <c r="H237" s="10"/>
      <c r="I237" s="10" t="s">
        <v>70</v>
      </c>
      <c r="J237" s="10" t="s">
        <v>780</v>
      </c>
      <c r="K237" s="10"/>
      <c r="L237" s="10">
        <v>1950</v>
      </c>
      <c r="M237" s="10">
        <v>5</v>
      </c>
      <c r="N237" s="10">
        <v>1</v>
      </c>
      <c r="O237" s="10"/>
      <c r="P237" s="10">
        <v>1300</v>
      </c>
      <c r="Q237" s="10"/>
      <c r="R237" s="10"/>
      <c r="S237" s="10" t="s">
        <v>30</v>
      </c>
      <c r="T237" s="10"/>
      <c r="U237" s="10"/>
      <c r="V237" s="10" t="s">
        <v>0</v>
      </c>
      <c r="W237" s="43">
        <v>14</v>
      </c>
      <c r="X237" s="10">
        <v>4</v>
      </c>
    </row>
    <row r="238" spans="1:24" ht="64" x14ac:dyDescent="0.2">
      <c r="A238" s="9">
        <v>7</v>
      </c>
      <c r="B238" s="10" t="s">
        <v>748</v>
      </c>
      <c r="C238" s="10"/>
      <c r="D238" s="10"/>
      <c r="E238" s="10" t="s">
        <v>750</v>
      </c>
      <c r="F238" s="10"/>
      <c r="G238" s="10" t="s">
        <v>58</v>
      </c>
      <c r="H238" s="10"/>
      <c r="I238" s="10" t="s">
        <v>433</v>
      </c>
      <c r="J238" s="10" t="s">
        <v>779</v>
      </c>
      <c r="K238" s="10"/>
      <c r="L238" s="10">
        <v>1960</v>
      </c>
      <c r="M238" s="10">
        <v>3</v>
      </c>
      <c r="N238" s="10">
        <v>1</v>
      </c>
      <c r="O238" s="10"/>
      <c r="P238" s="10">
        <v>600</v>
      </c>
      <c r="Q238" s="10"/>
      <c r="R238" s="10"/>
      <c r="S238" s="10" t="s">
        <v>67</v>
      </c>
      <c r="T238" s="10"/>
      <c r="U238" s="10"/>
      <c r="V238" s="10" t="s">
        <v>0</v>
      </c>
      <c r="W238" s="43">
        <f>16+7</f>
        <v>23</v>
      </c>
      <c r="X238" s="10">
        <v>3</v>
      </c>
    </row>
    <row r="239" spans="1:24" ht="64" x14ac:dyDescent="0.2">
      <c r="A239" s="9">
        <v>7</v>
      </c>
      <c r="B239" s="10" t="s">
        <v>748</v>
      </c>
      <c r="C239" s="10"/>
      <c r="D239" s="10"/>
      <c r="E239" s="10" t="s">
        <v>750</v>
      </c>
      <c r="F239" s="10"/>
      <c r="G239" s="10" t="s">
        <v>58</v>
      </c>
      <c r="H239" s="10"/>
      <c r="I239" s="10" t="s">
        <v>433</v>
      </c>
      <c r="J239" s="10" t="s">
        <v>779</v>
      </c>
      <c r="K239" s="10"/>
      <c r="L239" s="10">
        <v>1960</v>
      </c>
      <c r="M239" s="10">
        <v>3</v>
      </c>
      <c r="N239" s="10">
        <v>1</v>
      </c>
      <c r="O239" s="10"/>
      <c r="P239" s="10">
        <v>600</v>
      </c>
      <c r="Q239" s="10"/>
      <c r="R239" s="10"/>
      <c r="S239" s="10" t="s">
        <v>65</v>
      </c>
      <c r="T239" s="10"/>
      <c r="U239" s="10"/>
      <c r="V239" s="10" t="s">
        <v>0</v>
      </c>
      <c r="W239" s="43">
        <v>589</v>
      </c>
      <c r="X239" s="10">
        <v>3</v>
      </c>
    </row>
    <row r="240" spans="1:24" ht="64" x14ac:dyDescent="0.2">
      <c r="A240" s="9">
        <v>7</v>
      </c>
      <c r="B240" s="10" t="s">
        <v>748</v>
      </c>
      <c r="C240" s="10"/>
      <c r="D240" s="10"/>
      <c r="E240" s="10" t="s">
        <v>750</v>
      </c>
      <c r="F240" s="10"/>
      <c r="G240" s="10" t="s">
        <v>58</v>
      </c>
      <c r="H240" s="10"/>
      <c r="I240" s="10" t="s">
        <v>433</v>
      </c>
      <c r="J240" s="10" t="s">
        <v>779</v>
      </c>
      <c r="K240" s="10"/>
      <c r="L240" s="10">
        <v>1960</v>
      </c>
      <c r="M240" s="10">
        <v>3</v>
      </c>
      <c r="N240" s="10">
        <v>1</v>
      </c>
      <c r="O240" s="10"/>
      <c r="P240" s="10">
        <v>600</v>
      </c>
      <c r="Q240" s="10"/>
      <c r="R240" s="10"/>
      <c r="S240" s="10" t="s">
        <v>435</v>
      </c>
      <c r="T240" s="10"/>
      <c r="U240" s="10"/>
      <c r="V240" s="10" t="s">
        <v>0</v>
      </c>
      <c r="W240" s="43">
        <v>2</v>
      </c>
      <c r="X240" s="10">
        <v>3</v>
      </c>
    </row>
    <row r="241" spans="1:24" ht="64" x14ac:dyDescent="0.2">
      <c r="A241" s="9">
        <v>7</v>
      </c>
      <c r="B241" s="10" t="s">
        <v>748</v>
      </c>
      <c r="C241" s="10"/>
      <c r="D241" s="10"/>
      <c r="E241" s="10" t="s">
        <v>750</v>
      </c>
      <c r="F241" s="10"/>
      <c r="G241" s="10" t="s">
        <v>58</v>
      </c>
      <c r="H241" s="10"/>
      <c r="I241" s="10" t="s">
        <v>433</v>
      </c>
      <c r="J241" s="10" t="s">
        <v>779</v>
      </c>
      <c r="K241" s="10"/>
      <c r="L241" s="10">
        <v>1960</v>
      </c>
      <c r="M241" s="10">
        <v>3</v>
      </c>
      <c r="N241" s="10">
        <v>1</v>
      </c>
      <c r="O241" s="10"/>
      <c r="P241" s="10">
        <v>600</v>
      </c>
      <c r="Q241" s="10"/>
      <c r="R241" s="10"/>
      <c r="S241" s="10" t="s">
        <v>30</v>
      </c>
      <c r="T241" s="10"/>
      <c r="U241" s="10"/>
      <c r="V241" s="10" t="s">
        <v>0</v>
      </c>
      <c r="W241" s="43">
        <v>133</v>
      </c>
      <c r="X241" s="10">
        <v>3</v>
      </c>
    </row>
    <row r="242" spans="1:24" ht="64" x14ac:dyDescent="0.2">
      <c r="A242" s="9">
        <v>7</v>
      </c>
      <c r="B242" s="10" t="s">
        <v>748</v>
      </c>
      <c r="C242" s="10"/>
      <c r="D242" s="10"/>
      <c r="E242" s="10" t="s">
        <v>750</v>
      </c>
      <c r="F242" s="10"/>
      <c r="G242" s="10" t="s">
        <v>58</v>
      </c>
      <c r="H242" s="10"/>
      <c r="I242" s="10" t="s">
        <v>433</v>
      </c>
      <c r="J242" s="10" t="s">
        <v>778</v>
      </c>
      <c r="K242" s="10"/>
      <c r="L242" s="10">
        <v>1960</v>
      </c>
      <c r="M242" s="10">
        <v>3</v>
      </c>
      <c r="N242" s="10">
        <v>1</v>
      </c>
      <c r="O242" s="10"/>
      <c r="P242" s="10">
        <v>528</v>
      </c>
      <c r="Q242" s="10"/>
      <c r="R242" s="10"/>
      <c r="S242" s="10" t="s">
        <v>67</v>
      </c>
      <c r="T242" s="10"/>
      <c r="U242" s="10"/>
      <c r="V242" s="10" t="s">
        <v>0</v>
      </c>
      <c r="W242" s="43">
        <f>7.5+0.4</f>
        <v>7.9</v>
      </c>
      <c r="X242" s="10">
        <v>3</v>
      </c>
    </row>
    <row r="243" spans="1:24" ht="64" x14ac:dyDescent="0.2">
      <c r="A243" s="9">
        <v>7</v>
      </c>
      <c r="B243" s="10" t="s">
        <v>748</v>
      </c>
      <c r="C243" s="10"/>
      <c r="D243" s="10"/>
      <c r="E243" s="10" t="s">
        <v>750</v>
      </c>
      <c r="F243" s="10"/>
      <c r="G243" s="10" t="s">
        <v>58</v>
      </c>
      <c r="H243" s="10"/>
      <c r="I243" s="10" t="s">
        <v>433</v>
      </c>
      <c r="J243" s="10" t="s">
        <v>778</v>
      </c>
      <c r="K243" s="10"/>
      <c r="L243" s="10">
        <v>1960</v>
      </c>
      <c r="M243" s="10">
        <v>3</v>
      </c>
      <c r="N243" s="10">
        <v>1</v>
      </c>
      <c r="O243" s="10"/>
      <c r="P243" s="10">
        <v>528</v>
      </c>
      <c r="Q243" s="10"/>
      <c r="R243" s="10"/>
      <c r="S243" s="10" t="s">
        <v>65</v>
      </c>
      <c r="T243" s="10"/>
      <c r="U243" s="10"/>
      <c r="V243" s="10" t="s">
        <v>0</v>
      </c>
      <c r="W243" s="43">
        <v>940</v>
      </c>
      <c r="X243" s="10">
        <v>3</v>
      </c>
    </row>
    <row r="244" spans="1:24" ht="64" x14ac:dyDescent="0.2">
      <c r="A244" s="9">
        <v>7</v>
      </c>
      <c r="B244" s="10" t="s">
        <v>748</v>
      </c>
      <c r="C244" s="10"/>
      <c r="D244" s="10"/>
      <c r="E244" s="10" t="s">
        <v>750</v>
      </c>
      <c r="F244" s="10"/>
      <c r="G244" s="10" t="s">
        <v>58</v>
      </c>
      <c r="H244" s="10"/>
      <c r="I244" s="10" t="s">
        <v>433</v>
      </c>
      <c r="J244" s="10" t="s">
        <v>778</v>
      </c>
      <c r="K244" s="10"/>
      <c r="L244" s="10">
        <v>1960</v>
      </c>
      <c r="M244" s="10">
        <v>3</v>
      </c>
      <c r="N244" s="10">
        <v>1</v>
      </c>
      <c r="O244" s="10"/>
      <c r="P244" s="10">
        <v>528</v>
      </c>
      <c r="Q244" s="10"/>
      <c r="R244" s="10"/>
      <c r="S244" s="10" t="s">
        <v>435</v>
      </c>
      <c r="T244" s="10"/>
      <c r="U244" s="10"/>
      <c r="V244" s="10" t="s">
        <v>0</v>
      </c>
      <c r="W244" s="43">
        <v>3</v>
      </c>
      <c r="X244" s="10">
        <v>3</v>
      </c>
    </row>
    <row r="245" spans="1:24" ht="64" x14ac:dyDescent="0.2">
      <c r="A245" s="9">
        <v>7</v>
      </c>
      <c r="B245" s="10" t="s">
        <v>748</v>
      </c>
      <c r="C245" s="10"/>
      <c r="D245" s="10"/>
      <c r="E245" s="10" t="s">
        <v>750</v>
      </c>
      <c r="F245" s="10"/>
      <c r="G245" s="10" t="s">
        <v>58</v>
      </c>
      <c r="H245" s="10"/>
      <c r="I245" s="10" t="s">
        <v>433</v>
      </c>
      <c r="J245" s="10" t="s">
        <v>778</v>
      </c>
      <c r="K245" s="10"/>
      <c r="L245" s="10">
        <v>1960</v>
      </c>
      <c r="M245" s="10">
        <v>3</v>
      </c>
      <c r="N245" s="10">
        <v>1</v>
      </c>
      <c r="O245" s="10"/>
      <c r="P245" s="10">
        <v>528</v>
      </c>
      <c r="Q245" s="10"/>
      <c r="R245" s="10"/>
      <c r="S245" s="10" t="s">
        <v>30</v>
      </c>
      <c r="T245" s="10"/>
      <c r="U245" s="10"/>
      <c r="V245" s="10" t="s">
        <v>0</v>
      </c>
      <c r="W245" s="43">
        <v>130</v>
      </c>
      <c r="X245" s="10">
        <v>3</v>
      </c>
    </row>
    <row r="246" spans="1:24" ht="64" x14ac:dyDescent="0.2">
      <c r="A246" s="9">
        <v>7</v>
      </c>
      <c r="B246" s="10" t="s">
        <v>748</v>
      </c>
      <c r="C246" s="10"/>
      <c r="D246" s="10"/>
      <c r="E246" s="10" t="s">
        <v>750</v>
      </c>
      <c r="F246" s="10"/>
      <c r="G246" s="10" t="s">
        <v>58</v>
      </c>
      <c r="H246" s="10"/>
      <c r="I246" s="10" t="s">
        <v>433</v>
      </c>
      <c r="J246" s="10" t="s">
        <v>777</v>
      </c>
      <c r="K246" s="10"/>
      <c r="L246" s="10">
        <v>1960</v>
      </c>
      <c r="M246" s="10">
        <v>3</v>
      </c>
      <c r="N246" s="10">
        <v>1</v>
      </c>
      <c r="O246" s="10"/>
      <c r="P246" s="10">
        <v>1152</v>
      </c>
      <c r="Q246" s="10"/>
      <c r="R246" s="10"/>
      <c r="S246" s="10" t="s">
        <v>67</v>
      </c>
      <c r="T246" s="10"/>
      <c r="U246" s="10"/>
      <c r="V246" s="10" t="s">
        <v>0</v>
      </c>
      <c r="W246" s="43">
        <f>16+6</f>
        <v>22</v>
      </c>
      <c r="X246" s="10">
        <v>3</v>
      </c>
    </row>
    <row r="247" spans="1:24" ht="64" x14ac:dyDescent="0.2">
      <c r="A247" s="9">
        <v>7</v>
      </c>
      <c r="B247" s="10" t="s">
        <v>748</v>
      </c>
      <c r="C247" s="10"/>
      <c r="D247" s="10"/>
      <c r="E247" s="10" t="s">
        <v>750</v>
      </c>
      <c r="F247" s="10"/>
      <c r="G247" s="10" t="s">
        <v>58</v>
      </c>
      <c r="H247" s="10"/>
      <c r="I247" s="10" t="s">
        <v>433</v>
      </c>
      <c r="J247" s="10" t="s">
        <v>777</v>
      </c>
      <c r="K247" s="10"/>
      <c r="L247" s="10">
        <v>1960</v>
      </c>
      <c r="M247" s="10">
        <v>3</v>
      </c>
      <c r="N247" s="10">
        <v>1</v>
      </c>
      <c r="O247" s="10"/>
      <c r="P247" s="10">
        <v>1152</v>
      </c>
      <c r="Q247" s="10"/>
      <c r="R247" s="10"/>
      <c r="S247" s="10" t="s">
        <v>65</v>
      </c>
      <c r="T247" s="10"/>
      <c r="U247" s="10"/>
      <c r="V247" s="10" t="s">
        <v>0</v>
      </c>
      <c r="W247" s="43">
        <v>746</v>
      </c>
      <c r="X247" s="10">
        <v>3</v>
      </c>
    </row>
    <row r="248" spans="1:24" ht="64" x14ac:dyDescent="0.2">
      <c r="A248" s="9">
        <v>7</v>
      </c>
      <c r="B248" s="10" t="s">
        <v>748</v>
      </c>
      <c r="C248" s="10"/>
      <c r="D248" s="10"/>
      <c r="E248" s="10" t="s">
        <v>750</v>
      </c>
      <c r="F248" s="10"/>
      <c r="G248" s="10" t="s">
        <v>58</v>
      </c>
      <c r="H248" s="10"/>
      <c r="I248" s="10" t="s">
        <v>433</v>
      </c>
      <c r="J248" s="10" t="s">
        <v>777</v>
      </c>
      <c r="K248" s="10"/>
      <c r="L248" s="10">
        <v>1960</v>
      </c>
      <c r="M248" s="10">
        <v>3</v>
      </c>
      <c r="N248" s="10">
        <v>1</v>
      </c>
      <c r="O248" s="10"/>
      <c r="P248" s="10">
        <v>1152</v>
      </c>
      <c r="Q248" s="10"/>
      <c r="R248" s="10"/>
      <c r="S248" s="10" t="s">
        <v>435</v>
      </c>
      <c r="T248" s="10"/>
      <c r="U248" s="10"/>
      <c r="V248" s="10" t="s">
        <v>0</v>
      </c>
      <c r="W248" s="43">
        <v>3</v>
      </c>
      <c r="X248" s="10">
        <v>3</v>
      </c>
    </row>
    <row r="249" spans="1:24" ht="64" x14ac:dyDescent="0.2">
      <c r="A249" s="9">
        <v>7</v>
      </c>
      <c r="B249" s="10" t="s">
        <v>748</v>
      </c>
      <c r="C249" s="10"/>
      <c r="D249" s="10"/>
      <c r="E249" s="10" t="s">
        <v>750</v>
      </c>
      <c r="F249" s="10"/>
      <c r="G249" s="10" t="s">
        <v>58</v>
      </c>
      <c r="H249" s="10"/>
      <c r="I249" s="10" t="s">
        <v>433</v>
      </c>
      <c r="J249" s="10" t="s">
        <v>777</v>
      </c>
      <c r="K249" s="10"/>
      <c r="L249" s="10">
        <v>1960</v>
      </c>
      <c r="M249" s="10">
        <v>3</v>
      </c>
      <c r="N249" s="10">
        <v>1</v>
      </c>
      <c r="O249" s="10"/>
      <c r="P249" s="10">
        <v>1152</v>
      </c>
      <c r="Q249" s="10"/>
      <c r="R249" s="10"/>
      <c r="S249" s="10" t="s">
        <v>30</v>
      </c>
      <c r="T249" s="10"/>
      <c r="U249" s="10"/>
      <c r="V249" s="10" t="s">
        <v>0</v>
      </c>
      <c r="W249" s="43">
        <v>180</v>
      </c>
      <c r="X249" s="10">
        <v>3</v>
      </c>
    </row>
    <row r="250" spans="1:24" ht="64" x14ac:dyDescent="0.2">
      <c r="A250" s="9">
        <v>7</v>
      </c>
      <c r="B250" s="10" t="s">
        <v>748</v>
      </c>
      <c r="C250" s="10"/>
      <c r="D250" s="10"/>
      <c r="E250" s="10" t="s">
        <v>750</v>
      </c>
      <c r="F250" s="10"/>
      <c r="G250" s="10" t="s">
        <v>58</v>
      </c>
      <c r="H250" s="10"/>
      <c r="I250" s="10" t="s">
        <v>70</v>
      </c>
      <c r="J250" s="10" t="s">
        <v>776</v>
      </c>
      <c r="K250" s="10"/>
      <c r="L250" s="10">
        <v>1960</v>
      </c>
      <c r="M250" s="10">
        <v>10</v>
      </c>
      <c r="N250" s="10">
        <v>1</v>
      </c>
      <c r="O250" s="10"/>
      <c r="P250" s="10">
        <v>3344</v>
      </c>
      <c r="Q250" s="10"/>
      <c r="R250" s="10"/>
      <c r="S250" s="10" t="s">
        <v>67</v>
      </c>
      <c r="T250" s="10"/>
      <c r="U250" s="10"/>
      <c r="V250" s="10" t="s">
        <v>0</v>
      </c>
      <c r="W250" s="43">
        <f>2.2+12</f>
        <v>14.2</v>
      </c>
      <c r="X250" s="10">
        <v>4</v>
      </c>
    </row>
    <row r="251" spans="1:24" ht="64" x14ac:dyDescent="0.2">
      <c r="A251" s="9">
        <v>7</v>
      </c>
      <c r="B251" s="10" t="s">
        <v>748</v>
      </c>
      <c r="C251" s="10"/>
      <c r="D251" s="10"/>
      <c r="E251" s="10" t="s">
        <v>750</v>
      </c>
      <c r="F251" s="10"/>
      <c r="G251" s="10" t="s">
        <v>58</v>
      </c>
      <c r="H251" s="10"/>
      <c r="I251" s="10" t="s">
        <v>70</v>
      </c>
      <c r="J251" s="10" t="s">
        <v>776</v>
      </c>
      <c r="K251" s="10"/>
      <c r="L251" s="10">
        <v>1960</v>
      </c>
      <c r="M251" s="10">
        <v>10</v>
      </c>
      <c r="N251" s="10">
        <v>1</v>
      </c>
      <c r="O251" s="10"/>
      <c r="P251" s="10">
        <v>3344</v>
      </c>
      <c r="Q251" s="10"/>
      <c r="R251" s="10"/>
      <c r="S251" s="10" t="s">
        <v>65</v>
      </c>
      <c r="T251" s="10"/>
      <c r="U251" s="10"/>
      <c r="V251" s="10" t="s">
        <v>0</v>
      </c>
      <c r="W251" s="43">
        <v>689</v>
      </c>
      <c r="X251" s="10">
        <v>4</v>
      </c>
    </row>
    <row r="252" spans="1:24" ht="64" x14ac:dyDescent="0.2">
      <c r="A252" s="9">
        <v>7</v>
      </c>
      <c r="B252" s="10" t="s">
        <v>748</v>
      </c>
      <c r="C252" s="10"/>
      <c r="D252" s="10"/>
      <c r="E252" s="10" t="s">
        <v>750</v>
      </c>
      <c r="F252" s="10"/>
      <c r="G252" s="10" t="s">
        <v>58</v>
      </c>
      <c r="H252" s="10"/>
      <c r="I252" s="10" t="s">
        <v>70</v>
      </c>
      <c r="J252" s="10" t="s">
        <v>776</v>
      </c>
      <c r="K252" s="10"/>
      <c r="L252" s="10">
        <v>1960</v>
      </c>
      <c r="M252" s="10">
        <v>10</v>
      </c>
      <c r="N252" s="10">
        <v>1</v>
      </c>
      <c r="O252" s="10"/>
      <c r="P252" s="10">
        <v>3344</v>
      </c>
      <c r="Q252" s="10"/>
      <c r="R252" s="10"/>
      <c r="S252" s="10" t="s">
        <v>435</v>
      </c>
      <c r="T252" s="10"/>
      <c r="U252" s="10"/>
      <c r="V252" s="10" t="s">
        <v>0</v>
      </c>
      <c r="W252" s="43">
        <v>2</v>
      </c>
      <c r="X252" s="10">
        <v>4</v>
      </c>
    </row>
    <row r="253" spans="1:24" ht="64" x14ac:dyDescent="0.2">
      <c r="A253" s="9">
        <v>7</v>
      </c>
      <c r="B253" s="10" t="s">
        <v>748</v>
      </c>
      <c r="C253" s="10"/>
      <c r="D253" s="10"/>
      <c r="E253" s="10" t="s">
        <v>750</v>
      </c>
      <c r="F253" s="10"/>
      <c r="G253" s="10" t="s">
        <v>58</v>
      </c>
      <c r="H253" s="10"/>
      <c r="I253" s="10" t="s">
        <v>70</v>
      </c>
      <c r="J253" s="10" t="s">
        <v>776</v>
      </c>
      <c r="K253" s="10"/>
      <c r="L253" s="10">
        <v>1960</v>
      </c>
      <c r="M253" s="10">
        <v>10</v>
      </c>
      <c r="N253" s="10">
        <v>1</v>
      </c>
      <c r="O253" s="10"/>
      <c r="P253" s="10">
        <v>3344</v>
      </c>
      <c r="Q253" s="10"/>
      <c r="R253" s="10"/>
      <c r="S253" s="10" t="s">
        <v>30</v>
      </c>
      <c r="T253" s="10"/>
      <c r="U253" s="10"/>
      <c r="V253" s="10" t="s">
        <v>0</v>
      </c>
      <c r="W253" s="43">
        <v>70</v>
      </c>
      <c r="X253" s="10">
        <v>4</v>
      </c>
    </row>
    <row r="254" spans="1:24" ht="64" x14ac:dyDescent="0.2">
      <c r="A254" s="9">
        <v>7</v>
      </c>
      <c r="B254" s="10" t="s">
        <v>748</v>
      </c>
      <c r="C254" s="10"/>
      <c r="D254" s="10"/>
      <c r="E254" s="10" t="s">
        <v>750</v>
      </c>
      <c r="F254" s="10"/>
      <c r="G254" s="10" t="s">
        <v>58</v>
      </c>
      <c r="H254" s="10"/>
      <c r="I254" s="10" t="s">
        <v>70</v>
      </c>
      <c r="J254" s="10" t="s">
        <v>775</v>
      </c>
      <c r="K254" s="10"/>
      <c r="L254" s="10">
        <v>1970</v>
      </c>
      <c r="M254" s="10">
        <v>9</v>
      </c>
      <c r="N254" s="10">
        <v>1</v>
      </c>
      <c r="O254" s="10"/>
      <c r="P254" s="10">
        <v>1760</v>
      </c>
      <c r="Q254" s="10"/>
      <c r="R254" s="10"/>
      <c r="S254" s="10" t="s">
        <v>67</v>
      </c>
      <c r="T254" s="10"/>
      <c r="U254" s="10"/>
      <c r="V254" s="10" t="s">
        <v>0</v>
      </c>
      <c r="W254" s="43">
        <f>26+1</f>
        <v>27</v>
      </c>
      <c r="X254" s="10">
        <v>4</v>
      </c>
    </row>
    <row r="255" spans="1:24" ht="64" x14ac:dyDescent="0.2">
      <c r="A255" s="9">
        <v>7</v>
      </c>
      <c r="B255" s="10" t="s">
        <v>748</v>
      </c>
      <c r="C255" s="10"/>
      <c r="D255" s="10"/>
      <c r="E255" s="10" t="s">
        <v>750</v>
      </c>
      <c r="F255" s="10"/>
      <c r="G255" s="10" t="s">
        <v>58</v>
      </c>
      <c r="H255" s="10"/>
      <c r="I255" s="10" t="s">
        <v>70</v>
      </c>
      <c r="J255" s="10" t="s">
        <v>775</v>
      </c>
      <c r="K255" s="10"/>
      <c r="L255" s="10">
        <v>1970</v>
      </c>
      <c r="M255" s="10">
        <v>9</v>
      </c>
      <c r="N255" s="10">
        <v>1</v>
      </c>
      <c r="O255" s="10"/>
      <c r="P255" s="10">
        <v>1760</v>
      </c>
      <c r="Q255" s="10"/>
      <c r="R255" s="10"/>
      <c r="S255" s="10" t="s">
        <v>65</v>
      </c>
      <c r="T255" s="10"/>
      <c r="U255" s="10"/>
      <c r="V255" s="10" t="s">
        <v>0</v>
      </c>
      <c r="W255" s="43">
        <v>613</v>
      </c>
      <c r="X255" s="10">
        <v>4</v>
      </c>
    </row>
    <row r="256" spans="1:24" ht="64" x14ac:dyDescent="0.2">
      <c r="A256" s="9">
        <v>7</v>
      </c>
      <c r="B256" s="10" t="s">
        <v>748</v>
      </c>
      <c r="C256" s="10"/>
      <c r="D256" s="10"/>
      <c r="E256" s="10" t="s">
        <v>750</v>
      </c>
      <c r="F256" s="10"/>
      <c r="G256" s="10" t="s">
        <v>58</v>
      </c>
      <c r="H256" s="10"/>
      <c r="I256" s="10" t="s">
        <v>70</v>
      </c>
      <c r="J256" s="10" t="s">
        <v>775</v>
      </c>
      <c r="K256" s="10"/>
      <c r="L256" s="10">
        <v>1970</v>
      </c>
      <c r="M256" s="10">
        <v>9</v>
      </c>
      <c r="N256" s="10">
        <v>1</v>
      </c>
      <c r="O256" s="10"/>
      <c r="P256" s="10">
        <v>1760</v>
      </c>
      <c r="Q256" s="10"/>
      <c r="R256" s="10"/>
      <c r="S256" s="10" t="s">
        <v>435</v>
      </c>
      <c r="T256" s="10"/>
      <c r="U256" s="10"/>
      <c r="V256" s="10" t="s">
        <v>0</v>
      </c>
      <c r="W256" s="43">
        <v>4</v>
      </c>
      <c r="X256" s="10">
        <v>4</v>
      </c>
    </row>
    <row r="257" spans="1:24" ht="64" x14ac:dyDescent="0.2">
      <c r="A257" s="9">
        <v>7</v>
      </c>
      <c r="B257" s="10" t="s">
        <v>748</v>
      </c>
      <c r="C257" s="10"/>
      <c r="D257" s="10"/>
      <c r="E257" s="10" t="s">
        <v>750</v>
      </c>
      <c r="F257" s="10"/>
      <c r="G257" s="10" t="s">
        <v>58</v>
      </c>
      <c r="H257" s="10"/>
      <c r="I257" s="10" t="s">
        <v>70</v>
      </c>
      <c r="J257" s="10" t="s">
        <v>775</v>
      </c>
      <c r="K257" s="10"/>
      <c r="L257" s="10">
        <v>1970</v>
      </c>
      <c r="M257" s="10">
        <v>9</v>
      </c>
      <c r="N257" s="10">
        <v>1</v>
      </c>
      <c r="O257" s="10"/>
      <c r="P257" s="10">
        <v>1760</v>
      </c>
      <c r="Q257" s="10"/>
      <c r="R257" s="10"/>
      <c r="S257" s="10" t="s">
        <v>30</v>
      </c>
      <c r="T257" s="10"/>
      <c r="U257" s="10"/>
      <c r="V257" s="10" t="s">
        <v>0</v>
      </c>
      <c r="W257" s="43">
        <v>143</v>
      </c>
      <c r="X257" s="10">
        <v>4</v>
      </c>
    </row>
    <row r="258" spans="1:24" ht="64" x14ac:dyDescent="0.2">
      <c r="A258" s="9">
        <v>7</v>
      </c>
      <c r="B258" s="10" t="s">
        <v>748</v>
      </c>
      <c r="C258" s="10"/>
      <c r="D258" s="10"/>
      <c r="E258" s="10" t="s">
        <v>750</v>
      </c>
      <c r="F258" s="10"/>
      <c r="G258" s="10" t="s">
        <v>58</v>
      </c>
      <c r="H258" s="10"/>
      <c r="I258" s="10" t="s">
        <v>70</v>
      </c>
      <c r="J258" s="10" t="s">
        <v>774</v>
      </c>
      <c r="K258" s="10"/>
      <c r="L258" s="10">
        <v>1970</v>
      </c>
      <c r="M258" s="10">
        <v>9</v>
      </c>
      <c r="N258" s="10">
        <v>1</v>
      </c>
      <c r="O258" s="10"/>
      <c r="P258" s="10">
        <v>2840</v>
      </c>
      <c r="Q258" s="10"/>
      <c r="R258" s="10"/>
      <c r="S258" s="10" t="s">
        <v>67</v>
      </c>
      <c r="T258" s="10"/>
      <c r="U258" s="10"/>
      <c r="V258" s="10" t="s">
        <v>0</v>
      </c>
      <c r="W258" s="43">
        <f>7.5</f>
        <v>7.5</v>
      </c>
      <c r="X258" s="10">
        <v>4</v>
      </c>
    </row>
    <row r="259" spans="1:24" ht="64" x14ac:dyDescent="0.2">
      <c r="A259" s="9">
        <v>7</v>
      </c>
      <c r="B259" s="10" t="s">
        <v>748</v>
      </c>
      <c r="C259" s="10"/>
      <c r="D259" s="10"/>
      <c r="E259" s="10" t="s">
        <v>750</v>
      </c>
      <c r="F259" s="10"/>
      <c r="G259" s="10" t="s">
        <v>58</v>
      </c>
      <c r="H259" s="10"/>
      <c r="I259" s="10" t="s">
        <v>70</v>
      </c>
      <c r="J259" s="10" t="s">
        <v>774</v>
      </c>
      <c r="K259" s="10"/>
      <c r="L259" s="10">
        <v>1970</v>
      </c>
      <c r="M259" s="10">
        <v>9</v>
      </c>
      <c r="N259" s="10">
        <v>1</v>
      </c>
      <c r="O259" s="10"/>
      <c r="P259" s="10">
        <v>2840</v>
      </c>
      <c r="Q259" s="10"/>
      <c r="R259" s="10"/>
      <c r="S259" s="10" t="s">
        <v>65</v>
      </c>
      <c r="T259" s="10"/>
      <c r="U259" s="10"/>
      <c r="V259" s="10" t="s">
        <v>0</v>
      </c>
      <c r="W259" s="43">
        <v>731</v>
      </c>
      <c r="X259" s="10">
        <v>4</v>
      </c>
    </row>
    <row r="260" spans="1:24" ht="64" x14ac:dyDescent="0.2">
      <c r="A260" s="9">
        <v>7</v>
      </c>
      <c r="B260" s="10" t="s">
        <v>748</v>
      </c>
      <c r="C260" s="10"/>
      <c r="D260" s="10"/>
      <c r="E260" s="10" t="s">
        <v>750</v>
      </c>
      <c r="F260" s="10"/>
      <c r="G260" s="10" t="s">
        <v>58</v>
      </c>
      <c r="H260" s="10"/>
      <c r="I260" s="10" t="s">
        <v>70</v>
      </c>
      <c r="J260" s="10" t="s">
        <v>774</v>
      </c>
      <c r="K260" s="10"/>
      <c r="L260" s="10">
        <v>1970</v>
      </c>
      <c r="M260" s="10">
        <v>9</v>
      </c>
      <c r="N260" s="10">
        <v>1</v>
      </c>
      <c r="O260" s="10"/>
      <c r="P260" s="10">
        <v>2840</v>
      </c>
      <c r="Q260" s="10"/>
      <c r="R260" s="10"/>
      <c r="S260" s="10" t="s">
        <v>435</v>
      </c>
      <c r="T260" s="10"/>
      <c r="U260" s="10"/>
      <c r="V260" s="10" t="s">
        <v>0</v>
      </c>
      <c r="W260" s="43">
        <v>5</v>
      </c>
      <c r="X260" s="10">
        <v>4</v>
      </c>
    </row>
    <row r="261" spans="1:24" ht="64" x14ac:dyDescent="0.2">
      <c r="A261" s="9">
        <v>7</v>
      </c>
      <c r="B261" s="10" t="s">
        <v>748</v>
      </c>
      <c r="C261" s="10"/>
      <c r="D261" s="10"/>
      <c r="E261" s="10" t="s">
        <v>750</v>
      </c>
      <c r="F261" s="10"/>
      <c r="G261" s="10" t="s">
        <v>58</v>
      </c>
      <c r="H261" s="10"/>
      <c r="I261" s="10" t="s">
        <v>70</v>
      </c>
      <c r="J261" s="10" t="s">
        <v>774</v>
      </c>
      <c r="K261" s="10"/>
      <c r="L261" s="10">
        <v>1970</v>
      </c>
      <c r="M261" s="10">
        <v>6</v>
      </c>
      <c r="N261" s="10">
        <v>1</v>
      </c>
      <c r="O261" s="10"/>
      <c r="P261" s="10">
        <v>2840</v>
      </c>
      <c r="Q261" s="10"/>
      <c r="R261" s="10"/>
      <c r="S261" s="10" t="s">
        <v>30</v>
      </c>
      <c r="T261" s="10"/>
      <c r="U261" s="10"/>
      <c r="V261" s="10" t="s">
        <v>0</v>
      </c>
      <c r="W261" s="43">
        <v>259</v>
      </c>
      <c r="X261" s="10">
        <v>4</v>
      </c>
    </row>
    <row r="262" spans="1:24" ht="64" x14ac:dyDescent="0.2">
      <c r="A262" s="9">
        <v>7</v>
      </c>
      <c r="B262" s="10" t="s">
        <v>748</v>
      </c>
      <c r="C262" s="10"/>
      <c r="D262" s="10"/>
      <c r="E262" s="10" t="s">
        <v>750</v>
      </c>
      <c r="F262" s="10"/>
      <c r="G262" s="10" t="s">
        <v>58</v>
      </c>
      <c r="H262" s="10"/>
      <c r="I262" s="10" t="s">
        <v>70</v>
      </c>
      <c r="J262" s="10" t="s">
        <v>773</v>
      </c>
      <c r="K262" s="10"/>
      <c r="L262" s="10">
        <v>1970</v>
      </c>
      <c r="M262" s="10">
        <v>6</v>
      </c>
      <c r="N262" s="10">
        <v>1</v>
      </c>
      <c r="O262" s="10"/>
      <c r="P262" s="10">
        <v>1104</v>
      </c>
      <c r="Q262" s="10"/>
      <c r="R262" s="10"/>
      <c r="S262" s="10" t="s">
        <v>67</v>
      </c>
      <c r="T262" s="10"/>
      <c r="U262" s="10"/>
      <c r="V262" s="10" t="s">
        <v>0</v>
      </c>
      <c r="W262" s="43">
        <f>7.8+0.5</f>
        <v>8.3000000000000007</v>
      </c>
      <c r="X262" s="10">
        <v>4</v>
      </c>
    </row>
    <row r="263" spans="1:24" ht="64" x14ac:dyDescent="0.2">
      <c r="A263" s="9">
        <v>7</v>
      </c>
      <c r="B263" s="10" t="s">
        <v>748</v>
      </c>
      <c r="C263" s="10"/>
      <c r="D263" s="10"/>
      <c r="E263" s="10" t="s">
        <v>750</v>
      </c>
      <c r="F263" s="10"/>
      <c r="G263" s="10" t="s">
        <v>58</v>
      </c>
      <c r="H263" s="10"/>
      <c r="I263" s="10" t="s">
        <v>70</v>
      </c>
      <c r="J263" s="10" t="s">
        <v>773</v>
      </c>
      <c r="K263" s="10"/>
      <c r="L263" s="10">
        <v>1970</v>
      </c>
      <c r="M263" s="10">
        <v>6</v>
      </c>
      <c r="N263" s="10">
        <v>1</v>
      </c>
      <c r="O263" s="10"/>
      <c r="P263" s="10">
        <v>1104</v>
      </c>
      <c r="Q263" s="10"/>
      <c r="R263" s="10"/>
      <c r="S263" s="10" t="s">
        <v>65</v>
      </c>
      <c r="T263" s="10"/>
      <c r="U263" s="10"/>
      <c r="V263" s="10" t="s">
        <v>0</v>
      </c>
      <c r="W263" s="43">
        <v>901</v>
      </c>
      <c r="X263" s="10">
        <v>4</v>
      </c>
    </row>
    <row r="264" spans="1:24" ht="64" x14ac:dyDescent="0.2">
      <c r="A264" s="9">
        <v>7</v>
      </c>
      <c r="B264" s="10" t="s">
        <v>748</v>
      </c>
      <c r="C264" s="10"/>
      <c r="D264" s="10"/>
      <c r="E264" s="10" t="s">
        <v>750</v>
      </c>
      <c r="F264" s="10"/>
      <c r="G264" s="10" t="s">
        <v>58</v>
      </c>
      <c r="H264" s="10"/>
      <c r="I264" s="10" t="s">
        <v>70</v>
      </c>
      <c r="J264" s="10" t="s">
        <v>773</v>
      </c>
      <c r="K264" s="10"/>
      <c r="L264" s="10">
        <v>1970</v>
      </c>
      <c r="M264" s="10">
        <v>6</v>
      </c>
      <c r="N264" s="10">
        <v>1</v>
      </c>
      <c r="O264" s="10"/>
      <c r="P264" s="10">
        <v>1104</v>
      </c>
      <c r="Q264" s="10"/>
      <c r="R264" s="10"/>
      <c r="S264" s="10" t="s">
        <v>435</v>
      </c>
      <c r="T264" s="10"/>
      <c r="U264" s="10"/>
      <c r="V264" s="10" t="s">
        <v>0</v>
      </c>
      <c r="W264" s="43">
        <v>3</v>
      </c>
      <c r="X264" s="10">
        <v>4</v>
      </c>
    </row>
    <row r="265" spans="1:24" ht="64" x14ac:dyDescent="0.2">
      <c r="A265" s="9">
        <v>7</v>
      </c>
      <c r="B265" s="10" t="s">
        <v>748</v>
      </c>
      <c r="C265" s="10"/>
      <c r="D265" s="10"/>
      <c r="E265" s="10" t="s">
        <v>750</v>
      </c>
      <c r="F265" s="10"/>
      <c r="G265" s="10" t="s">
        <v>58</v>
      </c>
      <c r="H265" s="10"/>
      <c r="I265" s="10" t="s">
        <v>70</v>
      </c>
      <c r="J265" s="10" t="s">
        <v>773</v>
      </c>
      <c r="K265" s="10"/>
      <c r="L265" s="10">
        <v>1970</v>
      </c>
      <c r="M265" s="10">
        <v>6</v>
      </c>
      <c r="N265" s="10">
        <v>1</v>
      </c>
      <c r="O265" s="10"/>
      <c r="P265" s="10">
        <v>1104</v>
      </c>
      <c r="Q265" s="10"/>
      <c r="R265" s="10"/>
      <c r="S265" s="10" t="s">
        <v>30</v>
      </c>
      <c r="T265" s="10"/>
      <c r="U265" s="10"/>
      <c r="V265" s="10" t="s">
        <v>0</v>
      </c>
      <c r="W265" s="43">
        <v>34</v>
      </c>
      <c r="X265" s="10">
        <v>4</v>
      </c>
    </row>
    <row r="266" spans="1:24" ht="64" x14ac:dyDescent="0.2">
      <c r="A266" s="9">
        <v>7</v>
      </c>
      <c r="B266" s="10" t="s">
        <v>748</v>
      </c>
      <c r="C266" s="10"/>
      <c r="D266" s="10"/>
      <c r="E266" s="10" t="s">
        <v>750</v>
      </c>
      <c r="F266" s="10"/>
      <c r="G266" s="10" t="s">
        <v>58</v>
      </c>
      <c r="H266" s="10"/>
      <c r="I266" s="10" t="s">
        <v>70</v>
      </c>
      <c r="J266" s="10" t="s">
        <v>772</v>
      </c>
      <c r="K266" s="10"/>
      <c r="L266" s="10">
        <v>1980</v>
      </c>
      <c r="M266" s="10">
        <v>6</v>
      </c>
      <c r="N266" s="10">
        <v>1</v>
      </c>
      <c r="O266" s="10"/>
      <c r="P266" s="10">
        <v>1440</v>
      </c>
      <c r="Q266" s="10"/>
      <c r="R266" s="10"/>
      <c r="S266" s="10" t="s">
        <v>67</v>
      </c>
      <c r="T266" s="10"/>
      <c r="U266" s="10"/>
      <c r="V266" s="10" t="s">
        <v>0</v>
      </c>
      <c r="W266" s="43">
        <f>11+4</f>
        <v>15</v>
      </c>
      <c r="X266" s="10">
        <v>4</v>
      </c>
    </row>
    <row r="267" spans="1:24" ht="64" x14ac:dyDescent="0.2">
      <c r="A267" s="9">
        <v>7</v>
      </c>
      <c r="B267" s="10" t="s">
        <v>748</v>
      </c>
      <c r="C267" s="10"/>
      <c r="D267" s="10"/>
      <c r="E267" s="10" t="s">
        <v>750</v>
      </c>
      <c r="F267" s="10"/>
      <c r="G267" s="10" t="s">
        <v>58</v>
      </c>
      <c r="H267" s="10"/>
      <c r="I267" s="10" t="s">
        <v>70</v>
      </c>
      <c r="J267" s="10" t="s">
        <v>772</v>
      </c>
      <c r="K267" s="10"/>
      <c r="L267" s="10">
        <v>1980</v>
      </c>
      <c r="M267" s="10">
        <v>6</v>
      </c>
      <c r="N267" s="10">
        <v>1</v>
      </c>
      <c r="O267" s="10"/>
      <c r="P267" s="10">
        <v>1440</v>
      </c>
      <c r="Q267" s="10"/>
      <c r="R267" s="10"/>
      <c r="S267" s="10" t="s">
        <v>65</v>
      </c>
      <c r="T267" s="10"/>
      <c r="U267" s="10"/>
      <c r="V267" s="10" t="s">
        <v>0</v>
      </c>
      <c r="W267" s="43">
        <v>588</v>
      </c>
      <c r="X267" s="10">
        <v>4</v>
      </c>
    </row>
    <row r="268" spans="1:24" ht="64" x14ac:dyDescent="0.2">
      <c r="A268" s="9">
        <v>7</v>
      </c>
      <c r="B268" s="10" t="s">
        <v>748</v>
      </c>
      <c r="C268" s="10"/>
      <c r="D268" s="10"/>
      <c r="E268" s="10" t="s">
        <v>750</v>
      </c>
      <c r="F268" s="10"/>
      <c r="G268" s="10" t="s">
        <v>58</v>
      </c>
      <c r="H268" s="10"/>
      <c r="I268" s="10" t="s">
        <v>70</v>
      </c>
      <c r="J268" s="10" t="s">
        <v>772</v>
      </c>
      <c r="K268" s="10"/>
      <c r="L268" s="10">
        <v>1980</v>
      </c>
      <c r="M268" s="10">
        <v>6</v>
      </c>
      <c r="N268" s="10">
        <v>1</v>
      </c>
      <c r="O268" s="10"/>
      <c r="P268" s="10">
        <v>1440</v>
      </c>
      <c r="Q268" s="10"/>
      <c r="R268" s="10"/>
      <c r="S268" s="10" t="s">
        <v>435</v>
      </c>
      <c r="T268" s="10"/>
      <c r="U268" s="10"/>
      <c r="V268" s="10" t="s">
        <v>0</v>
      </c>
      <c r="W268" s="43">
        <v>3</v>
      </c>
      <c r="X268" s="10">
        <v>4</v>
      </c>
    </row>
    <row r="269" spans="1:24" ht="64" x14ac:dyDescent="0.2">
      <c r="A269" s="9">
        <v>7</v>
      </c>
      <c r="B269" s="10" t="s">
        <v>748</v>
      </c>
      <c r="C269" s="10"/>
      <c r="D269" s="10"/>
      <c r="E269" s="10" t="s">
        <v>750</v>
      </c>
      <c r="F269" s="10"/>
      <c r="G269" s="10" t="s">
        <v>58</v>
      </c>
      <c r="H269" s="10"/>
      <c r="I269" s="10" t="s">
        <v>70</v>
      </c>
      <c r="J269" s="10" t="s">
        <v>772</v>
      </c>
      <c r="K269" s="10"/>
      <c r="L269" s="10">
        <v>1980</v>
      </c>
      <c r="M269" s="10">
        <v>6</v>
      </c>
      <c r="N269" s="10">
        <v>1</v>
      </c>
      <c r="O269" s="10"/>
      <c r="P269" s="10">
        <v>1440</v>
      </c>
      <c r="Q269" s="10"/>
      <c r="R269" s="10"/>
      <c r="S269" s="10" t="s">
        <v>30</v>
      </c>
      <c r="T269" s="10"/>
      <c r="U269" s="10"/>
      <c r="V269" s="10" t="s">
        <v>0</v>
      </c>
      <c r="W269" s="43">
        <v>188</v>
      </c>
      <c r="X269" s="10">
        <v>4</v>
      </c>
    </row>
    <row r="270" spans="1:24" ht="64" x14ac:dyDescent="0.2">
      <c r="A270" s="9">
        <v>7</v>
      </c>
      <c r="B270" s="10" t="s">
        <v>748</v>
      </c>
      <c r="C270" s="10"/>
      <c r="D270" s="10"/>
      <c r="E270" s="10" t="s">
        <v>750</v>
      </c>
      <c r="F270" s="10"/>
      <c r="G270" s="10" t="s">
        <v>58</v>
      </c>
      <c r="H270" s="10"/>
      <c r="I270" s="10" t="s">
        <v>433</v>
      </c>
      <c r="J270" s="10" t="s">
        <v>771</v>
      </c>
      <c r="K270" s="10"/>
      <c r="L270" s="10">
        <v>1980</v>
      </c>
      <c r="M270" s="10">
        <v>4</v>
      </c>
      <c r="N270" s="10">
        <v>1</v>
      </c>
      <c r="O270" s="10"/>
      <c r="P270" s="10">
        <v>840</v>
      </c>
      <c r="Q270" s="10"/>
      <c r="R270" s="10"/>
      <c r="S270" s="10" t="s">
        <v>67</v>
      </c>
      <c r="T270" s="10"/>
      <c r="U270" s="10"/>
      <c r="V270" s="10" t="s">
        <v>0</v>
      </c>
      <c r="W270" s="43">
        <f>21+1</f>
        <v>22</v>
      </c>
      <c r="X270" s="10">
        <v>3</v>
      </c>
    </row>
    <row r="271" spans="1:24" ht="64" x14ac:dyDescent="0.2">
      <c r="A271" s="9">
        <v>7</v>
      </c>
      <c r="B271" s="10" t="s">
        <v>748</v>
      </c>
      <c r="C271" s="10"/>
      <c r="D271" s="10"/>
      <c r="E271" s="10" t="s">
        <v>750</v>
      </c>
      <c r="F271" s="10"/>
      <c r="G271" s="10" t="s">
        <v>58</v>
      </c>
      <c r="H271" s="10"/>
      <c r="I271" s="10" t="s">
        <v>433</v>
      </c>
      <c r="J271" s="10" t="s">
        <v>771</v>
      </c>
      <c r="K271" s="10"/>
      <c r="L271" s="10">
        <v>1980</v>
      </c>
      <c r="M271" s="10">
        <v>4</v>
      </c>
      <c r="N271" s="10">
        <v>1</v>
      </c>
      <c r="O271" s="10"/>
      <c r="P271" s="10">
        <v>840</v>
      </c>
      <c r="Q271" s="10"/>
      <c r="R271" s="10"/>
      <c r="S271" s="10" t="s">
        <v>65</v>
      </c>
      <c r="T271" s="10"/>
      <c r="U271" s="10"/>
      <c r="V271" s="10" t="s">
        <v>0</v>
      </c>
      <c r="W271" s="43">
        <v>893</v>
      </c>
      <c r="X271" s="10">
        <v>3</v>
      </c>
    </row>
    <row r="272" spans="1:24" ht="64" x14ac:dyDescent="0.2">
      <c r="A272" s="9">
        <v>7</v>
      </c>
      <c r="B272" s="10" t="s">
        <v>748</v>
      </c>
      <c r="C272" s="10"/>
      <c r="D272" s="10"/>
      <c r="E272" s="10" t="s">
        <v>750</v>
      </c>
      <c r="F272" s="10"/>
      <c r="G272" s="10" t="s">
        <v>58</v>
      </c>
      <c r="H272" s="10"/>
      <c r="I272" s="10" t="s">
        <v>433</v>
      </c>
      <c r="J272" s="10" t="s">
        <v>771</v>
      </c>
      <c r="K272" s="10"/>
      <c r="L272" s="10">
        <v>1980</v>
      </c>
      <c r="M272" s="10">
        <v>4</v>
      </c>
      <c r="N272" s="10">
        <v>1</v>
      </c>
      <c r="O272" s="10"/>
      <c r="P272" s="10">
        <v>840</v>
      </c>
      <c r="Q272" s="10"/>
      <c r="R272" s="10"/>
      <c r="S272" s="10" t="s">
        <v>435</v>
      </c>
      <c r="T272" s="10"/>
      <c r="U272" s="10"/>
      <c r="V272" s="10" t="s">
        <v>0</v>
      </c>
      <c r="W272" s="43">
        <v>4</v>
      </c>
      <c r="X272" s="10">
        <v>3</v>
      </c>
    </row>
    <row r="273" spans="1:24" ht="64" x14ac:dyDescent="0.2">
      <c r="A273" s="9">
        <v>7</v>
      </c>
      <c r="B273" s="10" t="s">
        <v>748</v>
      </c>
      <c r="C273" s="10"/>
      <c r="D273" s="10"/>
      <c r="E273" s="10" t="s">
        <v>750</v>
      </c>
      <c r="F273" s="10"/>
      <c r="G273" s="10" t="s">
        <v>58</v>
      </c>
      <c r="H273" s="10"/>
      <c r="I273" s="10" t="s">
        <v>433</v>
      </c>
      <c r="J273" s="10" t="s">
        <v>771</v>
      </c>
      <c r="K273" s="10"/>
      <c r="L273" s="10">
        <v>1980</v>
      </c>
      <c r="M273" s="10">
        <v>4</v>
      </c>
      <c r="N273" s="10">
        <v>1</v>
      </c>
      <c r="O273" s="10"/>
      <c r="P273" s="10">
        <v>840</v>
      </c>
      <c r="Q273" s="10"/>
      <c r="R273" s="10"/>
      <c r="S273" s="10" t="s">
        <v>30</v>
      </c>
      <c r="T273" s="10"/>
      <c r="U273" s="10"/>
      <c r="V273" s="10" t="s">
        <v>0</v>
      </c>
      <c r="W273" s="43">
        <v>192</v>
      </c>
      <c r="X273" s="10">
        <v>3</v>
      </c>
    </row>
    <row r="274" spans="1:24" ht="64" x14ac:dyDescent="0.2">
      <c r="A274" s="9">
        <v>7</v>
      </c>
      <c r="B274" s="10" t="s">
        <v>748</v>
      </c>
      <c r="C274" s="10"/>
      <c r="D274" s="10"/>
      <c r="E274" s="10" t="s">
        <v>750</v>
      </c>
      <c r="F274" s="10"/>
      <c r="G274" s="10" t="s">
        <v>58</v>
      </c>
      <c r="H274" s="10"/>
      <c r="I274" s="10" t="s">
        <v>70</v>
      </c>
      <c r="J274" s="10" t="s">
        <v>770</v>
      </c>
      <c r="K274" s="10"/>
      <c r="L274" s="10">
        <v>2000</v>
      </c>
      <c r="M274" s="10">
        <v>7</v>
      </c>
      <c r="N274" s="10">
        <v>1</v>
      </c>
      <c r="O274" s="10"/>
      <c r="P274" s="10">
        <v>2296</v>
      </c>
      <c r="Q274" s="10"/>
      <c r="R274" s="10"/>
      <c r="S274" s="10" t="s">
        <v>67</v>
      </c>
      <c r="T274" s="10"/>
      <c r="U274" s="10"/>
      <c r="V274" s="10" t="s">
        <v>0</v>
      </c>
      <c r="W274" s="43">
        <f>27+0.4</f>
        <v>27.4</v>
      </c>
      <c r="X274" s="10">
        <v>4</v>
      </c>
    </row>
    <row r="275" spans="1:24" ht="64" x14ac:dyDescent="0.2">
      <c r="A275" s="9">
        <v>7</v>
      </c>
      <c r="B275" s="10" t="s">
        <v>748</v>
      </c>
      <c r="C275" s="10"/>
      <c r="D275" s="10"/>
      <c r="E275" s="10" t="s">
        <v>750</v>
      </c>
      <c r="F275" s="10"/>
      <c r="G275" s="10" t="s">
        <v>58</v>
      </c>
      <c r="H275" s="10"/>
      <c r="I275" s="10" t="s">
        <v>70</v>
      </c>
      <c r="J275" s="10" t="s">
        <v>770</v>
      </c>
      <c r="K275" s="10"/>
      <c r="L275" s="10">
        <v>2000</v>
      </c>
      <c r="M275" s="10">
        <v>7</v>
      </c>
      <c r="N275" s="10">
        <v>1</v>
      </c>
      <c r="O275" s="10"/>
      <c r="P275" s="10">
        <v>2296</v>
      </c>
      <c r="Q275" s="10"/>
      <c r="R275" s="10"/>
      <c r="S275" s="10" t="s">
        <v>65</v>
      </c>
      <c r="T275" s="10"/>
      <c r="U275" s="10"/>
      <c r="V275" s="10" t="s">
        <v>0</v>
      </c>
      <c r="W275" s="43">
        <v>654</v>
      </c>
      <c r="X275" s="10">
        <v>4</v>
      </c>
    </row>
    <row r="276" spans="1:24" ht="64" x14ac:dyDescent="0.2">
      <c r="A276" s="9">
        <v>7</v>
      </c>
      <c r="B276" s="10" t="s">
        <v>748</v>
      </c>
      <c r="C276" s="10"/>
      <c r="D276" s="10"/>
      <c r="E276" s="10" t="s">
        <v>750</v>
      </c>
      <c r="F276" s="10"/>
      <c r="G276" s="10" t="s">
        <v>58</v>
      </c>
      <c r="H276" s="10"/>
      <c r="I276" s="10" t="s">
        <v>70</v>
      </c>
      <c r="J276" s="10" t="s">
        <v>770</v>
      </c>
      <c r="K276" s="10"/>
      <c r="L276" s="10">
        <v>2000</v>
      </c>
      <c r="M276" s="10">
        <v>7</v>
      </c>
      <c r="N276" s="10">
        <v>1</v>
      </c>
      <c r="O276" s="10"/>
      <c r="P276" s="10">
        <v>2296</v>
      </c>
      <c r="Q276" s="10"/>
      <c r="R276" s="10"/>
      <c r="S276" s="10" t="s">
        <v>435</v>
      </c>
      <c r="T276" s="10"/>
      <c r="U276" s="10"/>
      <c r="V276" s="10" t="s">
        <v>0</v>
      </c>
      <c r="W276" s="43">
        <v>2</v>
      </c>
      <c r="X276" s="10">
        <v>4</v>
      </c>
    </row>
    <row r="277" spans="1:24" ht="64" x14ac:dyDescent="0.2">
      <c r="A277" s="9">
        <v>7</v>
      </c>
      <c r="B277" s="10" t="s">
        <v>748</v>
      </c>
      <c r="C277" s="10"/>
      <c r="D277" s="10"/>
      <c r="E277" s="10" t="s">
        <v>750</v>
      </c>
      <c r="F277" s="10"/>
      <c r="G277" s="10" t="s">
        <v>58</v>
      </c>
      <c r="H277" s="10"/>
      <c r="I277" s="10" t="s">
        <v>70</v>
      </c>
      <c r="J277" s="10" t="s">
        <v>770</v>
      </c>
      <c r="K277" s="10"/>
      <c r="L277" s="10">
        <v>2000</v>
      </c>
      <c r="M277" s="10">
        <v>7</v>
      </c>
      <c r="N277" s="10">
        <v>1</v>
      </c>
      <c r="O277" s="10"/>
      <c r="P277" s="10">
        <v>2296</v>
      </c>
      <c r="Q277" s="10"/>
      <c r="R277" s="10"/>
      <c r="S277" s="10" t="s">
        <v>30</v>
      </c>
      <c r="T277" s="10"/>
      <c r="U277" s="10"/>
      <c r="V277" s="10" t="s">
        <v>0</v>
      </c>
      <c r="W277" s="43">
        <v>197</v>
      </c>
      <c r="X277" s="10">
        <v>4</v>
      </c>
    </row>
    <row r="278" spans="1:24" ht="48" x14ac:dyDescent="0.2">
      <c r="A278" s="10">
        <v>8</v>
      </c>
      <c r="B278" s="10" t="s">
        <v>749</v>
      </c>
      <c r="C278" s="10" t="s">
        <v>747</v>
      </c>
      <c r="D278" s="10"/>
      <c r="E278" s="10" t="s">
        <v>783</v>
      </c>
      <c r="F278" s="10"/>
      <c r="G278" s="10" t="s">
        <v>58</v>
      </c>
      <c r="H278" s="10"/>
      <c r="I278" s="10" t="s">
        <v>389</v>
      </c>
      <c r="J278" s="10" t="s">
        <v>913</v>
      </c>
      <c r="K278" s="10"/>
      <c r="L278" s="10">
        <v>1981</v>
      </c>
      <c r="M278" s="52" t="s">
        <v>784</v>
      </c>
      <c r="N278" s="10"/>
      <c r="O278" s="10"/>
      <c r="P278" s="10"/>
      <c r="Q278" s="10"/>
      <c r="R278" s="10"/>
      <c r="S278" s="10" t="s">
        <v>65</v>
      </c>
      <c r="T278" s="10"/>
      <c r="U278" s="10"/>
      <c r="V278" s="10" t="s">
        <v>0</v>
      </c>
      <c r="W278" s="43">
        <v>679</v>
      </c>
      <c r="X278" s="10">
        <v>1</v>
      </c>
    </row>
    <row r="279" spans="1:24" ht="32" x14ac:dyDescent="0.2">
      <c r="A279" s="10">
        <v>8</v>
      </c>
      <c r="B279" s="10" t="s">
        <v>749</v>
      </c>
      <c r="C279" s="10"/>
      <c r="D279" s="10"/>
      <c r="E279" s="10" t="s">
        <v>783</v>
      </c>
      <c r="F279" s="10"/>
      <c r="G279" s="10" t="s">
        <v>58</v>
      </c>
      <c r="H279" s="10"/>
      <c r="I279" s="10" t="s">
        <v>389</v>
      </c>
      <c r="J279" s="10" t="s">
        <v>913</v>
      </c>
      <c r="K279" s="10"/>
      <c r="L279" s="10">
        <v>1981</v>
      </c>
      <c r="M279" s="52" t="s">
        <v>784</v>
      </c>
      <c r="N279" s="10"/>
      <c r="O279" s="10"/>
      <c r="P279" s="10"/>
      <c r="Q279" s="10"/>
      <c r="R279" s="10"/>
      <c r="S279" s="10" t="s">
        <v>30</v>
      </c>
      <c r="T279" s="10"/>
      <c r="U279" s="10"/>
      <c r="V279" s="10" t="s">
        <v>0</v>
      </c>
      <c r="W279" s="43">
        <v>23</v>
      </c>
      <c r="X279" s="10">
        <v>1</v>
      </c>
    </row>
    <row r="280" spans="1:24" ht="32" x14ac:dyDescent="0.2">
      <c r="A280" s="10">
        <v>8</v>
      </c>
      <c r="B280" s="10" t="s">
        <v>749</v>
      </c>
      <c r="C280" s="10"/>
      <c r="D280" s="10"/>
      <c r="E280" s="10" t="s">
        <v>783</v>
      </c>
      <c r="F280" s="10"/>
      <c r="G280" s="10" t="s">
        <v>58</v>
      </c>
      <c r="H280" s="10"/>
      <c r="I280" s="10" t="s">
        <v>389</v>
      </c>
      <c r="J280" s="10" t="s">
        <v>913</v>
      </c>
      <c r="K280" s="10"/>
      <c r="L280" s="10">
        <v>1981</v>
      </c>
      <c r="M280" s="52" t="s">
        <v>784</v>
      </c>
      <c r="N280" s="10"/>
      <c r="O280" s="10"/>
      <c r="P280" s="10"/>
      <c r="Q280" s="10"/>
      <c r="R280" s="10"/>
      <c r="S280" s="10" t="s">
        <v>67</v>
      </c>
      <c r="T280" s="10"/>
      <c r="U280" s="10"/>
      <c r="V280" s="10" t="s">
        <v>0</v>
      </c>
      <c r="W280" s="43">
        <v>77</v>
      </c>
      <c r="X280" s="10">
        <v>1</v>
      </c>
    </row>
    <row r="281" spans="1:24" ht="32" x14ac:dyDescent="0.2">
      <c r="A281" s="10">
        <v>8</v>
      </c>
      <c r="B281" s="10" t="s">
        <v>749</v>
      </c>
      <c r="C281" s="10"/>
      <c r="D281" s="10"/>
      <c r="E281" s="10" t="s">
        <v>783</v>
      </c>
      <c r="F281" s="10"/>
      <c r="G281" s="10" t="s">
        <v>58</v>
      </c>
      <c r="H281" s="10"/>
      <c r="I281" s="10" t="s">
        <v>389</v>
      </c>
      <c r="J281" s="10" t="s">
        <v>913</v>
      </c>
      <c r="K281" s="10"/>
      <c r="L281" s="10">
        <v>1981</v>
      </c>
      <c r="M281" s="52" t="s">
        <v>784</v>
      </c>
      <c r="N281" s="10"/>
      <c r="O281" s="10"/>
      <c r="P281" s="10"/>
      <c r="Q281" s="10"/>
      <c r="R281" s="10"/>
      <c r="S281" s="10" t="s">
        <v>435</v>
      </c>
      <c r="T281" s="10"/>
      <c r="U281" s="10"/>
      <c r="V281" s="10" t="s">
        <v>0</v>
      </c>
      <c r="W281" s="43">
        <v>3</v>
      </c>
      <c r="X281" s="10">
        <v>1</v>
      </c>
    </row>
    <row r="282" spans="1:24" ht="32" x14ac:dyDescent="0.2">
      <c r="A282" s="10">
        <v>8</v>
      </c>
      <c r="B282" s="10" t="s">
        <v>749</v>
      </c>
      <c r="C282" s="10"/>
      <c r="D282" s="10"/>
      <c r="E282" s="10" t="s">
        <v>783</v>
      </c>
      <c r="F282" s="10"/>
      <c r="G282" s="10" t="s">
        <v>58</v>
      </c>
      <c r="H282" s="10"/>
      <c r="I282" s="10" t="s">
        <v>389</v>
      </c>
      <c r="J282" s="10" t="s">
        <v>914</v>
      </c>
      <c r="K282" s="10"/>
      <c r="L282" s="10">
        <v>1996</v>
      </c>
      <c r="M282" s="52" t="s">
        <v>784</v>
      </c>
      <c r="N282" s="10"/>
      <c r="O282" s="10"/>
      <c r="P282" s="10"/>
      <c r="Q282" s="10"/>
      <c r="R282" s="10"/>
      <c r="S282" s="10" t="s">
        <v>65</v>
      </c>
      <c r="T282" s="10"/>
      <c r="U282" s="10"/>
      <c r="V282" s="10" t="s">
        <v>0</v>
      </c>
      <c r="W282" s="43">
        <v>750</v>
      </c>
      <c r="X282" s="10">
        <v>1</v>
      </c>
    </row>
    <row r="283" spans="1:24" ht="32" x14ac:dyDescent="0.2">
      <c r="A283" s="10">
        <v>8</v>
      </c>
      <c r="B283" s="10" t="s">
        <v>749</v>
      </c>
      <c r="C283" s="10"/>
      <c r="D283" s="10"/>
      <c r="E283" s="10" t="s">
        <v>783</v>
      </c>
      <c r="F283" s="10"/>
      <c r="G283" s="10" t="s">
        <v>58</v>
      </c>
      <c r="H283" s="10"/>
      <c r="I283" s="10" t="s">
        <v>389</v>
      </c>
      <c r="J283" s="10" t="s">
        <v>914</v>
      </c>
      <c r="K283" s="10"/>
      <c r="L283" s="10">
        <v>1996</v>
      </c>
      <c r="M283" s="52" t="s">
        <v>784</v>
      </c>
      <c r="N283" s="10"/>
      <c r="O283" s="10"/>
      <c r="P283" s="10"/>
      <c r="Q283" s="10"/>
      <c r="R283" s="10"/>
      <c r="S283" s="10" t="s">
        <v>30</v>
      </c>
      <c r="T283" s="10"/>
      <c r="U283" s="10"/>
      <c r="V283" s="10" t="s">
        <v>0</v>
      </c>
      <c r="W283" s="43">
        <v>30</v>
      </c>
      <c r="X283" s="10">
        <v>1</v>
      </c>
    </row>
    <row r="284" spans="1:24" ht="32" x14ac:dyDescent="0.2">
      <c r="A284" s="10">
        <v>8</v>
      </c>
      <c r="B284" s="10" t="s">
        <v>749</v>
      </c>
      <c r="C284" s="10"/>
      <c r="D284" s="10"/>
      <c r="E284" s="10" t="s">
        <v>783</v>
      </c>
      <c r="F284" s="10"/>
      <c r="G284" s="10" t="s">
        <v>58</v>
      </c>
      <c r="H284" s="10"/>
      <c r="I284" s="10" t="s">
        <v>389</v>
      </c>
      <c r="J284" s="10" t="s">
        <v>914</v>
      </c>
      <c r="K284" s="10"/>
      <c r="L284" s="10">
        <v>1996</v>
      </c>
      <c r="M284" s="52" t="s">
        <v>784</v>
      </c>
      <c r="N284" s="10"/>
      <c r="O284" s="10"/>
      <c r="P284" s="10"/>
      <c r="Q284" s="10"/>
      <c r="R284" s="10"/>
      <c r="S284" s="10" t="s">
        <v>67</v>
      </c>
      <c r="T284" s="10"/>
      <c r="U284" s="10"/>
      <c r="V284" s="10" t="s">
        <v>0</v>
      </c>
      <c r="W284" s="43">
        <v>72</v>
      </c>
      <c r="X284" s="10">
        <v>1</v>
      </c>
    </row>
    <row r="285" spans="1:24" ht="32" x14ac:dyDescent="0.2">
      <c r="A285" s="10">
        <v>8</v>
      </c>
      <c r="B285" s="10" t="s">
        <v>749</v>
      </c>
      <c r="C285" s="10"/>
      <c r="D285" s="10"/>
      <c r="E285" s="10" t="s">
        <v>783</v>
      </c>
      <c r="F285" s="10"/>
      <c r="G285" s="10" t="s">
        <v>58</v>
      </c>
      <c r="H285" s="10"/>
      <c r="I285" s="10" t="s">
        <v>389</v>
      </c>
      <c r="J285" s="10" t="s">
        <v>914</v>
      </c>
      <c r="K285" s="10"/>
      <c r="L285" s="10">
        <v>1996</v>
      </c>
      <c r="M285" s="52" t="s">
        <v>784</v>
      </c>
      <c r="N285" s="10"/>
      <c r="O285" s="10"/>
      <c r="P285" s="10"/>
      <c r="Q285" s="10"/>
      <c r="R285" s="10"/>
      <c r="S285" s="10" t="s">
        <v>435</v>
      </c>
      <c r="T285" s="10"/>
      <c r="U285" s="10"/>
      <c r="V285" s="10" t="s">
        <v>0</v>
      </c>
      <c r="W285" s="43">
        <v>3</v>
      </c>
      <c r="X285" s="10">
        <v>1</v>
      </c>
    </row>
    <row r="286" spans="1:24" ht="32" x14ac:dyDescent="0.2">
      <c r="A286" s="10">
        <v>8</v>
      </c>
      <c r="B286" s="10" t="s">
        <v>749</v>
      </c>
      <c r="C286" s="10"/>
      <c r="D286" s="10"/>
      <c r="E286" s="10" t="s">
        <v>783</v>
      </c>
      <c r="F286" s="10"/>
      <c r="G286" s="10" t="s">
        <v>58</v>
      </c>
      <c r="H286" s="10"/>
      <c r="I286" s="10" t="s">
        <v>389</v>
      </c>
      <c r="J286" s="10" t="s">
        <v>915</v>
      </c>
      <c r="K286" s="10"/>
      <c r="L286" s="10">
        <v>2007</v>
      </c>
      <c r="M286" s="52" t="s">
        <v>784</v>
      </c>
      <c r="N286" s="10"/>
      <c r="O286" s="10"/>
      <c r="P286" s="10"/>
      <c r="Q286" s="10"/>
      <c r="R286" s="10"/>
      <c r="S286" s="10" t="s">
        <v>65</v>
      </c>
      <c r="T286" s="10"/>
      <c r="U286" s="10"/>
      <c r="V286" s="10" t="s">
        <v>0</v>
      </c>
      <c r="W286" s="43">
        <v>137</v>
      </c>
      <c r="X286" s="10">
        <v>1</v>
      </c>
    </row>
    <row r="287" spans="1:24" ht="32" x14ac:dyDescent="0.2">
      <c r="A287" s="10">
        <v>8</v>
      </c>
      <c r="B287" s="10" t="s">
        <v>749</v>
      </c>
      <c r="C287" s="10"/>
      <c r="D287" s="10"/>
      <c r="E287" s="10" t="s">
        <v>783</v>
      </c>
      <c r="F287" s="10"/>
      <c r="G287" s="10" t="s">
        <v>58</v>
      </c>
      <c r="H287" s="10"/>
      <c r="I287" s="10" t="s">
        <v>389</v>
      </c>
      <c r="J287" s="10" t="s">
        <v>915</v>
      </c>
      <c r="K287" s="10"/>
      <c r="L287" s="10">
        <v>2007</v>
      </c>
      <c r="M287" s="52" t="s">
        <v>784</v>
      </c>
      <c r="N287" s="10"/>
      <c r="O287" s="10"/>
      <c r="P287" s="10"/>
      <c r="Q287" s="10"/>
      <c r="R287" s="10"/>
      <c r="S287" s="10" t="s">
        <v>30</v>
      </c>
      <c r="T287" s="10"/>
      <c r="U287" s="10"/>
      <c r="V287" s="10" t="s">
        <v>0</v>
      </c>
      <c r="W287" s="43">
        <v>34</v>
      </c>
      <c r="X287" s="10">
        <v>1</v>
      </c>
    </row>
    <row r="288" spans="1:24" ht="32" x14ac:dyDescent="0.2">
      <c r="A288" s="10">
        <v>8</v>
      </c>
      <c r="B288" s="10" t="s">
        <v>749</v>
      </c>
      <c r="C288" s="10"/>
      <c r="D288" s="10"/>
      <c r="E288" s="10" t="s">
        <v>783</v>
      </c>
      <c r="F288" s="10"/>
      <c r="G288" s="10" t="s">
        <v>58</v>
      </c>
      <c r="H288" s="10"/>
      <c r="I288" s="10" t="s">
        <v>389</v>
      </c>
      <c r="J288" s="10" t="s">
        <v>915</v>
      </c>
      <c r="K288" s="10"/>
      <c r="L288" s="10">
        <v>2007</v>
      </c>
      <c r="M288" s="52" t="s">
        <v>784</v>
      </c>
      <c r="N288" s="10"/>
      <c r="O288" s="10"/>
      <c r="P288" s="10"/>
      <c r="Q288" s="10"/>
      <c r="R288" s="10"/>
      <c r="S288" s="10" t="s">
        <v>67</v>
      </c>
      <c r="T288" s="10"/>
      <c r="U288" s="10"/>
      <c r="V288" s="10" t="s">
        <v>0</v>
      </c>
      <c r="W288" s="43">
        <v>69</v>
      </c>
      <c r="X288" s="10">
        <v>1</v>
      </c>
    </row>
    <row r="289" spans="1:24" ht="32" x14ac:dyDescent="0.2">
      <c r="A289" s="10">
        <v>8</v>
      </c>
      <c r="B289" s="10" t="s">
        <v>749</v>
      </c>
      <c r="C289" s="10"/>
      <c r="D289" s="10"/>
      <c r="E289" s="10" t="s">
        <v>783</v>
      </c>
      <c r="F289" s="10"/>
      <c r="G289" s="10" t="s">
        <v>58</v>
      </c>
      <c r="H289" s="10"/>
      <c r="I289" s="10" t="s">
        <v>389</v>
      </c>
      <c r="J289" s="10" t="s">
        <v>915</v>
      </c>
      <c r="K289" s="10"/>
      <c r="L289" s="10">
        <v>2007</v>
      </c>
      <c r="M289" s="52" t="s">
        <v>784</v>
      </c>
      <c r="N289" s="10"/>
      <c r="O289" s="10"/>
      <c r="P289" s="10"/>
      <c r="Q289" s="10"/>
      <c r="R289" s="10"/>
      <c r="S289" s="10" t="s">
        <v>435</v>
      </c>
      <c r="T289" s="10"/>
      <c r="U289" s="10"/>
      <c r="V289" s="10" t="s">
        <v>0</v>
      </c>
      <c r="W289" s="43">
        <v>3</v>
      </c>
      <c r="X289" s="10">
        <v>1</v>
      </c>
    </row>
    <row r="290" spans="1:24" ht="32" x14ac:dyDescent="0.2">
      <c r="A290" s="10">
        <v>8</v>
      </c>
      <c r="B290" s="10" t="s">
        <v>749</v>
      </c>
      <c r="C290" s="10"/>
      <c r="D290" s="10"/>
      <c r="E290" s="10" t="s">
        <v>783</v>
      </c>
      <c r="F290" s="10"/>
      <c r="G290" s="10" t="s">
        <v>58</v>
      </c>
      <c r="H290" s="10"/>
      <c r="I290" s="10" t="s">
        <v>433</v>
      </c>
      <c r="J290" s="10" t="s">
        <v>916</v>
      </c>
      <c r="K290" s="10"/>
      <c r="L290" s="10">
        <v>1981</v>
      </c>
      <c r="M290" s="10" t="s">
        <v>785</v>
      </c>
      <c r="N290" s="10"/>
      <c r="O290" s="10"/>
      <c r="P290" s="10"/>
      <c r="Q290" s="10"/>
      <c r="R290" s="10"/>
      <c r="S290" s="10" t="s">
        <v>65</v>
      </c>
      <c r="T290" s="10"/>
      <c r="U290" s="10"/>
      <c r="V290" s="10" t="s">
        <v>0</v>
      </c>
      <c r="W290" s="43">
        <v>1010</v>
      </c>
      <c r="X290" s="10">
        <v>3</v>
      </c>
    </row>
    <row r="291" spans="1:24" ht="32" x14ac:dyDescent="0.2">
      <c r="A291" s="10">
        <v>8</v>
      </c>
      <c r="B291" s="10" t="s">
        <v>749</v>
      </c>
      <c r="C291" s="10"/>
      <c r="D291" s="10"/>
      <c r="E291" s="10" t="s">
        <v>783</v>
      </c>
      <c r="F291" s="10"/>
      <c r="G291" s="10" t="s">
        <v>58</v>
      </c>
      <c r="H291" s="10"/>
      <c r="I291" s="10" t="s">
        <v>433</v>
      </c>
      <c r="J291" s="10" t="s">
        <v>916</v>
      </c>
      <c r="K291" s="10"/>
      <c r="L291" s="10">
        <v>1981</v>
      </c>
      <c r="M291" s="10" t="s">
        <v>785</v>
      </c>
      <c r="N291" s="10"/>
      <c r="O291" s="10"/>
      <c r="P291" s="10"/>
      <c r="Q291" s="10"/>
      <c r="R291" s="10"/>
      <c r="S291" s="10" t="s">
        <v>30</v>
      </c>
      <c r="T291" s="10"/>
      <c r="U291" s="10"/>
      <c r="V291" s="10" t="s">
        <v>0</v>
      </c>
      <c r="W291" s="43">
        <v>37</v>
      </c>
      <c r="X291" s="10">
        <v>3</v>
      </c>
    </row>
    <row r="292" spans="1:24" ht="32" x14ac:dyDescent="0.2">
      <c r="A292" s="10">
        <v>8</v>
      </c>
      <c r="B292" s="10" t="s">
        <v>749</v>
      </c>
      <c r="C292" s="10"/>
      <c r="D292" s="10"/>
      <c r="E292" s="10" t="s">
        <v>783</v>
      </c>
      <c r="F292" s="10"/>
      <c r="G292" s="10" t="s">
        <v>58</v>
      </c>
      <c r="H292" s="10"/>
      <c r="I292" s="10" t="s">
        <v>433</v>
      </c>
      <c r="J292" s="10" t="s">
        <v>916</v>
      </c>
      <c r="K292" s="10"/>
      <c r="L292" s="10">
        <v>1981</v>
      </c>
      <c r="M292" s="10" t="s">
        <v>785</v>
      </c>
      <c r="N292" s="10"/>
      <c r="O292" s="10"/>
      <c r="P292" s="10"/>
      <c r="Q292" s="10"/>
      <c r="R292" s="10"/>
      <c r="S292" s="10" t="s">
        <v>67</v>
      </c>
      <c r="T292" s="10"/>
      <c r="U292" s="10"/>
      <c r="V292" s="10" t="s">
        <v>0</v>
      </c>
      <c r="W292" s="43">
        <v>112</v>
      </c>
      <c r="X292" s="10">
        <v>3</v>
      </c>
    </row>
    <row r="293" spans="1:24" ht="32" x14ac:dyDescent="0.2">
      <c r="A293" s="10">
        <v>8</v>
      </c>
      <c r="B293" s="10" t="s">
        <v>749</v>
      </c>
      <c r="C293" s="10"/>
      <c r="D293" s="10"/>
      <c r="E293" s="10" t="s">
        <v>783</v>
      </c>
      <c r="F293" s="10"/>
      <c r="G293" s="10" t="s">
        <v>58</v>
      </c>
      <c r="H293" s="10"/>
      <c r="I293" s="10" t="s">
        <v>433</v>
      </c>
      <c r="J293" s="10" t="s">
        <v>916</v>
      </c>
      <c r="K293" s="10"/>
      <c r="L293" s="10">
        <v>1981</v>
      </c>
      <c r="M293" s="10" t="s">
        <v>785</v>
      </c>
      <c r="N293" s="10"/>
      <c r="O293" s="10"/>
      <c r="P293" s="10"/>
      <c r="Q293" s="10"/>
      <c r="R293" s="10"/>
      <c r="S293" s="10" t="s">
        <v>435</v>
      </c>
      <c r="T293" s="10"/>
      <c r="U293" s="10"/>
      <c r="V293" s="10" t="s">
        <v>0</v>
      </c>
      <c r="W293" s="43">
        <v>4</v>
      </c>
      <c r="X293" s="10">
        <v>3</v>
      </c>
    </row>
    <row r="294" spans="1:24" ht="32" x14ac:dyDescent="0.2">
      <c r="A294" s="10">
        <v>8</v>
      </c>
      <c r="B294" s="10" t="s">
        <v>749</v>
      </c>
      <c r="C294" s="10"/>
      <c r="D294" s="10"/>
      <c r="E294" s="10" t="s">
        <v>783</v>
      </c>
      <c r="F294" s="10"/>
      <c r="G294" s="10" t="s">
        <v>58</v>
      </c>
      <c r="H294" s="10"/>
      <c r="I294" s="10" t="s">
        <v>433</v>
      </c>
      <c r="J294" s="10" t="s">
        <v>917</v>
      </c>
      <c r="K294" s="10"/>
      <c r="L294" s="10">
        <v>1969</v>
      </c>
      <c r="M294" s="10" t="s">
        <v>785</v>
      </c>
      <c r="N294" s="10"/>
      <c r="O294" s="10"/>
      <c r="P294" s="10"/>
      <c r="Q294" s="10"/>
      <c r="R294" s="10"/>
      <c r="S294" s="10" t="s">
        <v>65</v>
      </c>
      <c r="T294" s="10"/>
      <c r="U294" s="10"/>
      <c r="V294" s="10" t="s">
        <v>0</v>
      </c>
      <c r="W294" s="43">
        <v>1148</v>
      </c>
      <c r="X294" s="10">
        <v>3</v>
      </c>
    </row>
    <row r="295" spans="1:24" ht="32" x14ac:dyDescent="0.2">
      <c r="A295" s="10">
        <v>8</v>
      </c>
      <c r="B295" s="10" t="s">
        <v>749</v>
      </c>
      <c r="C295" s="10"/>
      <c r="D295" s="10"/>
      <c r="E295" s="10" t="s">
        <v>783</v>
      </c>
      <c r="F295" s="10"/>
      <c r="G295" s="10" t="s">
        <v>58</v>
      </c>
      <c r="H295" s="10"/>
      <c r="I295" s="10" t="s">
        <v>433</v>
      </c>
      <c r="J295" s="10" t="s">
        <v>917</v>
      </c>
      <c r="K295" s="10"/>
      <c r="L295" s="10">
        <v>1969</v>
      </c>
      <c r="M295" s="10" t="s">
        <v>785</v>
      </c>
      <c r="N295" s="10"/>
      <c r="O295" s="10"/>
      <c r="P295" s="10"/>
      <c r="Q295" s="10"/>
      <c r="R295" s="10"/>
      <c r="S295" s="10" t="s">
        <v>30</v>
      </c>
      <c r="T295" s="10"/>
      <c r="U295" s="10"/>
      <c r="V295" s="10" t="s">
        <v>0</v>
      </c>
      <c r="W295" s="43">
        <v>49</v>
      </c>
      <c r="X295" s="10">
        <v>3</v>
      </c>
    </row>
    <row r="296" spans="1:24" ht="32" x14ac:dyDescent="0.2">
      <c r="A296" s="10">
        <v>8</v>
      </c>
      <c r="B296" s="10" t="s">
        <v>749</v>
      </c>
      <c r="C296" s="10"/>
      <c r="D296" s="10"/>
      <c r="E296" s="10" t="s">
        <v>783</v>
      </c>
      <c r="F296" s="10"/>
      <c r="G296" s="10" t="s">
        <v>58</v>
      </c>
      <c r="H296" s="10"/>
      <c r="I296" s="10" t="s">
        <v>433</v>
      </c>
      <c r="J296" s="10" t="s">
        <v>917</v>
      </c>
      <c r="K296" s="10"/>
      <c r="L296" s="10">
        <v>1969</v>
      </c>
      <c r="M296" s="10" t="s">
        <v>785</v>
      </c>
      <c r="N296" s="10"/>
      <c r="O296" s="10"/>
      <c r="P296" s="10"/>
      <c r="Q296" s="10"/>
      <c r="R296" s="10"/>
      <c r="S296" s="10" t="s">
        <v>67</v>
      </c>
      <c r="T296" s="10"/>
      <c r="U296" s="10"/>
      <c r="V296" s="10" t="s">
        <v>0</v>
      </c>
      <c r="W296" s="43">
        <v>102</v>
      </c>
      <c r="X296" s="10">
        <v>3</v>
      </c>
    </row>
    <row r="297" spans="1:24" ht="32" x14ac:dyDescent="0.2">
      <c r="A297" s="10">
        <v>8</v>
      </c>
      <c r="B297" s="10" t="s">
        <v>749</v>
      </c>
      <c r="C297" s="10"/>
      <c r="D297" s="10"/>
      <c r="E297" s="10" t="s">
        <v>783</v>
      </c>
      <c r="F297" s="10"/>
      <c r="G297" s="10" t="s">
        <v>58</v>
      </c>
      <c r="H297" s="10"/>
      <c r="I297" s="10" t="s">
        <v>433</v>
      </c>
      <c r="J297" s="10" t="s">
        <v>917</v>
      </c>
      <c r="K297" s="10"/>
      <c r="L297" s="10">
        <v>1969</v>
      </c>
      <c r="M297" s="10" t="s">
        <v>785</v>
      </c>
      <c r="N297" s="10"/>
      <c r="O297" s="10"/>
      <c r="P297" s="10"/>
      <c r="Q297" s="10"/>
      <c r="R297" s="10"/>
      <c r="S297" s="10" t="s">
        <v>435</v>
      </c>
      <c r="T297" s="10"/>
      <c r="U297" s="10"/>
      <c r="V297" s="10" t="s">
        <v>0</v>
      </c>
      <c r="W297" s="43">
        <v>5</v>
      </c>
      <c r="X297" s="10">
        <v>3</v>
      </c>
    </row>
    <row r="298" spans="1:24" ht="32" x14ac:dyDescent="0.2">
      <c r="A298" s="10">
        <v>8</v>
      </c>
      <c r="B298" s="10" t="s">
        <v>749</v>
      </c>
      <c r="C298" s="10"/>
      <c r="D298" s="10"/>
      <c r="E298" s="10" t="s">
        <v>783</v>
      </c>
      <c r="F298" s="10"/>
      <c r="G298" s="10" t="s">
        <v>58</v>
      </c>
      <c r="H298" s="10"/>
      <c r="I298" s="10" t="s">
        <v>433</v>
      </c>
      <c r="J298" s="10" t="s">
        <v>918</v>
      </c>
      <c r="K298" s="10"/>
      <c r="L298" s="10">
        <v>2007</v>
      </c>
      <c r="M298" s="10" t="s">
        <v>785</v>
      </c>
      <c r="N298" s="10"/>
      <c r="O298" s="10"/>
      <c r="P298" s="10"/>
      <c r="Q298" s="10"/>
      <c r="R298" s="10"/>
      <c r="S298" s="10" t="s">
        <v>65</v>
      </c>
      <c r="T298" s="10"/>
      <c r="U298" s="10"/>
      <c r="V298" s="10" t="s">
        <v>0</v>
      </c>
      <c r="W298" s="43">
        <v>1181</v>
      </c>
      <c r="X298" s="10">
        <v>3</v>
      </c>
    </row>
    <row r="299" spans="1:24" ht="32" x14ac:dyDescent="0.2">
      <c r="A299" s="10">
        <v>8</v>
      </c>
      <c r="B299" s="10" t="s">
        <v>749</v>
      </c>
      <c r="C299" s="10"/>
      <c r="D299" s="10"/>
      <c r="E299" s="10" t="s">
        <v>783</v>
      </c>
      <c r="F299" s="10"/>
      <c r="G299" s="10" t="s">
        <v>58</v>
      </c>
      <c r="H299" s="10"/>
      <c r="I299" s="10" t="s">
        <v>433</v>
      </c>
      <c r="J299" s="10" t="s">
        <v>918</v>
      </c>
      <c r="K299" s="10"/>
      <c r="L299" s="10">
        <v>2007</v>
      </c>
      <c r="M299" s="10" t="s">
        <v>785</v>
      </c>
      <c r="N299" s="10"/>
      <c r="O299" s="10"/>
      <c r="P299" s="10"/>
      <c r="Q299" s="10"/>
      <c r="R299" s="10"/>
      <c r="S299" s="10" t="s">
        <v>30</v>
      </c>
      <c r="T299" s="10"/>
      <c r="U299" s="10"/>
      <c r="V299" s="10" t="s">
        <v>0</v>
      </c>
      <c r="W299" s="43">
        <v>56</v>
      </c>
      <c r="X299" s="10">
        <v>3</v>
      </c>
    </row>
    <row r="300" spans="1:24" ht="32" x14ac:dyDescent="0.2">
      <c r="A300" s="10">
        <v>8</v>
      </c>
      <c r="B300" s="10" t="s">
        <v>749</v>
      </c>
      <c r="C300" s="10"/>
      <c r="D300" s="10"/>
      <c r="E300" s="10" t="s">
        <v>783</v>
      </c>
      <c r="F300" s="10"/>
      <c r="G300" s="10" t="s">
        <v>58</v>
      </c>
      <c r="H300" s="10"/>
      <c r="I300" s="10" t="s">
        <v>433</v>
      </c>
      <c r="J300" s="10" t="s">
        <v>918</v>
      </c>
      <c r="K300" s="10"/>
      <c r="L300" s="10">
        <v>2007</v>
      </c>
      <c r="M300" s="10" t="s">
        <v>785</v>
      </c>
      <c r="N300" s="10"/>
      <c r="O300" s="10"/>
      <c r="P300" s="10"/>
      <c r="Q300" s="10"/>
      <c r="R300" s="10"/>
      <c r="S300" s="10" t="s">
        <v>67</v>
      </c>
      <c r="T300" s="10"/>
      <c r="U300" s="10"/>
      <c r="V300" s="10" t="s">
        <v>0</v>
      </c>
      <c r="W300" s="43">
        <v>92</v>
      </c>
      <c r="X300" s="10">
        <v>3</v>
      </c>
    </row>
    <row r="301" spans="1:24" ht="32" x14ac:dyDescent="0.2">
      <c r="A301" s="10">
        <v>8</v>
      </c>
      <c r="B301" s="10" t="s">
        <v>749</v>
      </c>
      <c r="C301" s="10"/>
      <c r="D301" s="10"/>
      <c r="E301" s="10" t="s">
        <v>783</v>
      </c>
      <c r="F301" s="10"/>
      <c r="G301" s="10" t="s">
        <v>58</v>
      </c>
      <c r="H301" s="10"/>
      <c r="I301" s="10" t="s">
        <v>433</v>
      </c>
      <c r="J301" s="10" t="s">
        <v>918</v>
      </c>
      <c r="K301" s="10"/>
      <c r="L301" s="10">
        <v>2007</v>
      </c>
      <c r="M301" s="10" t="s">
        <v>785</v>
      </c>
      <c r="N301" s="10"/>
      <c r="O301" s="10"/>
      <c r="P301" s="10"/>
      <c r="Q301" s="10"/>
      <c r="R301" s="10"/>
      <c r="S301" s="10" t="s">
        <v>435</v>
      </c>
      <c r="T301" s="10"/>
      <c r="U301" s="10"/>
      <c r="V301" s="10" t="s">
        <v>0</v>
      </c>
      <c r="W301" s="43">
        <v>5</v>
      </c>
      <c r="X301" s="10">
        <v>3</v>
      </c>
    </row>
    <row r="302" spans="1:24" ht="32" x14ac:dyDescent="0.2">
      <c r="A302" s="10">
        <v>8</v>
      </c>
      <c r="B302" s="10" t="s">
        <v>749</v>
      </c>
      <c r="C302" s="10"/>
      <c r="D302" s="10"/>
      <c r="E302" s="10" t="s">
        <v>783</v>
      </c>
      <c r="F302" s="10"/>
      <c r="G302" s="10" t="s">
        <v>58</v>
      </c>
      <c r="H302" s="10"/>
      <c r="I302" s="10" t="s">
        <v>70</v>
      </c>
      <c r="J302" s="10" t="s">
        <v>919</v>
      </c>
      <c r="K302" s="10"/>
      <c r="L302" s="10">
        <v>1981</v>
      </c>
      <c r="M302" s="10" t="s">
        <v>786</v>
      </c>
      <c r="N302" s="10"/>
      <c r="O302" s="10"/>
      <c r="P302" s="10"/>
      <c r="Q302" s="10"/>
      <c r="R302" s="10"/>
      <c r="S302" s="10" t="s">
        <v>65</v>
      </c>
      <c r="T302" s="10"/>
      <c r="U302" s="10"/>
      <c r="V302" s="10" t="s">
        <v>0</v>
      </c>
      <c r="W302" s="43">
        <v>766</v>
      </c>
      <c r="X302" s="10">
        <v>4</v>
      </c>
    </row>
    <row r="303" spans="1:24" ht="32" x14ac:dyDescent="0.2">
      <c r="A303" s="10">
        <v>8</v>
      </c>
      <c r="B303" s="10" t="s">
        <v>749</v>
      </c>
      <c r="C303" s="10"/>
      <c r="D303" s="10"/>
      <c r="E303" s="10" t="s">
        <v>783</v>
      </c>
      <c r="F303" s="10"/>
      <c r="G303" s="10" t="s">
        <v>58</v>
      </c>
      <c r="H303" s="10"/>
      <c r="I303" s="10" t="s">
        <v>70</v>
      </c>
      <c r="J303" s="10" t="s">
        <v>919</v>
      </c>
      <c r="K303" s="10"/>
      <c r="L303" s="10">
        <v>1981</v>
      </c>
      <c r="M303" s="10" t="s">
        <v>786</v>
      </c>
      <c r="N303" s="10"/>
      <c r="O303" s="10"/>
      <c r="P303" s="10"/>
      <c r="Q303" s="10"/>
      <c r="R303" s="10"/>
      <c r="S303" s="10" t="s">
        <v>30</v>
      </c>
      <c r="T303" s="10"/>
      <c r="U303" s="10"/>
      <c r="V303" s="10" t="s">
        <v>0</v>
      </c>
      <c r="W303" s="43">
        <v>104</v>
      </c>
      <c r="X303" s="10">
        <v>4</v>
      </c>
    </row>
    <row r="304" spans="1:24" ht="32" x14ac:dyDescent="0.2">
      <c r="A304" s="10">
        <v>8</v>
      </c>
      <c r="B304" s="10" t="s">
        <v>749</v>
      </c>
      <c r="C304" s="10"/>
      <c r="D304" s="10"/>
      <c r="E304" s="10" t="s">
        <v>783</v>
      </c>
      <c r="F304" s="10"/>
      <c r="G304" s="10" t="s">
        <v>58</v>
      </c>
      <c r="H304" s="10"/>
      <c r="I304" s="10" t="s">
        <v>70</v>
      </c>
      <c r="J304" s="10" t="s">
        <v>919</v>
      </c>
      <c r="K304" s="10"/>
      <c r="L304" s="10">
        <v>1981</v>
      </c>
      <c r="M304" s="10" t="s">
        <v>786</v>
      </c>
      <c r="N304" s="10"/>
      <c r="O304" s="10"/>
      <c r="P304" s="10"/>
      <c r="Q304" s="10"/>
      <c r="R304" s="10"/>
      <c r="S304" s="10" t="s">
        <v>67</v>
      </c>
      <c r="T304" s="10"/>
      <c r="U304" s="10"/>
      <c r="V304" s="10" t="s">
        <v>0</v>
      </c>
      <c r="W304" s="43">
        <v>136</v>
      </c>
      <c r="X304" s="10">
        <v>4</v>
      </c>
    </row>
    <row r="305" spans="1:24" ht="32" x14ac:dyDescent="0.2">
      <c r="A305" s="10">
        <v>8</v>
      </c>
      <c r="B305" s="10" t="s">
        <v>749</v>
      </c>
      <c r="C305" s="10"/>
      <c r="D305" s="10"/>
      <c r="E305" s="10" t="s">
        <v>783</v>
      </c>
      <c r="F305" s="10"/>
      <c r="G305" s="10" t="s">
        <v>58</v>
      </c>
      <c r="H305" s="10"/>
      <c r="I305" s="10" t="s">
        <v>70</v>
      </c>
      <c r="J305" s="10" t="s">
        <v>919</v>
      </c>
      <c r="K305" s="10"/>
      <c r="L305" s="10">
        <v>1981</v>
      </c>
      <c r="M305" s="10" t="s">
        <v>786</v>
      </c>
      <c r="N305" s="10"/>
      <c r="O305" s="10"/>
      <c r="P305" s="10"/>
      <c r="Q305" s="10"/>
      <c r="R305" s="10"/>
      <c r="S305" s="10" t="s">
        <v>435</v>
      </c>
      <c r="T305" s="10"/>
      <c r="U305" s="10"/>
      <c r="V305" s="10" t="s">
        <v>0</v>
      </c>
      <c r="W305" s="43">
        <v>8</v>
      </c>
      <c r="X305" s="10">
        <v>4</v>
      </c>
    </row>
    <row r="306" spans="1:24" ht="32" x14ac:dyDescent="0.2">
      <c r="A306" s="10">
        <v>8</v>
      </c>
      <c r="B306" s="10" t="s">
        <v>749</v>
      </c>
      <c r="C306" s="10"/>
      <c r="D306" s="10"/>
      <c r="E306" s="10" t="s">
        <v>783</v>
      </c>
      <c r="F306" s="10"/>
      <c r="G306" s="10" t="s">
        <v>58</v>
      </c>
      <c r="H306" s="10"/>
      <c r="I306" s="10" t="s">
        <v>70</v>
      </c>
      <c r="J306" s="10" t="s">
        <v>920</v>
      </c>
      <c r="K306" s="10"/>
      <c r="L306" s="10">
        <v>1969</v>
      </c>
      <c r="M306" s="10" t="s">
        <v>786</v>
      </c>
      <c r="N306" s="10"/>
      <c r="O306" s="10"/>
      <c r="P306" s="10"/>
      <c r="Q306" s="10"/>
      <c r="R306" s="10"/>
      <c r="S306" s="10" t="s">
        <v>65</v>
      </c>
      <c r="T306" s="10"/>
      <c r="U306" s="10"/>
      <c r="V306" s="10" t="s">
        <v>0</v>
      </c>
      <c r="W306" s="43">
        <v>966</v>
      </c>
      <c r="X306" s="10">
        <v>4</v>
      </c>
    </row>
    <row r="307" spans="1:24" ht="32" x14ac:dyDescent="0.2">
      <c r="A307" s="10">
        <v>8</v>
      </c>
      <c r="B307" s="10" t="s">
        <v>749</v>
      </c>
      <c r="C307" s="10"/>
      <c r="D307" s="10"/>
      <c r="E307" s="10" t="s">
        <v>783</v>
      </c>
      <c r="F307" s="10"/>
      <c r="G307" s="10" t="s">
        <v>58</v>
      </c>
      <c r="H307" s="10"/>
      <c r="I307" s="10" t="s">
        <v>70</v>
      </c>
      <c r="J307" s="10" t="s">
        <v>920</v>
      </c>
      <c r="K307" s="10"/>
      <c r="L307" s="10">
        <v>1969</v>
      </c>
      <c r="M307" s="10" t="s">
        <v>786</v>
      </c>
      <c r="N307" s="10"/>
      <c r="O307" s="10"/>
      <c r="P307" s="10"/>
      <c r="Q307" s="10"/>
      <c r="R307" s="10"/>
      <c r="S307" s="10" t="s">
        <v>30</v>
      </c>
      <c r="T307" s="10"/>
      <c r="U307" s="10"/>
      <c r="V307" s="10" t="s">
        <v>0</v>
      </c>
      <c r="W307" s="43">
        <v>120</v>
      </c>
      <c r="X307" s="10">
        <v>4</v>
      </c>
    </row>
    <row r="308" spans="1:24" ht="32" x14ac:dyDescent="0.2">
      <c r="A308" s="10">
        <v>8</v>
      </c>
      <c r="B308" s="10" t="s">
        <v>749</v>
      </c>
      <c r="C308" s="10"/>
      <c r="D308" s="10"/>
      <c r="E308" s="10" t="s">
        <v>783</v>
      </c>
      <c r="F308" s="10"/>
      <c r="G308" s="10" t="s">
        <v>58</v>
      </c>
      <c r="H308" s="10"/>
      <c r="I308" s="10" t="s">
        <v>70</v>
      </c>
      <c r="J308" s="10" t="s">
        <v>920</v>
      </c>
      <c r="K308" s="10"/>
      <c r="L308" s="10">
        <v>1969</v>
      </c>
      <c r="M308" s="10" t="s">
        <v>786</v>
      </c>
      <c r="N308" s="10"/>
      <c r="O308" s="10"/>
      <c r="P308" s="10"/>
      <c r="Q308" s="10"/>
      <c r="R308" s="10"/>
      <c r="S308" s="10" t="s">
        <v>67</v>
      </c>
      <c r="T308" s="10"/>
      <c r="U308" s="10"/>
      <c r="V308" s="10" t="s">
        <v>0</v>
      </c>
      <c r="W308" s="43">
        <v>123</v>
      </c>
      <c r="X308" s="10">
        <v>4</v>
      </c>
    </row>
    <row r="309" spans="1:24" ht="32" x14ac:dyDescent="0.2">
      <c r="A309" s="10">
        <v>8</v>
      </c>
      <c r="B309" s="10" t="s">
        <v>749</v>
      </c>
      <c r="C309" s="10"/>
      <c r="D309" s="10"/>
      <c r="E309" s="10" t="s">
        <v>783</v>
      </c>
      <c r="F309" s="10"/>
      <c r="G309" s="10" t="s">
        <v>58</v>
      </c>
      <c r="H309" s="10"/>
      <c r="I309" s="10" t="s">
        <v>70</v>
      </c>
      <c r="J309" s="10" t="s">
        <v>920</v>
      </c>
      <c r="K309" s="10"/>
      <c r="L309" s="10">
        <v>1969</v>
      </c>
      <c r="M309" s="10" t="s">
        <v>786</v>
      </c>
      <c r="N309" s="10"/>
      <c r="O309" s="10"/>
      <c r="P309" s="10"/>
      <c r="Q309" s="10"/>
      <c r="R309" s="10"/>
      <c r="S309" s="10" t="s">
        <v>435</v>
      </c>
      <c r="T309" s="10"/>
      <c r="U309" s="10"/>
      <c r="V309" s="10" t="s">
        <v>0</v>
      </c>
      <c r="W309" s="43">
        <v>8</v>
      </c>
      <c r="X309" s="10">
        <v>4</v>
      </c>
    </row>
    <row r="310" spans="1:24" ht="32" x14ac:dyDescent="0.2">
      <c r="A310" s="10">
        <v>8</v>
      </c>
      <c r="B310" s="10" t="s">
        <v>749</v>
      </c>
      <c r="C310" s="10"/>
      <c r="D310" s="10"/>
      <c r="E310" s="10" t="s">
        <v>783</v>
      </c>
      <c r="F310" s="10"/>
      <c r="G310" s="10" t="s">
        <v>58</v>
      </c>
      <c r="H310" s="10"/>
      <c r="I310" s="10" t="s">
        <v>70</v>
      </c>
      <c r="J310" s="10" t="s">
        <v>921</v>
      </c>
      <c r="K310" s="10"/>
      <c r="L310" s="10">
        <v>2007</v>
      </c>
      <c r="M310" s="10" t="s">
        <v>786</v>
      </c>
      <c r="N310" s="10"/>
      <c r="O310" s="10"/>
      <c r="P310" s="10"/>
      <c r="Q310" s="10"/>
      <c r="R310" s="10"/>
      <c r="S310" s="10" t="s">
        <v>65</v>
      </c>
      <c r="T310" s="10"/>
      <c r="U310" s="10"/>
      <c r="V310" s="10" t="s">
        <v>0</v>
      </c>
      <c r="W310" s="43">
        <v>1126</v>
      </c>
      <c r="X310" s="10">
        <v>4</v>
      </c>
    </row>
    <row r="311" spans="1:24" ht="32" x14ac:dyDescent="0.2">
      <c r="A311" s="10">
        <v>8</v>
      </c>
      <c r="B311" s="10" t="s">
        <v>749</v>
      </c>
      <c r="C311" s="10"/>
      <c r="D311" s="10"/>
      <c r="E311" s="10" t="s">
        <v>783</v>
      </c>
      <c r="F311" s="10"/>
      <c r="G311" s="10" t="s">
        <v>58</v>
      </c>
      <c r="H311" s="10"/>
      <c r="I311" s="10" t="s">
        <v>70</v>
      </c>
      <c r="J311" s="10" t="s">
        <v>921</v>
      </c>
      <c r="K311" s="10"/>
      <c r="L311" s="10">
        <v>2007</v>
      </c>
      <c r="M311" s="10" t="s">
        <v>786</v>
      </c>
      <c r="N311" s="10"/>
      <c r="O311" s="10"/>
      <c r="P311" s="10"/>
      <c r="Q311" s="10"/>
      <c r="R311" s="10"/>
      <c r="S311" s="10" t="s">
        <v>30</v>
      </c>
      <c r="T311" s="10"/>
      <c r="U311" s="10"/>
      <c r="V311" s="10" t="s">
        <v>0</v>
      </c>
      <c r="W311" s="43">
        <v>133</v>
      </c>
      <c r="X311" s="10">
        <v>4</v>
      </c>
    </row>
    <row r="312" spans="1:24" ht="32" x14ac:dyDescent="0.2">
      <c r="A312" s="10">
        <v>8</v>
      </c>
      <c r="B312" s="10" t="s">
        <v>749</v>
      </c>
      <c r="C312" s="10"/>
      <c r="D312" s="10"/>
      <c r="E312" s="10" t="s">
        <v>783</v>
      </c>
      <c r="F312" s="10"/>
      <c r="G312" s="10" t="s">
        <v>58</v>
      </c>
      <c r="H312" s="10"/>
      <c r="I312" s="10" t="s">
        <v>70</v>
      </c>
      <c r="J312" s="10" t="s">
        <v>921</v>
      </c>
      <c r="K312" s="10"/>
      <c r="L312" s="10">
        <v>2007</v>
      </c>
      <c r="M312" s="10" t="s">
        <v>786</v>
      </c>
      <c r="N312" s="10"/>
      <c r="O312" s="10"/>
      <c r="P312" s="10"/>
      <c r="Q312" s="10"/>
      <c r="R312" s="10"/>
      <c r="S312" s="10" t="s">
        <v>67</v>
      </c>
      <c r="T312" s="10"/>
      <c r="U312" s="10"/>
      <c r="V312" s="10" t="s">
        <v>0</v>
      </c>
      <c r="W312" s="43">
        <v>123</v>
      </c>
      <c r="X312" s="10">
        <v>4</v>
      </c>
    </row>
    <row r="313" spans="1:24" ht="32" x14ac:dyDescent="0.2">
      <c r="A313" s="10">
        <v>8</v>
      </c>
      <c r="B313" s="10" t="s">
        <v>749</v>
      </c>
      <c r="C313" s="10"/>
      <c r="D313" s="10"/>
      <c r="E313" s="10" t="s">
        <v>783</v>
      </c>
      <c r="F313" s="10"/>
      <c r="G313" s="10" t="s">
        <v>58</v>
      </c>
      <c r="H313" s="10"/>
      <c r="I313" s="10" t="s">
        <v>70</v>
      </c>
      <c r="J313" s="10" t="s">
        <v>921</v>
      </c>
      <c r="K313" s="10"/>
      <c r="L313" s="10">
        <v>2007</v>
      </c>
      <c r="M313" s="10" t="s">
        <v>786</v>
      </c>
      <c r="N313" s="10"/>
      <c r="O313" s="10"/>
      <c r="P313" s="10"/>
      <c r="Q313" s="10"/>
      <c r="R313" s="10"/>
      <c r="S313" s="10" t="s">
        <v>435</v>
      </c>
      <c r="T313" s="10"/>
      <c r="U313" s="10"/>
      <c r="V313" s="10" t="s">
        <v>0</v>
      </c>
      <c r="W313" s="43">
        <v>9</v>
      </c>
      <c r="X313" s="10">
        <v>4</v>
      </c>
    </row>
    <row r="314" spans="1:24" ht="40" customHeight="1" x14ac:dyDescent="0.2">
      <c r="A314" s="9">
        <v>9</v>
      </c>
      <c r="B314" s="10" t="s">
        <v>863</v>
      </c>
      <c r="C314" s="10" t="s">
        <v>890</v>
      </c>
      <c r="D314" s="10" t="s">
        <v>889</v>
      </c>
      <c r="E314" s="10" t="s">
        <v>864</v>
      </c>
      <c r="F314" s="10"/>
      <c r="G314" s="10" t="s">
        <v>58</v>
      </c>
      <c r="H314" s="10"/>
      <c r="I314" s="10" t="s">
        <v>433</v>
      </c>
      <c r="J314" s="10" t="s">
        <v>865</v>
      </c>
      <c r="K314" s="10"/>
      <c r="L314" s="10">
        <v>1918</v>
      </c>
      <c r="M314" s="10">
        <v>3.4</v>
      </c>
      <c r="N314" s="10"/>
      <c r="O314" s="10"/>
      <c r="P314" s="10"/>
      <c r="Q314" s="10"/>
      <c r="R314" s="10"/>
      <c r="S314" s="10" t="s">
        <v>30</v>
      </c>
      <c r="T314" s="10"/>
      <c r="U314" s="10"/>
      <c r="V314" s="10" t="s">
        <v>0</v>
      </c>
      <c r="W314" s="43">
        <v>3.414459688</v>
      </c>
      <c r="X314" s="10">
        <v>3</v>
      </c>
    </row>
    <row r="315" spans="1:24" ht="32" x14ac:dyDescent="0.2">
      <c r="A315" s="9">
        <v>9</v>
      </c>
      <c r="B315" s="10" t="s">
        <v>863</v>
      </c>
      <c r="C315" s="10"/>
      <c r="D315" s="10"/>
      <c r="E315" s="10" t="s">
        <v>864</v>
      </c>
      <c r="F315" s="10"/>
      <c r="G315" s="10" t="s">
        <v>58</v>
      </c>
      <c r="H315" s="10"/>
      <c r="I315" s="10" t="s">
        <v>433</v>
      </c>
      <c r="J315" s="10" t="s">
        <v>865</v>
      </c>
      <c r="K315" s="10"/>
      <c r="L315" s="10">
        <v>1918</v>
      </c>
      <c r="M315" s="10">
        <v>3.4</v>
      </c>
      <c r="N315" s="10"/>
      <c r="O315" s="10"/>
      <c r="P315" s="10"/>
      <c r="Q315" s="10"/>
      <c r="R315" s="10"/>
      <c r="S315" s="10" t="s">
        <v>412</v>
      </c>
      <c r="T315" s="10"/>
      <c r="U315" s="10"/>
      <c r="V315" s="10" t="s">
        <v>0</v>
      </c>
      <c r="W315" s="43">
        <v>0.16285819500000001</v>
      </c>
      <c r="X315" s="10">
        <v>3</v>
      </c>
    </row>
    <row r="316" spans="1:24" ht="32" x14ac:dyDescent="0.2">
      <c r="A316" s="9">
        <v>9</v>
      </c>
      <c r="B316" s="10" t="s">
        <v>863</v>
      </c>
      <c r="C316" s="10"/>
      <c r="D316" s="10"/>
      <c r="E316" s="10" t="s">
        <v>864</v>
      </c>
      <c r="F316" s="10"/>
      <c r="G316" s="10" t="s">
        <v>58</v>
      </c>
      <c r="H316" s="10"/>
      <c r="I316" s="10" t="s">
        <v>433</v>
      </c>
      <c r="J316" s="10" t="s">
        <v>865</v>
      </c>
      <c r="K316" s="10"/>
      <c r="L316" s="10">
        <v>1918</v>
      </c>
      <c r="M316" s="10">
        <v>3.4</v>
      </c>
      <c r="N316" s="10"/>
      <c r="O316" s="10"/>
      <c r="P316" s="10"/>
      <c r="Q316" s="10"/>
      <c r="R316" s="10"/>
      <c r="S316" s="10" t="s">
        <v>290</v>
      </c>
      <c r="T316" s="10"/>
      <c r="U316" s="10"/>
      <c r="V316" s="10" t="s">
        <v>0</v>
      </c>
      <c r="W316" s="43">
        <v>0.47809052699999999</v>
      </c>
      <c r="X316" s="10">
        <v>3</v>
      </c>
    </row>
    <row r="317" spans="1:24" ht="32" x14ac:dyDescent="0.2">
      <c r="A317" s="9">
        <v>9</v>
      </c>
      <c r="B317" s="10" t="s">
        <v>863</v>
      </c>
      <c r="C317" s="10"/>
      <c r="D317" s="10"/>
      <c r="E317" s="10" t="s">
        <v>864</v>
      </c>
      <c r="F317" s="10"/>
      <c r="G317" s="10" t="s">
        <v>58</v>
      </c>
      <c r="H317" s="10"/>
      <c r="I317" s="10" t="s">
        <v>433</v>
      </c>
      <c r="J317" s="10" t="s">
        <v>865</v>
      </c>
      <c r="K317" s="10"/>
      <c r="L317" s="10">
        <v>1918</v>
      </c>
      <c r="M317" s="10">
        <v>3.4</v>
      </c>
      <c r="N317" s="10"/>
      <c r="O317" s="10"/>
      <c r="P317" s="10"/>
      <c r="Q317" s="10"/>
      <c r="R317" s="10"/>
      <c r="S317" s="10" t="s">
        <v>67</v>
      </c>
      <c r="T317" s="10"/>
      <c r="U317" s="10"/>
      <c r="V317" s="10" t="s">
        <v>0</v>
      </c>
      <c r="W317" s="43">
        <v>6.8171869989999996</v>
      </c>
      <c r="X317" s="10">
        <v>3</v>
      </c>
    </row>
    <row r="318" spans="1:24" ht="32" x14ac:dyDescent="0.2">
      <c r="A318" s="9">
        <v>9</v>
      </c>
      <c r="B318" s="10" t="s">
        <v>863</v>
      </c>
      <c r="C318" s="10"/>
      <c r="D318" s="10"/>
      <c r="E318" s="10" t="s">
        <v>864</v>
      </c>
      <c r="F318" s="10"/>
      <c r="G318" s="10" t="s">
        <v>58</v>
      </c>
      <c r="H318" s="10"/>
      <c r="I318" s="10" t="s">
        <v>433</v>
      </c>
      <c r="J318" s="10" t="s">
        <v>865</v>
      </c>
      <c r="K318" s="10"/>
      <c r="L318" s="10">
        <v>1918</v>
      </c>
      <c r="M318" s="10">
        <v>3.4</v>
      </c>
      <c r="N318" s="10"/>
      <c r="O318" s="10"/>
      <c r="P318" s="10"/>
      <c r="Q318" s="10"/>
      <c r="R318" s="10"/>
      <c r="S318" s="10" t="s">
        <v>65</v>
      </c>
      <c r="T318" s="10"/>
      <c r="U318" s="10"/>
      <c r="V318" s="10" t="s">
        <v>0</v>
      </c>
      <c r="W318" s="43">
        <v>529.34949300000005</v>
      </c>
      <c r="X318" s="10">
        <v>3</v>
      </c>
    </row>
    <row r="319" spans="1:24" ht="32" x14ac:dyDescent="0.2">
      <c r="A319" s="9">
        <v>9</v>
      </c>
      <c r="B319" s="10" t="s">
        <v>863</v>
      </c>
      <c r="C319" s="10"/>
      <c r="D319" s="10"/>
      <c r="E319" s="10" t="s">
        <v>864</v>
      </c>
      <c r="F319" s="10"/>
      <c r="G319" s="10" t="s">
        <v>58</v>
      </c>
      <c r="H319" s="10"/>
      <c r="I319" s="10" t="s">
        <v>433</v>
      </c>
      <c r="J319" s="10" t="s">
        <v>865</v>
      </c>
      <c r="K319" s="10"/>
      <c r="L319" s="10">
        <v>1918</v>
      </c>
      <c r="M319" s="10">
        <v>3.4</v>
      </c>
      <c r="N319" s="10"/>
      <c r="O319" s="10"/>
      <c r="P319" s="10"/>
      <c r="Q319" s="10"/>
      <c r="R319" s="10"/>
      <c r="S319" s="10" t="s">
        <v>435</v>
      </c>
      <c r="T319" s="10"/>
      <c r="U319" s="10"/>
      <c r="V319" s="10" t="s">
        <v>0</v>
      </c>
      <c r="W319" s="43">
        <v>0.90913925299999998</v>
      </c>
      <c r="X319" s="10">
        <v>3</v>
      </c>
    </row>
    <row r="320" spans="1:24" ht="32" x14ac:dyDescent="0.2">
      <c r="A320" s="9">
        <v>9</v>
      </c>
      <c r="B320" s="10" t="s">
        <v>863</v>
      </c>
      <c r="C320" s="10"/>
      <c r="D320" s="10"/>
      <c r="E320" s="10" t="s">
        <v>864</v>
      </c>
      <c r="F320" s="10"/>
      <c r="G320" s="10" t="s">
        <v>58</v>
      </c>
      <c r="H320" s="10"/>
      <c r="I320" s="10" t="s">
        <v>433</v>
      </c>
      <c r="J320" s="10" t="s">
        <v>866</v>
      </c>
      <c r="K320" s="10"/>
      <c r="L320" s="10">
        <v>1997</v>
      </c>
      <c r="M320" s="10">
        <v>3.2</v>
      </c>
      <c r="N320" s="10"/>
      <c r="O320" s="10"/>
      <c r="P320" s="10"/>
      <c r="Q320" s="10"/>
      <c r="R320" s="10"/>
      <c r="S320" s="10" t="s">
        <v>30</v>
      </c>
      <c r="T320" s="10"/>
      <c r="U320" s="10"/>
      <c r="V320" s="10" t="s">
        <v>0</v>
      </c>
      <c r="W320" s="43">
        <v>6.1957324839999997</v>
      </c>
      <c r="X320" s="10">
        <v>3</v>
      </c>
    </row>
    <row r="321" spans="1:24" ht="32" x14ac:dyDescent="0.2">
      <c r="A321" s="9">
        <v>9</v>
      </c>
      <c r="B321" s="10" t="s">
        <v>863</v>
      </c>
      <c r="C321" s="10"/>
      <c r="D321" s="10"/>
      <c r="E321" s="10" t="s">
        <v>864</v>
      </c>
      <c r="F321" s="10"/>
      <c r="G321" s="10" t="s">
        <v>58</v>
      </c>
      <c r="H321" s="10"/>
      <c r="I321" s="10" t="s">
        <v>433</v>
      </c>
      <c r="J321" s="10" t="s">
        <v>866</v>
      </c>
      <c r="K321" s="10"/>
      <c r="L321" s="10">
        <v>1997</v>
      </c>
      <c r="M321" s="10">
        <v>3.2</v>
      </c>
      <c r="N321" s="10"/>
      <c r="O321" s="10"/>
      <c r="P321" s="10"/>
      <c r="Q321" s="10"/>
      <c r="R321" s="10"/>
      <c r="S321" s="10" t="s">
        <v>412</v>
      </c>
      <c r="T321" s="10"/>
      <c r="U321" s="10"/>
      <c r="V321" s="10" t="s">
        <v>0</v>
      </c>
      <c r="W321" s="43">
        <v>8.3917196999999999E-2</v>
      </c>
      <c r="X321" s="10">
        <v>3</v>
      </c>
    </row>
    <row r="322" spans="1:24" ht="32" x14ac:dyDescent="0.2">
      <c r="A322" s="9">
        <v>9</v>
      </c>
      <c r="B322" s="10" t="s">
        <v>863</v>
      </c>
      <c r="C322" s="10"/>
      <c r="D322" s="10"/>
      <c r="E322" s="10" t="s">
        <v>864</v>
      </c>
      <c r="F322" s="10"/>
      <c r="G322" s="10" t="s">
        <v>58</v>
      </c>
      <c r="H322" s="10"/>
      <c r="I322" s="10" t="s">
        <v>433</v>
      </c>
      <c r="J322" s="10" t="s">
        <v>866</v>
      </c>
      <c r="K322" s="10"/>
      <c r="L322" s="10">
        <v>1997</v>
      </c>
      <c r="M322" s="10">
        <v>3.2</v>
      </c>
      <c r="N322" s="10"/>
      <c r="O322" s="10"/>
      <c r="P322" s="10"/>
      <c r="Q322" s="10"/>
      <c r="R322" s="10"/>
      <c r="S322" s="10" t="s">
        <v>290</v>
      </c>
      <c r="T322" s="10"/>
      <c r="U322" s="10"/>
      <c r="V322" s="10" t="s">
        <v>0</v>
      </c>
      <c r="W322" s="43">
        <v>0.85031847100000002</v>
      </c>
      <c r="X322" s="10">
        <v>3</v>
      </c>
    </row>
    <row r="323" spans="1:24" ht="32" x14ac:dyDescent="0.2">
      <c r="A323" s="9">
        <v>9</v>
      </c>
      <c r="B323" s="10" t="s">
        <v>863</v>
      </c>
      <c r="C323" s="10"/>
      <c r="D323" s="10"/>
      <c r="E323" s="10" t="s">
        <v>864</v>
      </c>
      <c r="F323" s="10"/>
      <c r="G323" s="10" t="s">
        <v>58</v>
      </c>
      <c r="H323" s="10"/>
      <c r="I323" s="10" t="s">
        <v>433</v>
      </c>
      <c r="J323" s="10" t="s">
        <v>866</v>
      </c>
      <c r="K323" s="10"/>
      <c r="L323" s="10">
        <v>1997</v>
      </c>
      <c r="M323" s="10">
        <v>3.2</v>
      </c>
      <c r="N323" s="10"/>
      <c r="O323" s="10"/>
      <c r="P323" s="10"/>
      <c r="Q323" s="10"/>
      <c r="R323" s="10"/>
      <c r="S323" s="10" t="s">
        <v>67</v>
      </c>
      <c r="T323" s="10"/>
      <c r="U323" s="10"/>
      <c r="V323" s="10" t="s">
        <v>0</v>
      </c>
      <c r="W323" s="43">
        <v>4.9353503180000002</v>
      </c>
      <c r="X323" s="10">
        <v>3</v>
      </c>
    </row>
    <row r="324" spans="1:24" ht="32" x14ac:dyDescent="0.2">
      <c r="A324" s="9">
        <v>9</v>
      </c>
      <c r="B324" s="10" t="s">
        <v>863</v>
      </c>
      <c r="C324" s="10"/>
      <c r="D324" s="10"/>
      <c r="E324" s="10" t="s">
        <v>864</v>
      </c>
      <c r="F324" s="10"/>
      <c r="G324" s="10" t="s">
        <v>58</v>
      </c>
      <c r="H324" s="10"/>
      <c r="I324" s="10" t="s">
        <v>433</v>
      </c>
      <c r="J324" s="10" t="s">
        <v>866</v>
      </c>
      <c r="K324" s="10"/>
      <c r="L324" s="10">
        <v>1997</v>
      </c>
      <c r="M324" s="10">
        <v>3.2</v>
      </c>
      <c r="N324" s="10"/>
      <c r="O324" s="10"/>
      <c r="P324" s="10"/>
      <c r="Q324" s="10"/>
      <c r="R324" s="10"/>
      <c r="S324" s="10" t="s">
        <v>65</v>
      </c>
      <c r="T324" s="10"/>
      <c r="U324" s="10"/>
      <c r="V324" s="10" t="s">
        <v>0</v>
      </c>
      <c r="W324" s="43">
        <v>1.543184713</v>
      </c>
      <c r="X324" s="10">
        <v>3</v>
      </c>
    </row>
    <row r="325" spans="1:24" ht="32" x14ac:dyDescent="0.2">
      <c r="A325" s="9">
        <v>9</v>
      </c>
      <c r="B325" s="10" t="s">
        <v>863</v>
      </c>
      <c r="C325" s="10"/>
      <c r="D325" s="10"/>
      <c r="E325" s="10" t="s">
        <v>864</v>
      </c>
      <c r="F325" s="10"/>
      <c r="G325" s="10" t="s">
        <v>58</v>
      </c>
      <c r="H325" s="10"/>
      <c r="I325" s="10" t="s">
        <v>433</v>
      </c>
      <c r="J325" s="10" t="s">
        <v>866</v>
      </c>
      <c r="K325" s="10"/>
      <c r="L325" s="10">
        <v>1997</v>
      </c>
      <c r="M325" s="10">
        <v>3.2</v>
      </c>
      <c r="N325" s="10"/>
      <c r="O325" s="10"/>
      <c r="P325" s="10"/>
      <c r="Q325" s="10"/>
      <c r="R325" s="10"/>
      <c r="S325" s="10" t="s">
        <v>435</v>
      </c>
      <c r="T325" s="10"/>
      <c r="U325" s="10"/>
      <c r="V325" s="10" t="s">
        <v>0</v>
      </c>
      <c r="W325" s="43">
        <v>2.211783439</v>
      </c>
      <c r="X325" s="10">
        <v>3</v>
      </c>
    </row>
    <row r="326" spans="1:24" ht="32" x14ac:dyDescent="0.2">
      <c r="A326" s="9">
        <v>9</v>
      </c>
      <c r="B326" s="10" t="s">
        <v>863</v>
      </c>
      <c r="C326" s="10"/>
      <c r="D326" s="10"/>
      <c r="E326" s="10" t="s">
        <v>864</v>
      </c>
      <c r="F326" s="10"/>
      <c r="G326" s="10" t="s">
        <v>58</v>
      </c>
      <c r="H326" s="10"/>
      <c r="I326" s="10" t="s">
        <v>433</v>
      </c>
      <c r="J326" s="10" t="s">
        <v>867</v>
      </c>
      <c r="K326" s="10"/>
      <c r="L326" s="10">
        <v>1997</v>
      </c>
      <c r="M326" s="10">
        <v>3.3</v>
      </c>
      <c r="N326" s="10"/>
      <c r="O326" s="10"/>
      <c r="P326" s="10"/>
      <c r="Q326" s="10"/>
      <c r="R326" s="10"/>
      <c r="S326" s="10" t="s">
        <v>30</v>
      </c>
      <c r="T326" s="10"/>
      <c r="U326" s="10"/>
      <c r="V326" s="10" t="s">
        <v>0</v>
      </c>
      <c r="W326" s="43">
        <v>3.0339037539999998</v>
      </c>
      <c r="X326" s="10">
        <v>3</v>
      </c>
    </row>
    <row r="327" spans="1:24" ht="32" x14ac:dyDescent="0.2">
      <c r="A327" s="9">
        <v>9</v>
      </c>
      <c r="B327" s="10" t="s">
        <v>863</v>
      </c>
      <c r="C327" s="10"/>
      <c r="D327" s="10"/>
      <c r="E327" s="10" t="s">
        <v>864</v>
      </c>
      <c r="F327" s="10"/>
      <c r="G327" s="10" t="s">
        <v>58</v>
      </c>
      <c r="H327" s="10"/>
      <c r="I327" s="10" t="s">
        <v>433</v>
      </c>
      <c r="J327" s="10" t="s">
        <v>867</v>
      </c>
      <c r="K327" s="10"/>
      <c r="L327" s="10">
        <v>1997</v>
      </c>
      <c r="M327" s="10">
        <v>3.3</v>
      </c>
      <c r="N327" s="10"/>
      <c r="O327" s="10"/>
      <c r="P327" s="10"/>
      <c r="Q327" s="10"/>
      <c r="R327" s="10"/>
      <c r="S327" s="10" t="s">
        <v>412</v>
      </c>
      <c r="T327" s="10"/>
      <c r="U327" s="10"/>
      <c r="V327" s="10" t="s">
        <v>0</v>
      </c>
      <c r="W327" s="43">
        <v>8.6964911000000006E-2</v>
      </c>
      <c r="X327" s="10">
        <v>3</v>
      </c>
    </row>
    <row r="328" spans="1:24" ht="32" x14ac:dyDescent="0.2">
      <c r="A328" s="9">
        <v>9</v>
      </c>
      <c r="B328" s="10" t="s">
        <v>863</v>
      </c>
      <c r="C328" s="10"/>
      <c r="D328" s="10"/>
      <c r="E328" s="10" t="s">
        <v>864</v>
      </c>
      <c r="F328" s="10"/>
      <c r="G328" s="10" t="s">
        <v>58</v>
      </c>
      <c r="H328" s="10"/>
      <c r="I328" s="10" t="s">
        <v>433</v>
      </c>
      <c r="J328" s="10" t="s">
        <v>867</v>
      </c>
      <c r="K328" s="10"/>
      <c r="L328" s="10">
        <v>1997</v>
      </c>
      <c r="M328" s="10">
        <v>3.3</v>
      </c>
      <c r="N328" s="10"/>
      <c r="O328" s="10"/>
      <c r="P328" s="10"/>
      <c r="Q328" s="10"/>
      <c r="R328" s="10"/>
      <c r="S328" s="10" t="s">
        <v>290</v>
      </c>
      <c r="T328" s="10"/>
      <c r="U328" s="10"/>
      <c r="V328" s="10" t="s">
        <v>0</v>
      </c>
      <c r="W328" s="43">
        <v>0.128714669</v>
      </c>
      <c r="X328" s="10">
        <v>3</v>
      </c>
    </row>
    <row r="329" spans="1:24" ht="32" x14ac:dyDescent="0.2">
      <c r="A329" s="9">
        <v>9</v>
      </c>
      <c r="B329" s="10" t="s">
        <v>863</v>
      </c>
      <c r="C329" s="10"/>
      <c r="D329" s="10"/>
      <c r="E329" s="10" t="s">
        <v>864</v>
      </c>
      <c r="F329" s="10"/>
      <c r="G329" s="10" t="s">
        <v>58</v>
      </c>
      <c r="H329" s="10"/>
      <c r="I329" s="10" t="s">
        <v>433</v>
      </c>
      <c r="J329" s="10" t="s">
        <v>867</v>
      </c>
      <c r="K329" s="10"/>
      <c r="L329" s="10">
        <v>1997</v>
      </c>
      <c r="M329" s="10">
        <v>3.3</v>
      </c>
      <c r="N329" s="10"/>
      <c r="O329" s="10"/>
      <c r="P329" s="10"/>
      <c r="Q329" s="10"/>
      <c r="R329" s="10"/>
      <c r="S329" s="10" t="s">
        <v>67</v>
      </c>
      <c r="T329" s="10"/>
      <c r="U329" s="10"/>
      <c r="V329" s="10" t="s">
        <v>0</v>
      </c>
      <c r="W329" s="43">
        <v>1.6336036709999999</v>
      </c>
      <c r="X329" s="10">
        <v>3</v>
      </c>
    </row>
    <row r="330" spans="1:24" ht="32" x14ac:dyDescent="0.2">
      <c r="A330" s="9">
        <v>9</v>
      </c>
      <c r="B330" s="10" t="s">
        <v>863</v>
      </c>
      <c r="C330" s="10"/>
      <c r="D330" s="10"/>
      <c r="E330" s="10" t="s">
        <v>864</v>
      </c>
      <c r="F330" s="10"/>
      <c r="G330" s="10" t="s">
        <v>58</v>
      </c>
      <c r="H330" s="10"/>
      <c r="I330" s="10" t="s">
        <v>433</v>
      </c>
      <c r="J330" s="10" t="s">
        <v>867</v>
      </c>
      <c r="K330" s="10"/>
      <c r="L330" s="10">
        <v>1997</v>
      </c>
      <c r="M330" s="10">
        <v>3.3</v>
      </c>
      <c r="N330" s="10"/>
      <c r="O330" s="10"/>
      <c r="P330" s="10"/>
      <c r="Q330" s="10"/>
      <c r="R330" s="10"/>
      <c r="S330" s="10" t="s">
        <v>65</v>
      </c>
      <c r="T330" s="10"/>
      <c r="U330" s="10"/>
      <c r="V330" s="10" t="s">
        <v>0</v>
      </c>
      <c r="W330" s="43">
        <v>1.513321463</v>
      </c>
      <c r="X330" s="10">
        <v>3</v>
      </c>
    </row>
    <row r="331" spans="1:24" ht="32" x14ac:dyDescent="0.2">
      <c r="A331" s="9">
        <v>9</v>
      </c>
      <c r="B331" s="10" t="s">
        <v>863</v>
      </c>
      <c r="C331" s="10"/>
      <c r="D331" s="10"/>
      <c r="E331" s="10" t="s">
        <v>864</v>
      </c>
      <c r="F331" s="10"/>
      <c r="G331" s="10" t="s">
        <v>58</v>
      </c>
      <c r="H331" s="10"/>
      <c r="I331" s="10" t="s">
        <v>433</v>
      </c>
      <c r="J331" s="10" t="s">
        <v>867</v>
      </c>
      <c r="K331" s="10"/>
      <c r="L331" s="10">
        <v>1997</v>
      </c>
      <c r="M331" s="10">
        <v>3.3</v>
      </c>
      <c r="N331" s="10"/>
      <c r="O331" s="10"/>
      <c r="P331" s="10"/>
      <c r="Q331" s="10"/>
      <c r="R331" s="10"/>
      <c r="S331" s="10" t="s">
        <v>435</v>
      </c>
      <c r="T331" s="10"/>
      <c r="U331" s="10"/>
      <c r="V331" s="10" t="s">
        <v>0</v>
      </c>
      <c r="W331" s="43">
        <v>8.6057307380000001</v>
      </c>
      <c r="X331" s="10">
        <v>3</v>
      </c>
    </row>
    <row r="332" spans="1:24" ht="32" x14ac:dyDescent="0.2">
      <c r="A332" s="9">
        <v>9</v>
      </c>
      <c r="B332" s="10" t="s">
        <v>863</v>
      </c>
      <c r="C332" s="10"/>
      <c r="D332" s="10"/>
      <c r="E332" s="10" t="s">
        <v>864</v>
      </c>
      <c r="F332" s="10"/>
      <c r="G332" s="10" t="s">
        <v>58</v>
      </c>
      <c r="H332" s="10"/>
      <c r="I332" s="10" t="s">
        <v>433</v>
      </c>
      <c r="J332" s="10" t="s">
        <v>868</v>
      </c>
      <c r="K332" s="10"/>
      <c r="L332" s="10">
        <v>1997</v>
      </c>
      <c r="M332" s="10">
        <v>3.3</v>
      </c>
      <c r="N332" s="10"/>
      <c r="O332" s="10"/>
      <c r="P332" s="10"/>
      <c r="Q332" s="10"/>
      <c r="R332" s="10"/>
      <c r="S332" s="10" t="s">
        <v>30</v>
      </c>
      <c r="T332" s="10"/>
      <c r="U332" s="10"/>
      <c r="V332" s="10" t="s">
        <v>0</v>
      </c>
      <c r="W332" s="43">
        <v>603.39642300000003</v>
      </c>
      <c r="X332" s="10">
        <v>3</v>
      </c>
    </row>
    <row r="333" spans="1:24" ht="32" x14ac:dyDescent="0.2">
      <c r="A333" s="9">
        <v>9</v>
      </c>
      <c r="B333" s="10" t="s">
        <v>863</v>
      </c>
      <c r="C333" s="10"/>
      <c r="D333" s="10"/>
      <c r="E333" s="10" t="s">
        <v>864</v>
      </c>
      <c r="F333" s="10"/>
      <c r="G333" s="10" t="s">
        <v>58</v>
      </c>
      <c r="H333" s="10"/>
      <c r="I333" s="10" t="s">
        <v>433</v>
      </c>
      <c r="J333" s="10" t="s">
        <v>868</v>
      </c>
      <c r="K333" s="10"/>
      <c r="L333" s="10">
        <v>1997</v>
      </c>
      <c r="M333" s="10">
        <v>3.3</v>
      </c>
      <c r="N333" s="10"/>
      <c r="O333" s="10"/>
      <c r="P333" s="10"/>
      <c r="Q333" s="10"/>
      <c r="R333" s="10"/>
      <c r="S333" s="10" t="s">
        <v>412</v>
      </c>
      <c r="T333" s="10"/>
      <c r="U333" s="10"/>
      <c r="V333" s="10" t="s">
        <v>0</v>
      </c>
      <c r="W333" s="43">
        <v>0.26056198800000002</v>
      </c>
      <c r="X333" s="10">
        <v>3</v>
      </c>
    </row>
    <row r="334" spans="1:24" ht="32" x14ac:dyDescent="0.2">
      <c r="A334" s="9">
        <v>9</v>
      </c>
      <c r="B334" s="10" t="s">
        <v>863</v>
      </c>
      <c r="C334" s="10"/>
      <c r="D334" s="10"/>
      <c r="E334" s="10" t="s">
        <v>864</v>
      </c>
      <c r="F334" s="10"/>
      <c r="G334" s="10" t="s">
        <v>58</v>
      </c>
      <c r="H334" s="10"/>
      <c r="I334" s="10" t="s">
        <v>433</v>
      </c>
      <c r="J334" s="10" t="s">
        <v>868</v>
      </c>
      <c r="K334" s="10"/>
      <c r="L334" s="10">
        <v>1997</v>
      </c>
      <c r="M334" s="10">
        <v>3.3</v>
      </c>
      <c r="N334" s="10"/>
      <c r="O334" s="10"/>
      <c r="P334" s="10"/>
      <c r="Q334" s="10"/>
      <c r="R334" s="10"/>
      <c r="S334" s="10" t="s">
        <v>290</v>
      </c>
      <c r="T334" s="10"/>
      <c r="U334" s="10"/>
      <c r="V334" s="10" t="s">
        <v>0</v>
      </c>
      <c r="W334" s="43">
        <v>1.2409264659999999</v>
      </c>
      <c r="X334" s="10">
        <v>3</v>
      </c>
    </row>
    <row r="335" spans="1:24" ht="32" x14ac:dyDescent="0.2">
      <c r="A335" s="9">
        <v>9</v>
      </c>
      <c r="B335" s="10" t="s">
        <v>863</v>
      </c>
      <c r="C335" s="10"/>
      <c r="D335" s="10"/>
      <c r="E335" s="10" t="s">
        <v>864</v>
      </c>
      <c r="F335" s="10"/>
      <c r="G335" s="10" t="s">
        <v>58</v>
      </c>
      <c r="H335" s="10"/>
      <c r="I335" s="10" t="s">
        <v>433</v>
      </c>
      <c r="J335" s="10" t="s">
        <v>868</v>
      </c>
      <c r="K335" s="10"/>
      <c r="L335" s="10">
        <v>1997</v>
      </c>
      <c r="M335" s="10">
        <v>3.3</v>
      </c>
      <c r="N335" s="10"/>
      <c r="O335" s="10"/>
      <c r="P335" s="10"/>
      <c r="Q335" s="10"/>
      <c r="R335" s="10"/>
      <c r="S335" s="10" t="s">
        <v>67</v>
      </c>
      <c r="T335" s="10"/>
      <c r="U335" s="10"/>
      <c r="V335" s="10" t="s">
        <v>0</v>
      </c>
      <c r="W335" s="43">
        <v>2.0141441649999998</v>
      </c>
      <c r="X335" s="10">
        <v>3</v>
      </c>
    </row>
    <row r="336" spans="1:24" ht="32" x14ac:dyDescent="0.2">
      <c r="A336" s="9">
        <v>9</v>
      </c>
      <c r="B336" s="10" t="s">
        <v>863</v>
      </c>
      <c r="C336" s="10"/>
      <c r="D336" s="10"/>
      <c r="E336" s="10" t="s">
        <v>864</v>
      </c>
      <c r="F336" s="10"/>
      <c r="G336" s="10" t="s">
        <v>58</v>
      </c>
      <c r="H336" s="10"/>
      <c r="I336" s="10" t="s">
        <v>433</v>
      </c>
      <c r="J336" s="10" t="s">
        <v>868</v>
      </c>
      <c r="K336" s="10"/>
      <c r="L336" s="10">
        <v>1997</v>
      </c>
      <c r="M336" s="10">
        <v>3.3</v>
      </c>
      <c r="N336" s="10"/>
      <c r="O336" s="10"/>
      <c r="P336" s="10"/>
      <c r="Q336" s="10"/>
      <c r="R336" s="10"/>
      <c r="S336" s="10" t="s">
        <v>65</v>
      </c>
      <c r="T336" s="10"/>
      <c r="U336" s="10"/>
      <c r="V336" s="10" t="s">
        <v>0</v>
      </c>
      <c r="W336" s="43">
        <v>1.158898296</v>
      </c>
      <c r="X336" s="10">
        <v>3</v>
      </c>
    </row>
    <row r="337" spans="1:24" ht="32" x14ac:dyDescent="0.2">
      <c r="A337" s="9">
        <v>9</v>
      </c>
      <c r="B337" s="10" t="s">
        <v>863</v>
      </c>
      <c r="C337" s="10"/>
      <c r="D337" s="10"/>
      <c r="E337" s="10" t="s">
        <v>864</v>
      </c>
      <c r="F337" s="10"/>
      <c r="G337" s="10" t="s">
        <v>58</v>
      </c>
      <c r="H337" s="10"/>
      <c r="I337" s="10" t="s">
        <v>433</v>
      </c>
      <c r="J337" s="10" t="s">
        <v>868</v>
      </c>
      <c r="K337" s="10"/>
      <c r="L337" s="10">
        <v>1997</v>
      </c>
      <c r="M337" s="10">
        <v>3.3</v>
      </c>
      <c r="N337" s="10"/>
      <c r="O337" s="10"/>
      <c r="P337" s="10"/>
      <c r="Q337" s="10"/>
      <c r="R337" s="10"/>
      <c r="S337" s="10" t="s">
        <v>435</v>
      </c>
      <c r="T337" s="10"/>
      <c r="U337" s="10"/>
      <c r="V337" s="10" t="s">
        <v>0</v>
      </c>
      <c r="W337" s="43">
        <v>7.4651009479999999</v>
      </c>
      <c r="X337" s="10">
        <v>3</v>
      </c>
    </row>
    <row r="338" spans="1:24" ht="32" x14ac:dyDescent="0.2">
      <c r="A338" s="9">
        <v>9</v>
      </c>
      <c r="B338" s="10" t="s">
        <v>863</v>
      </c>
      <c r="C338" s="10"/>
      <c r="D338" s="10"/>
      <c r="E338" s="10" t="s">
        <v>864</v>
      </c>
      <c r="F338" s="10"/>
      <c r="G338" s="10" t="s">
        <v>58</v>
      </c>
      <c r="H338" s="10"/>
      <c r="I338" s="10" t="s">
        <v>433</v>
      </c>
      <c r="J338" s="10" t="s">
        <v>869</v>
      </c>
      <c r="K338" s="10"/>
      <c r="L338" s="10">
        <v>1997</v>
      </c>
      <c r="M338" s="10">
        <v>3.2</v>
      </c>
      <c r="N338" s="10"/>
      <c r="O338" s="10"/>
      <c r="P338" s="10"/>
      <c r="Q338" s="10"/>
      <c r="R338" s="10"/>
      <c r="S338" s="10" t="s">
        <v>30</v>
      </c>
      <c r="T338" s="10"/>
      <c r="U338" s="10"/>
      <c r="V338" s="10" t="s">
        <v>0</v>
      </c>
      <c r="W338" s="43">
        <v>4.6007305130000002</v>
      </c>
      <c r="X338" s="10">
        <v>3</v>
      </c>
    </row>
    <row r="339" spans="1:24" ht="32" x14ac:dyDescent="0.2">
      <c r="A339" s="9">
        <v>9</v>
      </c>
      <c r="B339" s="10" t="s">
        <v>863</v>
      </c>
      <c r="C339" s="10"/>
      <c r="D339" s="10"/>
      <c r="E339" s="10" t="s">
        <v>864</v>
      </c>
      <c r="F339" s="10"/>
      <c r="G339" s="10" t="s">
        <v>58</v>
      </c>
      <c r="H339" s="10"/>
      <c r="I339" s="10" t="s">
        <v>433</v>
      </c>
      <c r="J339" s="10" t="s">
        <v>869</v>
      </c>
      <c r="K339" s="10"/>
      <c r="L339" s="10">
        <v>1997</v>
      </c>
      <c r="M339" s="10">
        <v>3.2</v>
      </c>
      <c r="N339" s="10"/>
      <c r="O339" s="10"/>
      <c r="P339" s="10"/>
      <c r="Q339" s="10"/>
      <c r="R339" s="10"/>
      <c r="S339" s="10" t="s">
        <v>412</v>
      </c>
      <c r="T339" s="10"/>
      <c r="U339" s="10"/>
      <c r="V339" s="10" t="s">
        <v>0</v>
      </c>
      <c r="W339" s="43">
        <v>8.3901937999999995E-2</v>
      </c>
      <c r="X339" s="10">
        <v>3</v>
      </c>
    </row>
    <row r="340" spans="1:24" ht="32" x14ac:dyDescent="0.2">
      <c r="A340" s="9">
        <v>9</v>
      </c>
      <c r="B340" s="10" t="s">
        <v>863</v>
      </c>
      <c r="C340" s="10"/>
      <c r="D340" s="10"/>
      <c r="E340" s="10" t="s">
        <v>864</v>
      </c>
      <c r="F340" s="10"/>
      <c r="G340" s="10" t="s">
        <v>58</v>
      </c>
      <c r="H340" s="10"/>
      <c r="I340" s="10" t="s">
        <v>433</v>
      </c>
      <c r="J340" s="10" t="s">
        <v>869</v>
      </c>
      <c r="K340" s="10"/>
      <c r="L340" s="10">
        <v>1997</v>
      </c>
      <c r="M340" s="10">
        <v>3.2</v>
      </c>
      <c r="N340" s="10"/>
      <c r="O340" s="10"/>
      <c r="P340" s="10"/>
      <c r="Q340" s="10"/>
      <c r="R340" s="10"/>
      <c r="S340" s="10" t="s">
        <v>290</v>
      </c>
      <c r="T340" s="10"/>
      <c r="U340" s="10"/>
      <c r="V340" s="10" t="s">
        <v>0</v>
      </c>
      <c r="W340" s="43">
        <v>0.70348548200000005</v>
      </c>
      <c r="X340" s="10">
        <v>3</v>
      </c>
    </row>
    <row r="341" spans="1:24" ht="32" x14ac:dyDescent="0.2">
      <c r="A341" s="9">
        <v>9</v>
      </c>
      <c r="B341" s="10" t="s">
        <v>863</v>
      </c>
      <c r="C341" s="10"/>
      <c r="D341" s="10"/>
      <c r="E341" s="10" t="s">
        <v>864</v>
      </c>
      <c r="F341" s="10"/>
      <c r="G341" s="10" t="s">
        <v>58</v>
      </c>
      <c r="H341" s="10"/>
      <c r="I341" s="10" t="s">
        <v>433</v>
      </c>
      <c r="J341" s="10" t="s">
        <v>869</v>
      </c>
      <c r="K341" s="10"/>
      <c r="L341" s="10">
        <v>1997</v>
      </c>
      <c r="M341" s="10">
        <v>3.2</v>
      </c>
      <c r="N341" s="10"/>
      <c r="O341" s="10"/>
      <c r="P341" s="10"/>
      <c r="Q341" s="10"/>
      <c r="R341" s="10"/>
      <c r="S341" s="10" t="s">
        <v>67</v>
      </c>
      <c r="T341" s="10"/>
      <c r="U341" s="10"/>
      <c r="V341" s="10" t="s">
        <v>0</v>
      </c>
      <c r="W341" s="43">
        <v>137.14739900000001</v>
      </c>
      <c r="X341" s="10">
        <v>3</v>
      </c>
    </row>
    <row r="342" spans="1:24" ht="32" x14ac:dyDescent="0.2">
      <c r="A342" s="9">
        <v>9</v>
      </c>
      <c r="B342" s="10" t="s">
        <v>863</v>
      </c>
      <c r="C342" s="10"/>
      <c r="D342" s="10"/>
      <c r="E342" s="10" t="s">
        <v>864</v>
      </c>
      <c r="F342" s="10"/>
      <c r="G342" s="10" t="s">
        <v>58</v>
      </c>
      <c r="H342" s="10"/>
      <c r="I342" s="10" t="s">
        <v>433</v>
      </c>
      <c r="J342" s="10" t="s">
        <v>869</v>
      </c>
      <c r="K342" s="10"/>
      <c r="L342" s="10">
        <v>1997</v>
      </c>
      <c r="M342" s="10">
        <v>3.2</v>
      </c>
      <c r="N342" s="10"/>
      <c r="O342" s="10"/>
      <c r="P342" s="10"/>
      <c r="Q342" s="10"/>
      <c r="R342" s="10"/>
      <c r="S342" s="10" t="s">
        <v>65</v>
      </c>
      <c r="T342" s="10"/>
      <c r="U342" s="10"/>
      <c r="V342" s="10" t="s">
        <v>0</v>
      </c>
      <c r="W342" s="43">
        <v>8.8652724129999996</v>
      </c>
      <c r="X342" s="10">
        <v>3</v>
      </c>
    </row>
    <row r="343" spans="1:24" ht="32" x14ac:dyDescent="0.2">
      <c r="A343" s="9">
        <v>9</v>
      </c>
      <c r="B343" s="10" t="s">
        <v>863</v>
      </c>
      <c r="C343" s="10"/>
      <c r="D343" s="10"/>
      <c r="E343" s="10" t="s">
        <v>864</v>
      </c>
      <c r="F343" s="10"/>
      <c r="G343" s="10" t="s">
        <v>58</v>
      </c>
      <c r="H343" s="10"/>
      <c r="I343" s="10" t="s">
        <v>433</v>
      </c>
      <c r="J343" s="10" t="s">
        <v>869</v>
      </c>
      <c r="K343" s="10"/>
      <c r="L343" s="10">
        <v>1997</v>
      </c>
      <c r="M343" s="10">
        <v>3.2</v>
      </c>
      <c r="N343" s="10"/>
      <c r="O343" s="10"/>
      <c r="P343" s="10"/>
      <c r="Q343" s="10"/>
      <c r="R343" s="10"/>
      <c r="S343" s="10" t="s">
        <v>435</v>
      </c>
      <c r="T343" s="10"/>
      <c r="U343" s="10"/>
      <c r="V343" s="10" t="s">
        <v>0</v>
      </c>
      <c r="W343" s="43">
        <v>5.2277361510000002</v>
      </c>
      <c r="X343" s="10">
        <v>3</v>
      </c>
    </row>
    <row r="344" spans="1:24" ht="32" x14ac:dyDescent="0.2">
      <c r="A344" s="9">
        <v>9</v>
      </c>
      <c r="B344" s="10" t="s">
        <v>863</v>
      </c>
      <c r="C344" s="10"/>
      <c r="D344" s="10"/>
      <c r="E344" s="10" t="s">
        <v>864</v>
      </c>
      <c r="F344" s="10"/>
      <c r="G344" s="10" t="s">
        <v>58</v>
      </c>
      <c r="H344" s="10"/>
      <c r="I344" s="10" t="s">
        <v>433</v>
      </c>
      <c r="J344" s="10" t="s">
        <v>870</v>
      </c>
      <c r="K344" s="10"/>
      <c r="L344" s="10">
        <v>1997</v>
      </c>
      <c r="M344" s="10">
        <v>3.4</v>
      </c>
      <c r="N344" s="10"/>
      <c r="O344" s="10"/>
      <c r="P344" s="10"/>
      <c r="Q344" s="10"/>
      <c r="R344" s="10"/>
      <c r="S344" s="10" t="s">
        <v>30</v>
      </c>
      <c r="T344" s="10"/>
      <c r="U344" s="10"/>
      <c r="V344" s="10" t="s">
        <v>0</v>
      </c>
      <c r="W344" s="43">
        <v>4.8477763769999997</v>
      </c>
      <c r="X344" s="10">
        <v>3</v>
      </c>
    </row>
    <row r="345" spans="1:24" ht="32" x14ac:dyDescent="0.2">
      <c r="A345" s="9">
        <v>9</v>
      </c>
      <c r="B345" s="10" t="s">
        <v>863</v>
      </c>
      <c r="C345" s="10"/>
      <c r="D345" s="10"/>
      <c r="E345" s="10" t="s">
        <v>864</v>
      </c>
      <c r="F345" s="10"/>
      <c r="G345" s="10" t="s">
        <v>58</v>
      </c>
      <c r="H345" s="10"/>
      <c r="I345" s="10" t="s">
        <v>433</v>
      </c>
      <c r="J345" s="10" t="s">
        <v>870</v>
      </c>
      <c r="K345" s="10"/>
      <c r="L345" s="10">
        <v>1997</v>
      </c>
      <c r="M345" s="10">
        <v>3.4</v>
      </c>
      <c r="N345" s="10"/>
      <c r="O345" s="10"/>
      <c r="P345" s="10"/>
      <c r="Q345" s="10"/>
      <c r="R345" s="10"/>
      <c r="S345" s="10" t="s">
        <v>412</v>
      </c>
      <c r="T345" s="10"/>
      <c r="U345" s="10"/>
      <c r="V345" s="10" t="s">
        <v>0</v>
      </c>
      <c r="W345" s="43">
        <v>8.8674676999999993E-2</v>
      </c>
      <c r="X345" s="10">
        <v>3</v>
      </c>
    </row>
    <row r="346" spans="1:24" ht="32" x14ac:dyDescent="0.2">
      <c r="A346" s="9">
        <v>9</v>
      </c>
      <c r="B346" s="10" t="s">
        <v>863</v>
      </c>
      <c r="C346" s="10"/>
      <c r="D346" s="10"/>
      <c r="E346" s="10" t="s">
        <v>864</v>
      </c>
      <c r="F346" s="10"/>
      <c r="G346" s="10" t="s">
        <v>58</v>
      </c>
      <c r="H346" s="10"/>
      <c r="I346" s="10" t="s">
        <v>433</v>
      </c>
      <c r="J346" s="10" t="s">
        <v>870</v>
      </c>
      <c r="K346" s="10"/>
      <c r="L346" s="10">
        <v>1997</v>
      </c>
      <c r="M346" s="10">
        <v>3.4</v>
      </c>
      <c r="N346" s="10"/>
      <c r="O346" s="10"/>
      <c r="P346" s="10"/>
      <c r="Q346" s="10"/>
      <c r="R346" s="10"/>
      <c r="S346" s="10" t="s">
        <v>290</v>
      </c>
      <c r="T346" s="10"/>
      <c r="U346" s="10"/>
      <c r="V346" s="10" t="s">
        <v>0</v>
      </c>
      <c r="W346" s="43">
        <v>0.17052822500000001</v>
      </c>
      <c r="X346" s="10">
        <v>3</v>
      </c>
    </row>
    <row r="347" spans="1:24" ht="32" x14ac:dyDescent="0.2">
      <c r="A347" s="9">
        <v>9</v>
      </c>
      <c r="B347" s="10" t="s">
        <v>863</v>
      </c>
      <c r="C347" s="10"/>
      <c r="D347" s="10"/>
      <c r="E347" s="10" t="s">
        <v>864</v>
      </c>
      <c r="F347" s="10"/>
      <c r="G347" s="10" t="s">
        <v>58</v>
      </c>
      <c r="H347" s="10"/>
      <c r="I347" s="10" t="s">
        <v>433</v>
      </c>
      <c r="J347" s="10" t="s">
        <v>870</v>
      </c>
      <c r="K347" s="10"/>
      <c r="L347" s="10">
        <v>1997</v>
      </c>
      <c r="M347" s="10">
        <v>3.4</v>
      </c>
      <c r="N347" s="10"/>
      <c r="O347" s="10"/>
      <c r="P347" s="10"/>
      <c r="Q347" s="10"/>
      <c r="R347" s="10"/>
      <c r="S347" s="10" t="s">
        <v>67</v>
      </c>
      <c r="T347" s="10"/>
      <c r="U347" s="10"/>
      <c r="V347" s="10" t="s">
        <v>0</v>
      </c>
      <c r="W347" s="43">
        <v>1.5654491049999999</v>
      </c>
      <c r="X347" s="10">
        <v>3</v>
      </c>
    </row>
    <row r="348" spans="1:24" ht="32" x14ac:dyDescent="0.2">
      <c r="A348" s="9">
        <v>9</v>
      </c>
      <c r="B348" s="10" t="s">
        <v>863</v>
      </c>
      <c r="C348" s="10"/>
      <c r="D348" s="10"/>
      <c r="E348" s="10" t="s">
        <v>864</v>
      </c>
      <c r="F348" s="10"/>
      <c r="G348" s="10" t="s">
        <v>58</v>
      </c>
      <c r="H348" s="10"/>
      <c r="I348" s="10" t="s">
        <v>433</v>
      </c>
      <c r="J348" s="10" t="s">
        <v>870</v>
      </c>
      <c r="K348" s="10"/>
      <c r="L348" s="10">
        <v>1997</v>
      </c>
      <c r="M348" s="10">
        <v>3.4</v>
      </c>
      <c r="N348" s="10"/>
      <c r="O348" s="10"/>
      <c r="P348" s="10"/>
      <c r="Q348" s="10"/>
      <c r="R348" s="10"/>
      <c r="S348" s="10" t="s">
        <v>65</v>
      </c>
      <c r="T348" s="10"/>
      <c r="U348" s="10"/>
      <c r="V348" s="10" t="s">
        <v>0</v>
      </c>
      <c r="W348" s="43">
        <v>9.9798915170000004</v>
      </c>
      <c r="X348" s="10">
        <v>3</v>
      </c>
    </row>
    <row r="349" spans="1:24" ht="32" x14ac:dyDescent="0.2">
      <c r="A349" s="9">
        <v>9</v>
      </c>
      <c r="B349" s="10" t="s">
        <v>863</v>
      </c>
      <c r="C349" s="10"/>
      <c r="D349" s="10"/>
      <c r="E349" s="10" t="s">
        <v>864</v>
      </c>
      <c r="F349" s="10"/>
      <c r="G349" s="10" t="s">
        <v>58</v>
      </c>
      <c r="H349" s="10"/>
      <c r="I349" s="10" t="s">
        <v>433</v>
      </c>
      <c r="J349" s="10" t="s">
        <v>870</v>
      </c>
      <c r="K349" s="10"/>
      <c r="L349" s="10">
        <v>1997</v>
      </c>
      <c r="M349" s="10">
        <v>3.4</v>
      </c>
      <c r="N349" s="10"/>
      <c r="O349" s="10"/>
      <c r="P349" s="10"/>
      <c r="Q349" s="10"/>
      <c r="R349" s="10"/>
      <c r="S349" s="10" t="s">
        <v>435</v>
      </c>
      <c r="T349" s="10"/>
      <c r="U349" s="10"/>
      <c r="V349" s="10" t="s">
        <v>0</v>
      </c>
      <c r="W349" s="43">
        <v>6.6506007709999997</v>
      </c>
      <c r="X349" s="10">
        <v>3</v>
      </c>
    </row>
    <row r="350" spans="1:24" ht="32" x14ac:dyDescent="0.2">
      <c r="A350" s="9">
        <v>9</v>
      </c>
      <c r="B350" s="10" t="s">
        <v>863</v>
      </c>
      <c r="C350" s="10"/>
      <c r="D350" s="10"/>
      <c r="E350" s="10" t="s">
        <v>864</v>
      </c>
      <c r="F350" s="10"/>
      <c r="G350" s="10" t="s">
        <v>58</v>
      </c>
      <c r="H350" s="10"/>
      <c r="I350" s="10" t="s">
        <v>433</v>
      </c>
      <c r="J350" s="10" t="s">
        <v>871</v>
      </c>
      <c r="K350" s="10"/>
      <c r="L350" s="10">
        <v>1997</v>
      </c>
      <c r="M350" s="10">
        <v>3.2</v>
      </c>
      <c r="N350" s="10"/>
      <c r="O350" s="10"/>
      <c r="P350" s="10"/>
      <c r="Q350" s="10"/>
      <c r="R350" s="10"/>
      <c r="S350" s="10" t="s">
        <v>30</v>
      </c>
      <c r="T350" s="10"/>
      <c r="U350" s="10"/>
      <c r="V350" s="10" t="s">
        <v>0</v>
      </c>
      <c r="W350" s="43">
        <v>2.6249296090000001</v>
      </c>
      <c r="X350" s="10">
        <v>3</v>
      </c>
    </row>
    <row r="351" spans="1:24" ht="32" x14ac:dyDescent="0.2">
      <c r="A351" s="9">
        <v>9</v>
      </c>
      <c r="B351" s="10" t="s">
        <v>863</v>
      </c>
      <c r="C351" s="10"/>
      <c r="D351" s="10"/>
      <c r="E351" s="10" t="s">
        <v>864</v>
      </c>
      <c r="F351" s="10"/>
      <c r="G351" s="10" t="s">
        <v>58</v>
      </c>
      <c r="H351" s="10"/>
      <c r="I351" s="10" t="s">
        <v>433</v>
      </c>
      <c r="J351" s="10" t="s">
        <v>871</v>
      </c>
      <c r="K351" s="10"/>
      <c r="L351" s="10">
        <v>1997</v>
      </c>
      <c r="M351" s="10">
        <v>3.2</v>
      </c>
      <c r="N351" s="10"/>
      <c r="O351" s="10"/>
      <c r="P351" s="10"/>
      <c r="Q351" s="10"/>
      <c r="R351" s="10"/>
      <c r="S351" s="10" t="s">
        <v>412</v>
      </c>
      <c r="T351" s="10"/>
      <c r="U351" s="10"/>
      <c r="V351" s="10" t="s">
        <v>0</v>
      </c>
      <c r="W351" s="43">
        <v>0.31525904599999999</v>
      </c>
      <c r="X351" s="10">
        <v>3</v>
      </c>
    </row>
    <row r="352" spans="1:24" ht="32" x14ac:dyDescent="0.2">
      <c r="A352" s="9">
        <v>9</v>
      </c>
      <c r="B352" s="10" t="s">
        <v>863</v>
      </c>
      <c r="C352" s="10"/>
      <c r="D352" s="10"/>
      <c r="E352" s="10" t="s">
        <v>864</v>
      </c>
      <c r="F352" s="10"/>
      <c r="G352" s="10" t="s">
        <v>58</v>
      </c>
      <c r="H352" s="10"/>
      <c r="I352" s="10" t="s">
        <v>433</v>
      </c>
      <c r="J352" s="10" t="s">
        <v>871</v>
      </c>
      <c r="K352" s="10"/>
      <c r="L352" s="10">
        <v>1997</v>
      </c>
      <c r="M352" s="10">
        <v>3.2</v>
      </c>
      <c r="N352" s="10"/>
      <c r="O352" s="10"/>
      <c r="P352" s="10"/>
      <c r="Q352" s="10"/>
      <c r="R352" s="10"/>
      <c r="S352" s="10" t="s">
        <v>290</v>
      </c>
      <c r="T352" s="10"/>
      <c r="U352" s="10"/>
      <c r="V352" s="10" t="s">
        <v>0</v>
      </c>
      <c r="W352" s="43">
        <v>0.213357132</v>
      </c>
      <c r="X352" s="10">
        <v>3</v>
      </c>
    </row>
    <row r="353" spans="1:24" ht="32" x14ac:dyDescent="0.2">
      <c r="A353" s="9">
        <v>9</v>
      </c>
      <c r="B353" s="10" t="s">
        <v>863</v>
      </c>
      <c r="C353" s="10"/>
      <c r="D353" s="10"/>
      <c r="E353" s="10" t="s">
        <v>864</v>
      </c>
      <c r="F353" s="10"/>
      <c r="G353" s="10" t="s">
        <v>58</v>
      </c>
      <c r="H353" s="10"/>
      <c r="I353" s="10" t="s">
        <v>433</v>
      </c>
      <c r="J353" s="10" t="s">
        <v>871</v>
      </c>
      <c r="K353" s="10"/>
      <c r="L353" s="10">
        <v>1997</v>
      </c>
      <c r="M353" s="10">
        <v>3.2</v>
      </c>
      <c r="N353" s="10"/>
      <c r="O353" s="10"/>
      <c r="P353" s="10"/>
      <c r="Q353" s="10"/>
      <c r="R353" s="10"/>
      <c r="S353" s="10" t="s">
        <v>67</v>
      </c>
      <c r="T353" s="10"/>
      <c r="U353" s="10"/>
      <c r="V353" s="10" t="s">
        <v>0</v>
      </c>
      <c r="W353" s="43">
        <v>1.1670953559999999</v>
      </c>
      <c r="X353" s="10">
        <v>3</v>
      </c>
    </row>
    <row r="354" spans="1:24" ht="32" x14ac:dyDescent="0.2">
      <c r="A354" s="9">
        <v>9</v>
      </c>
      <c r="B354" s="10" t="s">
        <v>863</v>
      </c>
      <c r="C354" s="10"/>
      <c r="D354" s="10"/>
      <c r="E354" s="10" t="s">
        <v>864</v>
      </c>
      <c r="F354" s="10"/>
      <c r="G354" s="10" t="s">
        <v>58</v>
      </c>
      <c r="H354" s="10"/>
      <c r="I354" s="10" t="s">
        <v>433</v>
      </c>
      <c r="J354" s="10" t="s">
        <v>871</v>
      </c>
      <c r="K354" s="10"/>
      <c r="L354" s="10">
        <v>1997</v>
      </c>
      <c r="M354" s="10">
        <v>3.2</v>
      </c>
      <c r="N354" s="10"/>
      <c r="O354" s="10"/>
      <c r="P354" s="10"/>
      <c r="Q354" s="10"/>
      <c r="R354" s="10"/>
      <c r="S354" s="10" t="s">
        <v>65</v>
      </c>
      <c r="T354" s="10"/>
      <c r="U354" s="10"/>
      <c r="V354" s="10" t="s">
        <v>0</v>
      </c>
      <c r="W354" s="43">
        <v>52.924987999999999</v>
      </c>
      <c r="X354" s="10">
        <v>3</v>
      </c>
    </row>
    <row r="355" spans="1:24" ht="32" x14ac:dyDescent="0.2">
      <c r="A355" s="9">
        <v>9</v>
      </c>
      <c r="B355" s="10" t="s">
        <v>863</v>
      </c>
      <c r="C355" s="10"/>
      <c r="D355" s="10"/>
      <c r="E355" s="10" t="s">
        <v>864</v>
      </c>
      <c r="F355" s="10"/>
      <c r="G355" s="10" t="s">
        <v>58</v>
      </c>
      <c r="H355" s="10"/>
      <c r="I355" s="10" t="s">
        <v>433</v>
      </c>
      <c r="J355" s="10" t="s">
        <v>871</v>
      </c>
      <c r="K355" s="10"/>
      <c r="L355" s="10">
        <v>1997</v>
      </c>
      <c r="M355" s="10">
        <v>3.2</v>
      </c>
      <c r="N355" s="10"/>
      <c r="O355" s="10"/>
      <c r="P355" s="10"/>
      <c r="Q355" s="10"/>
      <c r="R355" s="10"/>
      <c r="S355" s="10" t="s">
        <v>435</v>
      </c>
      <c r="T355" s="10"/>
      <c r="U355" s="10"/>
      <c r="V355" s="10" t="s">
        <v>0</v>
      </c>
      <c r="W355" s="43">
        <v>2.8245936710000001</v>
      </c>
      <c r="X355" s="10">
        <v>3</v>
      </c>
    </row>
    <row r="356" spans="1:24" ht="32" x14ac:dyDescent="0.2">
      <c r="A356" s="9">
        <v>9</v>
      </c>
      <c r="B356" s="10" t="s">
        <v>863</v>
      </c>
      <c r="C356" s="10"/>
      <c r="D356" s="10"/>
      <c r="E356" s="10" t="s">
        <v>864</v>
      </c>
      <c r="F356" s="10"/>
      <c r="G356" s="10" t="s">
        <v>58</v>
      </c>
      <c r="H356" s="10"/>
      <c r="I356" s="10" t="s">
        <v>433</v>
      </c>
      <c r="J356" s="10" t="s">
        <v>872</v>
      </c>
      <c r="K356" s="10"/>
      <c r="L356" s="10">
        <v>1997</v>
      </c>
      <c r="M356" s="10">
        <v>3.3</v>
      </c>
      <c r="N356" s="10"/>
      <c r="O356" s="10"/>
      <c r="P356" s="10"/>
      <c r="Q356" s="10"/>
      <c r="R356" s="10"/>
      <c r="S356" s="10" t="s">
        <v>30</v>
      </c>
      <c r="T356" s="10"/>
      <c r="U356" s="10"/>
      <c r="V356" s="10" t="s">
        <v>0</v>
      </c>
      <c r="W356" s="43">
        <v>7.244221252</v>
      </c>
      <c r="X356" s="10">
        <v>3</v>
      </c>
    </row>
    <row r="357" spans="1:24" ht="32" x14ac:dyDescent="0.2">
      <c r="A357" s="9">
        <v>9</v>
      </c>
      <c r="B357" s="10" t="s">
        <v>863</v>
      </c>
      <c r="C357" s="10"/>
      <c r="D357" s="10"/>
      <c r="E357" s="10" t="s">
        <v>864</v>
      </c>
      <c r="F357" s="10"/>
      <c r="G357" s="10" t="s">
        <v>58</v>
      </c>
      <c r="H357" s="10"/>
      <c r="I357" s="10" t="s">
        <v>433</v>
      </c>
      <c r="J357" s="10" t="s">
        <v>872</v>
      </c>
      <c r="K357" s="10"/>
      <c r="L357" s="10">
        <v>1997</v>
      </c>
      <c r="M357" s="10">
        <v>3.3</v>
      </c>
      <c r="N357" s="10"/>
      <c r="O357" s="10"/>
      <c r="P357" s="10"/>
      <c r="Q357" s="10"/>
      <c r="R357" s="10"/>
      <c r="S357" s="10" t="s">
        <v>412</v>
      </c>
      <c r="T357" s="10"/>
      <c r="U357" s="10"/>
      <c r="V357" s="10" t="s">
        <v>0</v>
      </c>
      <c r="W357" s="43">
        <v>8.5137528000000004E-2</v>
      </c>
      <c r="X357" s="10">
        <v>3</v>
      </c>
    </row>
    <row r="358" spans="1:24" ht="32" x14ac:dyDescent="0.2">
      <c r="A358" s="9">
        <v>9</v>
      </c>
      <c r="B358" s="10" t="s">
        <v>863</v>
      </c>
      <c r="C358" s="10"/>
      <c r="D358" s="10"/>
      <c r="E358" s="10" t="s">
        <v>864</v>
      </c>
      <c r="F358" s="10"/>
      <c r="G358" s="10" t="s">
        <v>58</v>
      </c>
      <c r="H358" s="10"/>
      <c r="I358" s="10" t="s">
        <v>433</v>
      </c>
      <c r="J358" s="10" t="s">
        <v>872</v>
      </c>
      <c r="K358" s="10"/>
      <c r="L358" s="10">
        <v>1997</v>
      </c>
      <c r="M358" s="10">
        <v>3.3</v>
      </c>
      <c r="N358" s="10"/>
      <c r="O358" s="10"/>
      <c r="P358" s="10"/>
      <c r="Q358" s="10"/>
      <c r="R358" s="10"/>
      <c r="S358" s="10" t="s">
        <v>290</v>
      </c>
      <c r="T358" s="10"/>
      <c r="U358" s="10"/>
      <c r="V358" s="10" t="s">
        <v>0</v>
      </c>
      <c r="W358" s="43">
        <v>0.43223667900000001</v>
      </c>
      <c r="X358" s="10">
        <v>3</v>
      </c>
    </row>
    <row r="359" spans="1:24" ht="32" x14ac:dyDescent="0.2">
      <c r="A359" s="9">
        <v>9</v>
      </c>
      <c r="B359" s="10" t="s">
        <v>863</v>
      </c>
      <c r="C359" s="10"/>
      <c r="D359" s="10"/>
      <c r="E359" s="10" t="s">
        <v>864</v>
      </c>
      <c r="F359" s="10"/>
      <c r="G359" s="10" t="s">
        <v>58</v>
      </c>
      <c r="H359" s="10"/>
      <c r="I359" s="10" t="s">
        <v>433</v>
      </c>
      <c r="J359" s="10" t="s">
        <v>872</v>
      </c>
      <c r="K359" s="10"/>
      <c r="L359" s="10">
        <v>1997</v>
      </c>
      <c r="M359" s="10">
        <v>3.3</v>
      </c>
      <c r="N359" s="10"/>
      <c r="O359" s="10"/>
      <c r="P359" s="10"/>
      <c r="Q359" s="10"/>
      <c r="R359" s="10"/>
      <c r="S359" s="10" t="s">
        <v>67</v>
      </c>
      <c r="T359" s="10"/>
      <c r="U359" s="10"/>
      <c r="V359" s="10" t="s">
        <v>0</v>
      </c>
      <c r="W359" s="43">
        <v>6.2641573270000004</v>
      </c>
      <c r="X359" s="10">
        <v>3</v>
      </c>
    </row>
    <row r="360" spans="1:24" ht="32" x14ac:dyDescent="0.2">
      <c r="A360" s="9">
        <v>9</v>
      </c>
      <c r="B360" s="10" t="s">
        <v>863</v>
      </c>
      <c r="C360" s="10"/>
      <c r="D360" s="10"/>
      <c r="E360" s="10" t="s">
        <v>864</v>
      </c>
      <c r="F360" s="10"/>
      <c r="G360" s="10" t="s">
        <v>58</v>
      </c>
      <c r="H360" s="10"/>
      <c r="I360" s="10" t="s">
        <v>433</v>
      </c>
      <c r="J360" s="10" t="s">
        <v>872</v>
      </c>
      <c r="K360" s="10"/>
      <c r="L360" s="10">
        <v>1997</v>
      </c>
      <c r="M360" s="10">
        <v>3.3</v>
      </c>
      <c r="N360" s="10"/>
      <c r="O360" s="10"/>
      <c r="P360" s="10"/>
      <c r="Q360" s="10"/>
      <c r="R360" s="10"/>
      <c r="S360" s="10" t="s">
        <v>65</v>
      </c>
      <c r="T360" s="10"/>
      <c r="U360" s="10"/>
      <c r="V360" s="10" t="s">
        <v>0</v>
      </c>
      <c r="W360" s="43">
        <v>1.5580887969999999</v>
      </c>
      <c r="X360" s="10">
        <v>3</v>
      </c>
    </row>
    <row r="361" spans="1:24" ht="32" x14ac:dyDescent="0.2">
      <c r="A361" s="9">
        <v>9</v>
      </c>
      <c r="B361" s="10" t="s">
        <v>863</v>
      </c>
      <c r="C361" s="10"/>
      <c r="D361" s="10"/>
      <c r="E361" s="10" t="s">
        <v>864</v>
      </c>
      <c r="F361" s="10"/>
      <c r="G361" s="10" t="s">
        <v>58</v>
      </c>
      <c r="H361" s="10"/>
      <c r="I361" s="10" t="s">
        <v>433</v>
      </c>
      <c r="J361" s="10" t="s">
        <v>872</v>
      </c>
      <c r="K361" s="10"/>
      <c r="L361" s="10">
        <v>1997</v>
      </c>
      <c r="M361" s="10">
        <v>3.3</v>
      </c>
      <c r="N361" s="10"/>
      <c r="O361" s="10"/>
      <c r="P361" s="10"/>
      <c r="Q361" s="10"/>
      <c r="R361" s="10"/>
      <c r="S361" s="10" t="s">
        <v>435</v>
      </c>
      <c r="T361" s="10"/>
      <c r="U361" s="10"/>
      <c r="V361" s="10" t="s">
        <v>0</v>
      </c>
      <c r="W361" s="43">
        <v>1.7092995950000001</v>
      </c>
      <c r="X361" s="10">
        <v>3</v>
      </c>
    </row>
    <row r="362" spans="1:24" ht="32" x14ac:dyDescent="0.2">
      <c r="A362" s="9">
        <v>9</v>
      </c>
      <c r="B362" s="10" t="s">
        <v>863</v>
      </c>
      <c r="C362" s="10"/>
      <c r="D362" s="10"/>
      <c r="E362" s="10" t="s">
        <v>864</v>
      </c>
      <c r="F362" s="10"/>
      <c r="G362" s="10" t="s">
        <v>58</v>
      </c>
      <c r="H362" s="10"/>
      <c r="I362" s="10" t="s">
        <v>433</v>
      </c>
      <c r="J362" s="10" t="s">
        <v>873</v>
      </c>
      <c r="K362" s="12"/>
      <c r="L362" s="10">
        <v>1997</v>
      </c>
      <c r="M362" s="10">
        <v>2.9</v>
      </c>
      <c r="N362" s="10"/>
      <c r="O362" s="10"/>
      <c r="P362" s="10"/>
      <c r="Q362" s="10"/>
      <c r="R362" s="10"/>
      <c r="S362" s="10" t="s">
        <v>30</v>
      </c>
      <c r="T362" s="10"/>
      <c r="U362" s="10"/>
      <c r="V362" s="10" t="s">
        <v>0</v>
      </c>
      <c r="W362" s="43">
        <v>5.8124524480000002</v>
      </c>
      <c r="X362" s="10">
        <v>3</v>
      </c>
    </row>
    <row r="363" spans="1:24" ht="32" x14ac:dyDescent="0.2">
      <c r="A363" s="9">
        <v>9</v>
      </c>
      <c r="B363" s="10" t="s">
        <v>863</v>
      </c>
      <c r="C363" s="10"/>
      <c r="D363" s="10"/>
      <c r="E363" s="10" t="s">
        <v>864</v>
      </c>
      <c r="F363" s="10"/>
      <c r="G363" s="10" t="s">
        <v>58</v>
      </c>
      <c r="H363" s="10"/>
      <c r="I363" s="10" t="s">
        <v>433</v>
      </c>
      <c r="J363" s="10" t="s">
        <v>873</v>
      </c>
      <c r="K363" s="10"/>
      <c r="L363" s="10">
        <v>1997</v>
      </c>
      <c r="M363" s="10">
        <v>2.9</v>
      </c>
      <c r="N363" s="10"/>
      <c r="O363" s="10"/>
      <c r="P363" s="10"/>
      <c r="Q363" s="10"/>
      <c r="R363" s="10"/>
      <c r="S363" s="10" t="s">
        <v>412</v>
      </c>
      <c r="T363" s="10"/>
      <c r="U363" s="10"/>
      <c r="V363" s="10" t="s">
        <v>0</v>
      </c>
      <c r="W363" s="43">
        <v>0.227735825</v>
      </c>
      <c r="X363" s="10">
        <v>3</v>
      </c>
    </row>
    <row r="364" spans="1:24" ht="32" x14ac:dyDescent="0.2">
      <c r="A364" s="9">
        <v>9</v>
      </c>
      <c r="B364" s="10" t="s">
        <v>863</v>
      </c>
      <c r="C364" s="10"/>
      <c r="D364" s="10"/>
      <c r="E364" s="10" t="s">
        <v>864</v>
      </c>
      <c r="F364" s="10"/>
      <c r="G364" s="10" t="s">
        <v>58</v>
      </c>
      <c r="H364" s="10"/>
      <c r="I364" s="10" t="s">
        <v>433</v>
      </c>
      <c r="J364" s="10" t="s">
        <v>873</v>
      </c>
      <c r="K364" s="10"/>
      <c r="L364" s="10">
        <v>1997</v>
      </c>
      <c r="M364" s="10">
        <v>2.9</v>
      </c>
      <c r="N364" s="10"/>
      <c r="O364" s="10"/>
      <c r="P364" s="10"/>
      <c r="Q364" s="10"/>
      <c r="R364" s="10"/>
      <c r="S364" s="10" t="s">
        <v>290</v>
      </c>
      <c r="T364" s="10"/>
      <c r="U364" s="10"/>
      <c r="V364" s="10" t="s">
        <v>0</v>
      </c>
      <c r="W364" s="43">
        <v>0.20755670100000001</v>
      </c>
      <c r="X364" s="10">
        <v>3</v>
      </c>
    </row>
    <row r="365" spans="1:24" ht="32" x14ac:dyDescent="0.2">
      <c r="A365" s="9">
        <v>9</v>
      </c>
      <c r="B365" s="10" t="s">
        <v>863</v>
      </c>
      <c r="C365" s="10"/>
      <c r="D365" s="10"/>
      <c r="E365" s="10" t="s">
        <v>864</v>
      </c>
      <c r="F365" s="10"/>
      <c r="G365" s="10" t="s">
        <v>58</v>
      </c>
      <c r="H365" s="10"/>
      <c r="I365" s="10" t="s">
        <v>433</v>
      </c>
      <c r="J365" s="10" t="s">
        <v>873</v>
      </c>
      <c r="K365" s="10"/>
      <c r="L365" s="10">
        <v>1997</v>
      </c>
      <c r="M365" s="10">
        <v>2.9</v>
      </c>
      <c r="N365" s="10"/>
      <c r="O365" s="10"/>
      <c r="P365" s="10"/>
      <c r="Q365" s="10"/>
      <c r="R365" s="10"/>
      <c r="S365" s="10" t="s">
        <v>67</v>
      </c>
      <c r="T365" s="10"/>
      <c r="U365" s="10"/>
      <c r="V365" s="10" t="s">
        <v>0</v>
      </c>
      <c r="W365" s="43">
        <v>9.6081456190000001</v>
      </c>
      <c r="X365" s="10">
        <v>3</v>
      </c>
    </row>
    <row r="366" spans="1:24" ht="32" x14ac:dyDescent="0.2">
      <c r="A366" s="9">
        <v>9</v>
      </c>
      <c r="B366" s="10" t="s">
        <v>863</v>
      </c>
      <c r="C366" s="10"/>
      <c r="D366" s="10"/>
      <c r="E366" s="10" t="s">
        <v>864</v>
      </c>
      <c r="F366" s="10"/>
      <c r="G366" s="10" t="s">
        <v>58</v>
      </c>
      <c r="H366" s="10"/>
      <c r="I366" s="10" t="s">
        <v>433</v>
      </c>
      <c r="J366" s="10" t="s">
        <v>873</v>
      </c>
      <c r="K366" s="10"/>
      <c r="L366" s="10">
        <v>1997</v>
      </c>
      <c r="M366" s="10">
        <v>2.9</v>
      </c>
      <c r="N366" s="10"/>
      <c r="O366" s="10"/>
      <c r="P366" s="10"/>
      <c r="Q366" s="10"/>
      <c r="R366" s="10"/>
      <c r="S366" s="10" t="s">
        <v>65</v>
      </c>
      <c r="T366" s="10"/>
      <c r="U366" s="10"/>
      <c r="V366" s="10" t="s">
        <v>0</v>
      </c>
      <c r="W366" s="43">
        <v>1.2318201929999999</v>
      </c>
      <c r="X366" s="10">
        <v>3</v>
      </c>
    </row>
    <row r="367" spans="1:24" ht="32" x14ac:dyDescent="0.2">
      <c r="A367" s="9">
        <v>9</v>
      </c>
      <c r="B367" s="10" t="s">
        <v>863</v>
      </c>
      <c r="C367" s="10"/>
      <c r="D367" s="10"/>
      <c r="E367" s="10" t="s">
        <v>864</v>
      </c>
      <c r="F367" s="10"/>
      <c r="G367" s="10" t="s">
        <v>58</v>
      </c>
      <c r="H367" s="10"/>
      <c r="I367" s="10" t="s">
        <v>433</v>
      </c>
      <c r="J367" s="10" t="s">
        <v>873</v>
      </c>
      <c r="K367" s="10"/>
      <c r="L367" s="10">
        <v>1997</v>
      </c>
      <c r="M367" s="10">
        <v>2.9</v>
      </c>
      <c r="N367" s="10"/>
      <c r="O367" s="10"/>
      <c r="P367" s="10"/>
      <c r="Q367" s="10"/>
      <c r="R367" s="10"/>
      <c r="S367" s="10" t="s">
        <v>435</v>
      </c>
      <c r="T367" s="10"/>
      <c r="U367" s="10"/>
      <c r="V367" s="10" t="s">
        <v>0</v>
      </c>
      <c r="W367" s="43">
        <v>226.58273199999999</v>
      </c>
      <c r="X367" s="10">
        <v>3</v>
      </c>
    </row>
    <row r="368" spans="1:24" ht="32" x14ac:dyDescent="0.2">
      <c r="A368" s="9">
        <v>9</v>
      </c>
      <c r="B368" s="10" t="s">
        <v>863</v>
      </c>
      <c r="C368" s="10"/>
      <c r="D368" s="10"/>
      <c r="E368" s="10" t="s">
        <v>864</v>
      </c>
      <c r="F368" s="10"/>
      <c r="G368" s="10" t="s">
        <v>58</v>
      </c>
      <c r="H368" s="10"/>
      <c r="I368" s="10" t="s">
        <v>433</v>
      </c>
      <c r="J368" s="10" t="s">
        <v>874</v>
      </c>
      <c r="K368" s="12"/>
      <c r="L368" s="10">
        <v>1997</v>
      </c>
      <c r="M368" s="10">
        <v>2.6</v>
      </c>
      <c r="N368" s="10"/>
      <c r="O368" s="10"/>
      <c r="P368" s="10"/>
      <c r="Q368" s="10"/>
      <c r="R368" s="10"/>
      <c r="S368" s="10" t="s">
        <v>30</v>
      </c>
      <c r="T368" s="10"/>
      <c r="U368" s="10"/>
      <c r="V368" s="10" t="s">
        <v>0</v>
      </c>
      <c r="W368" s="43">
        <v>1.050097026</v>
      </c>
      <c r="X368" s="10">
        <v>3</v>
      </c>
    </row>
    <row r="369" spans="1:24" ht="32" x14ac:dyDescent="0.2">
      <c r="A369" s="9">
        <v>9</v>
      </c>
      <c r="B369" s="10" t="s">
        <v>863</v>
      </c>
      <c r="C369" s="10"/>
      <c r="D369" s="10"/>
      <c r="E369" s="10" t="s">
        <v>864</v>
      </c>
      <c r="F369" s="10"/>
      <c r="G369" s="10" t="s">
        <v>58</v>
      </c>
      <c r="H369" s="10"/>
      <c r="I369" s="10" t="s">
        <v>433</v>
      </c>
      <c r="J369" s="10" t="s">
        <v>874</v>
      </c>
      <c r="K369" s="10"/>
      <c r="L369" s="10">
        <v>1997</v>
      </c>
      <c r="M369" s="10">
        <v>2.6</v>
      </c>
      <c r="N369" s="10"/>
      <c r="O369" s="10"/>
      <c r="P369" s="10"/>
      <c r="Q369" s="10"/>
      <c r="R369" s="10"/>
      <c r="S369" s="10" t="s">
        <v>412</v>
      </c>
      <c r="T369" s="10"/>
      <c r="U369" s="10"/>
      <c r="V369" s="10" t="s">
        <v>0</v>
      </c>
      <c r="W369" s="43">
        <v>6.6624017999999993E-2</v>
      </c>
      <c r="X369" s="10">
        <v>3</v>
      </c>
    </row>
    <row r="370" spans="1:24" ht="32" x14ac:dyDescent="0.2">
      <c r="A370" s="9">
        <v>9</v>
      </c>
      <c r="B370" s="10" t="s">
        <v>863</v>
      </c>
      <c r="C370" s="10"/>
      <c r="D370" s="10"/>
      <c r="E370" s="10" t="s">
        <v>864</v>
      </c>
      <c r="F370" s="10"/>
      <c r="G370" s="10" t="s">
        <v>58</v>
      </c>
      <c r="H370" s="10"/>
      <c r="I370" s="10" t="s">
        <v>433</v>
      </c>
      <c r="J370" s="10" t="s">
        <v>874</v>
      </c>
      <c r="K370" s="10"/>
      <c r="L370" s="10">
        <v>1997</v>
      </c>
      <c r="M370" s="10">
        <v>2.6</v>
      </c>
      <c r="N370" s="10"/>
      <c r="O370" s="10"/>
      <c r="P370" s="10"/>
      <c r="Q370" s="10"/>
      <c r="R370" s="10"/>
      <c r="S370" s="10" t="s">
        <v>290</v>
      </c>
      <c r="T370" s="10"/>
      <c r="U370" s="10"/>
      <c r="V370" s="10" t="s">
        <v>0</v>
      </c>
      <c r="W370" s="43">
        <v>0.110185876</v>
      </c>
      <c r="X370" s="10">
        <v>3</v>
      </c>
    </row>
    <row r="371" spans="1:24" ht="32" x14ac:dyDescent="0.2">
      <c r="A371" s="9">
        <v>9</v>
      </c>
      <c r="B371" s="10" t="s">
        <v>863</v>
      </c>
      <c r="C371" s="10"/>
      <c r="D371" s="10"/>
      <c r="E371" s="10" t="s">
        <v>864</v>
      </c>
      <c r="F371" s="10"/>
      <c r="G371" s="10" t="s">
        <v>58</v>
      </c>
      <c r="H371" s="10"/>
      <c r="I371" s="10" t="s">
        <v>433</v>
      </c>
      <c r="J371" s="10" t="s">
        <v>874</v>
      </c>
      <c r="K371" s="10"/>
      <c r="L371" s="10">
        <v>1997</v>
      </c>
      <c r="M371" s="10">
        <v>2.6</v>
      </c>
      <c r="N371" s="10"/>
      <c r="O371" s="10"/>
      <c r="P371" s="10"/>
      <c r="Q371" s="10"/>
      <c r="R371" s="10"/>
      <c r="S371" s="10" t="s">
        <v>67</v>
      </c>
      <c r="T371" s="10"/>
      <c r="U371" s="10"/>
      <c r="V371" s="10" t="s">
        <v>0</v>
      </c>
      <c r="W371" s="43">
        <v>851.73682399999996</v>
      </c>
      <c r="X371" s="10">
        <v>3</v>
      </c>
    </row>
    <row r="372" spans="1:24" ht="32" x14ac:dyDescent="0.2">
      <c r="A372" s="9">
        <v>9</v>
      </c>
      <c r="B372" s="10" t="s">
        <v>863</v>
      </c>
      <c r="C372" s="10"/>
      <c r="D372" s="10"/>
      <c r="E372" s="10" t="s">
        <v>864</v>
      </c>
      <c r="F372" s="10"/>
      <c r="G372" s="10" t="s">
        <v>58</v>
      </c>
      <c r="H372" s="10"/>
      <c r="I372" s="10" t="s">
        <v>433</v>
      </c>
      <c r="J372" s="10" t="s">
        <v>874</v>
      </c>
      <c r="K372" s="10"/>
      <c r="L372" s="10">
        <v>1997</v>
      </c>
      <c r="M372" s="10">
        <v>2.6</v>
      </c>
      <c r="N372" s="10"/>
      <c r="O372" s="10"/>
      <c r="P372" s="10"/>
      <c r="Q372" s="10"/>
      <c r="R372" s="10"/>
      <c r="S372" s="10" t="s">
        <v>65</v>
      </c>
      <c r="T372" s="10"/>
      <c r="U372" s="10"/>
      <c r="V372" s="10" t="s">
        <v>0</v>
      </c>
      <c r="W372" s="43">
        <v>5.919108402</v>
      </c>
      <c r="X372" s="10">
        <v>3</v>
      </c>
    </row>
    <row r="373" spans="1:24" ht="32" x14ac:dyDescent="0.2">
      <c r="A373" s="9">
        <v>9</v>
      </c>
      <c r="B373" s="10" t="s">
        <v>863</v>
      </c>
      <c r="C373" s="10"/>
      <c r="D373" s="10"/>
      <c r="E373" s="10" t="s">
        <v>864</v>
      </c>
      <c r="F373" s="10"/>
      <c r="G373" s="10" t="s">
        <v>58</v>
      </c>
      <c r="H373" s="10"/>
      <c r="I373" s="10" t="s">
        <v>433</v>
      </c>
      <c r="J373" s="10" t="s">
        <v>874</v>
      </c>
      <c r="K373" s="10"/>
      <c r="L373" s="10">
        <v>1997</v>
      </c>
      <c r="M373" s="10">
        <v>2.6</v>
      </c>
      <c r="N373" s="10"/>
      <c r="O373" s="10"/>
      <c r="P373" s="10"/>
      <c r="Q373" s="10"/>
      <c r="R373" s="10"/>
      <c r="S373" s="10" t="s">
        <v>435</v>
      </c>
      <c r="T373" s="10"/>
      <c r="U373" s="10"/>
      <c r="V373" s="10" t="s">
        <v>0</v>
      </c>
      <c r="W373" s="43">
        <v>3.2158901110000002</v>
      </c>
      <c r="X373" s="10">
        <v>3</v>
      </c>
    </row>
    <row r="374" spans="1:24" ht="32" x14ac:dyDescent="0.2">
      <c r="A374" s="9">
        <v>9</v>
      </c>
      <c r="B374" s="10" t="s">
        <v>863</v>
      </c>
      <c r="C374" s="10"/>
      <c r="D374" s="10"/>
      <c r="E374" s="10" t="s">
        <v>864</v>
      </c>
      <c r="F374" s="10"/>
      <c r="G374" s="10" t="s">
        <v>58</v>
      </c>
      <c r="H374" s="10"/>
      <c r="I374" s="10" t="s">
        <v>433</v>
      </c>
      <c r="J374" s="10" t="s">
        <v>875</v>
      </c>
      <c r="K374" s="12"/>
      <c r="L374" s="10">
        <v>1997</v>
      </c>
      <c r="M374" s="10">
        <v>3.1</v>
      </c>
      <c r="N374" s="10"/>
      <c r="O374" s="10"/>
      <c r="P374" s="10"/>
      <c r="Q374" s="10"/>
      <c r="R374" s="10"/>
      <c r="S374" s="10" t="s">
        <v>30</v>
      </c>
      <c r="T374" s="10"/>
      <c r="U374" s="10"/>
      <c r="V374" s="10" t="s">
        <v>0</v>
      </c>
      <c r="W374" s="43">
        <v>6.1800401980000004</v>
      </c>
      <c r="X374" s="10">
        <v>3</v>
      </c>
    </row>
    <row r="375" spans="1:24" ht="32" x14ac:dyDescent="0.2">
      <c r="A375" s="9">
        <v>9</v>
      </c>
      <c r="B375" s="10" t="s">
        <v>863</v>
      </c>
      <c r="C375" s="10"/>
      <c r="D375" s="10"/>
      <c r="E375" s="10" t="s">
        <v>864</v>
      </c>
      <c r="F375" s="10"/>
      <c r="G375" s="10" t="s">
        <v>58</v>
      </c>
      <c r="H375" s="10"/>
      <c r="I375" s="10" t="s">
        <v>433</v>
      </c>
      <c r="J375" s="10" t="s">
        <v>875</v>
      </c>
      <c r="K375" s="10"/>
      <c r="L375" s="10">
        <v>1997</v>
      </c>
      <c r="M375" s="10">
        <v>3.1</v>
      </c>
      <c r="N375" s="10"/>
      <c r="O375" s="10"/>
      <c r="P375" s="10"/>
      <c r="Q375" s="10"/>
      <c r="R375" s="10"/>
      <c r="S375" s="10" t="s">
        <v>412</v>
      </c>
      <c r="T375" s="10"/>
      <c r="U375" s="10"/>
      <c r="V375" s="10" t="s">
        <v>0</v>
      </c>
      <c r="W375" s="43">
        <v>0.266526296</v>
      </c>
      <c r="X375" s="10">
        <v>3</v>
      </c>
    </row>
    <row r="376" spans="1:24" ht="32" x14ac:dyDescent="0.2">
      <c r="A376" s="9">
        <v>9</v>
      </c>
      <c r="B376" s="10" t="s">
        <v>863</v>
      </c>
      <c r="C376" s="10"/>
      <c r="D376" s="10"/>
      <c r="E376" s="10" t="s">
        <v>864</v>
      </c>
      <c r="F376" s="10"/>
      <c r="G376" s="10" t="s">
        <v>58</v>
      </c>
      <c r="H376" s="10"/>
      <c r="I376" s="10" t="s">
        <v>433</v>
      </c>
      <c r="J376" s="10" t="s">
        <v>875</v>
      </c>
      <c r="K376" s="10"/>
      <c r="L376" s="10">
        <v>1997</v>
      </c>
      <c r="M376" s="10">
        <v>3.1</v>
      </c>
      <c r="N376" s="10"/>
      <c r="O376" s="10"/>
      <c r="P376" s="10"/>
      <c r="Q376" s="10"/>
      <c r="R376" s="10"/>
      <c r="S376" s="10" t="s">
        <v>290</v>
      </c>
      <c r="T376" s="10"/>
      <c r="U376" s="10"/>
      <c r="V376" s="10" t="s">
        <v>0</v>
      </c>
      <c r="W376" s="43">
        <v>0.52998907200000001</v>
      </c>
      <c r="X376" s="10">
        <v>3</v>
      </c>
    </row>
    <row r="377" spans="1:24" ht="32" x14ac:dyDescent="0.2">
      <c r="A377" s="9">
        <v>9</v>
      </c>
      <c r="B377" s="10" t="s">
        <v>863</v>
      </c>
      <c r="C377" s="10"/>
      <c r="D377" s="10"/>
      <c r="E377" s="10" t="s">
        <v>864</v>
      </c>
      <c r="F377" s="10"/>
      <c r="G377" s="10" t="s">
        <v>58</v>
      </c>
      <c r="H377" s="10"/>
      <c r="I377" s="10" t="s">
        <v>433</v>
      </c>
      <c r="J377" s="10" t="s">
        <v>875</v>
      </c>
      <c r="K377" s="10"/>
      <c r="L377" s="10">
        <v>1997</v>
      </c>
      <c r="M377" s="10">
        <v>3.1</v>
      </c>
      <c r="N377" s="10"/>
      <c r="O377" s="10"/>
      <c r="P377" s="10"/>
      <c r="Q377" s="10"/>
      <c r="R377" s="10"/>
      <c r="S377" s="10" t="s">
        <v>67</v>
      </c>
      <c r="T377" s="10"/>
      <c r="U377" s="10"/>
      <c r="V377" s="10" t="s">
        <v>0</v>
      </c>
      <c r="W377" s="43">
        <v>6.0657708780000004</v>
      </c>
      <c r="X377" s="10">
        <v>3</v>
      </c>
    </row>
    <row r="378" spans="1:24" ht="32" x14ac:dyDescent="0.2">
      <c r="A378" s="9">
        <v>9</v>
      </c>
      <c r="B378" s="10" t="s">
        <v>863</v>
      </c>
      <c r="C378" s="10"/>
      <c r="D378" s="10"/>
      <c r="E378" s="10" t="s">
        <v>864</v>
      </c>
      <c r="F378" s="10"/>
      <c r="G378" s="10" t="s">
        <v>58</v>
      </c>
      <c r="H378" s="10"/>
      <c r="I378" s="10" t="s">
        <v>433</v>
      </c>
      <c r="J378" s="10" t="s">
        <v>875</v>
      </c>
      <c r="K378" s="10"/>
      <c r="L378" s="10">
        <v>1997</v>
      </c>
      <c r="M378" s="10">
        <v>3.1</v>
      </c>
      <c r="N378" s="10"/>
      <c r="O378" s="10"/>
      <c r="P378" s="10"/>
      <c r="Q378" s="10"/>
      <c r="R378" s="10"/>
      <c r="S378" s="10" t="s">
        <v>65</v>
      </c>
      <c r="T378" s="10"/>
      <c r="U378" s="10"/>
      <c r="V378" s="10" t="s">
        <v>0</v>
      </c>
      <c r="W378" s="43">
        <v>1.2202707340000001</v>
      </c>
      <c r="X378" s="10">
        <v>3</v>
      </c>
    </row>
    <row r="379" spans="1:24" ht="32" x14ac:dyDescent="0.2">
      <c r="A379" s="9">
        <v>9</v>
      </c>
      <c r="B379" s="10" t="s">
        <v>863</v>
      </c>
      <c r="C379" s="10"/>
      <c r="D379" s="10"/>
      <c r="E379" s="10" t="s">
        <v>864</v>
      </c>
      <c r="F379" s="10"/>
      <c r="G379" s="10" t="s">
        <v>58</v>
      </c>
      <c r="H379" s="10"/>
      <c r="I379" s="10" t="s">
        <v>433</v>
      </c>
      <c r="J379" s="10" t="s">
        <v>875</v>
      </c>
      <c r="K379" s="10"/>
      <c r="L379" s="10">
        <v>1997</v>
      </c>
      <c r="M379" s="10">
        <v>3.1</v>
      </c>
      <c r="N379" s="10"/>
      <c r="O379" s="10"/>
      <c r="P379" s="10"/>
      <c r="Q379" s="10"/>
      <c r="R379" s="10"/>
      <c r="S379" s="10" t="s">
        <v>435</v>
      </c>
      <c r="T379" s="10"/>
      <c r="U379" s="10"/>
      <c r="V379" s="10" t="s">
        <v>0</v>
      </c>
      <c r="W379" s="43">
        <v>2.7663591429999999</v>
      </c>
      <c r="X379" s="10">
        <v>3</v>
      </c>
    </row>
    <row r="380" spans="1:24" ht="32" x14ac:dyDescent="0.2">
      <c r="A380" s="9">
        <v>9</v>
      </c>
      <c r="B380" s="10" t="s">
        <v>863</v>
      </c>
      <c r="C380" s="10"/>
      <c r="D380" s="10"/>
      <c r="E380" s="10" t="s">
        <v>864</v>
      </c>
      <c r="F380" s="10"/>
      <c r="G380" s="10" t="s">
        <v>58</v>
      </c>
      <c r="H380" s="10"/>
      <c r="I380" s="10" t="s">
        <v>433</v>
      </c>
      <c r="J380" s="10" t="s">
        <v>876</v>
      </c>
      <c r="K380" s="12"/>
      <c r="L380" s="10">
        <v>1997</v>
      </c>
      <c r="M380" s="10">
        <v>3.2</v>
      </c>
      <c r="N380" s="10"/>
      <c r="O380" s="10"/>
      <c r="P380" s="10"/>
      <c r="Q380" s="10"/>
      <c r="R380" s="10"/>
      <c r="S380" s="10" t="s">
        <v>30</v>
      </c>
      <c r="T380" s="10"/>
      <c r="U380" s="10"/>
      <c r="V380" s="10" t="s">
        <v>0</v>
      </c>
      <c r="W380" s="43">
        <v>5.861229324</v>
      </c>
      <c r="X380" s="10">
        <v>3</v>
      </c>
    </row>
    <row r="381" spans="1:24" ht="32" x14ac:dyDescent="0.2">
      <c r="A381" s="9">
        <v>9</v>
      </c>
      <c r="B381" s="10" t="s">
        <v>863</v>
      </c>
      <c r="C381" s="10"/>
      <c r="D381" s="10"/>
      <c r="E381" s="10" t="s">
        <v>864</v>
      </c>
      <c r="F381" s="10"/>
      <c r="G381" s="10" t="s">
        <v>58</v>
      </c>
      <c r="H381" s="10"/>
      <c r="I381" s="10" t="s">
        <v>433</v>
      </c>
      <c r="J381" s="10" t="s">
        <v>876</v>
      </c>
      <c r="K381" s="10"/>
      <c r="L381" s="10">
        <v>1997</v>
      </c>
      <c r="M381" s="10">
        <v>3.2</v>
      </c>
      <c r="N381" s="10"/>
      <c r="O381" s="10"/>
      <c r="P381" s="10"/>
      <c r="Q381" s="10"/>
      <c r="R381" s="10"/>
      <c r="S381" s="10" t="s">
        <v>412</v>
      </c>
      <c r="T381" s="10"/>
      <c r="U381" s="10"/>
      <c r="V381" s="10" t="s">
        <v>0</v>
      </c>
      <c r="W381" s="43">
        <v>8.3488721000000002E-2</v>
      </c>
      <c r="X381" s="10">
        <v>3</v>
      </c>
    </row>
    <row r="382" spans="1:24" ht="32" x14ac:dyDescent="0.2">
      <c r="A382" s="9">
        <v>9</v>
      </c>
      <c r="B382" s="10" t="s">
        <v>863</v>
      </c>
      <c r="C382" s="10"/>
      <c r="D382" s="10"/>
      <c r="E382" s="10" t="s">
        <v>864</v>
      </c>
      <c r="F382" s="10"/>
      <c r="G382" s="10" t="s">
        <v>58</v>
      </c>
      <c r="H382" s="10"/>
      <c r="I382" s="10" t="s">
        <v>433</v>
      </c>
      <c r="J382" s="10" t="s">
        <v>876</v>
      </c>
      <c r="K382" s="10"/>
      <c r="L382" s="10">
        <v>1997</v>
      </c>
      <c r="M382" s="10">
        <v>3.2</v>
      </c>
      <c r="N382" s="10"/>
      <c r="O382" s="10"/>
      <c r="P382" s="10"/>
      <c r="Q382" s="10"/>
      <c r="R382" s="10"/>
      <c r="S382" s="10" t="s">
        <v>290</v>
      </c>
      <c r="T382" s="10"/>
      <c r="U382" s="10"/>
      <c r="V382" s="10" t="s">
        <v>0</v>
      </c>
      <c r="W382" s="43">
        <v>0.46561017500000002</v>
      </c>
      <c r="X382" s="10">
        <v>3</v>
      </c>
    </row>
    <row r="383" spans="1:24" ht="32" x14ac:dyDescent="0.2">
      <c r="A383" s="9">
        <v>9</v>
      </c>
      <c r="B383" s="10" t="s">
        <v>863</v>
      </c>
      <c r="C383" s="10"/>
      <c r="D383" s="10"/>
      <c r="E383" s="10" t="s">
        <v>864</v>
      </c>
      <c r="F383" s="10"/>
      <c r="G383" s="10" t="s">
        <v>58</v>
      </c>
      <c r="H383" s="10"/>
      <c r="I383" s="10" t="s">
        <v>433</v>
      </c>
      <c r="J383" s="10" t="s">
        <v>876</v>
      </c>
      <c r="K383" s="10"/>
      <c r="L383" s="10">
        <v>1997</v>
      </c>
      <c r="M383" s="10">
        <v>3.2</v>
      </c>
      <c r="N383" s="10"/>
      <c r="O383" s="10"/>
      <c r="P383" s="10"/>
      <c r="Q383" s="10"/>
      <c r="R383" s="10"/>
      <c r="S383" s="10" t="s">
        <v>67</v>
      </c>
      <c r="T383" s="10"/>
      <c r="U383" s="10"/>
      <c r="V383" s="10" t="s">
        <v>0</v>
      </c>
      <c r="W383" s="43">
        <v>4.7235349449999999</v>
      </c>
      <c r="X383" s="10">
        <v>3</v>
      </c>
    </row>
    <row r="384" spans="1:24" ht="32" x14ac:dyDescent="0.2">
      <c r="A384" s="9">
        <v>9</v>
      </c>
      <c r="B384" s="10" t="s">
        <v>863</v>
      </c>
      <c r="C384" s="10"/>
      <c r="D384" s="10"/>
      <c r="E384" s="10" t="s">
        <v>864</v>
      </c>
      <c r="F384" s="10"/>
      <c r="G384" s="10" t="s">
        <v>58</v>
      </c>
      <c r="H384" s="10"/>
      <c r="I384" s="10" t="s">
        <v>433</v>
      </c>
      <c r="J384" s="10" t="s">
        <v>876</v>
      </c>
      <c r="K384" s="10"/>
      <c r="L384" s="10">
        <v>1997</v>
      </c>
      <c r="M384" s="10">
        <v>3.2</v>
      </c>
      <c r="N384" s="10"/>
      <c r="O384" s="10"/>
      <c r="P384" s="10"/>
      <c r="Q384" s="10"/>
      <c r="R384" s="10"/>
      <c r="S384" s="10" t="s">
        <v>65</v>
      </c>
      <c r="T384" s="10"/>
      <c r="U384" s="10"/>
      <c r="V384" s="10" t="s">
        <v>0</v>
      </c>
      <c r="W384" s="43">
        <v>1.3107022749999999</v>
      </c>
      <c r="X384" s="10">
        <v>3</v>
      </c>
    </row>
    <row r="385" spans="1:24" ht="32" x14ac:dyDescent="0.2">
      <c r="A385" s="9">
        <v>9</v>
      </c>
      <c r="B385" s="10" t="s">
        <v>863</v>
      </c>
      <c r="C385" s="10"/>
      <c r="D385" s="10"/>
      <c r="E385" s="10" t="s">
        <v>864</v>
      </c>
      <c r="F385" s="10"/>
      <c r="G385" s="10" t="s">
        <v>58</v>
      </c>
      <c r="H385" s="10"/>
      <c r="I385" s="10" t="s">
        <v>433</v>
      </c>
      <c r="J385" s="10" t="s">
        <v>876</v>
      </c>
      <c r="K385" s="10"/>
      <c r="L385" s="10">
        <v>1997</v>
      </c>
      <c r="M385" s="10">
        <v>3.2</v>
      </c>
      <c r="N385" s="10"/>
      <c r="O385" s="10"/>
      <c r="P385" s="10"/>
      <c r="Q385" s="10"/>
      <c r="R385" s="10"/>
      <c r="S385" s="10" t="s">
        <v>435</v>
      </c>
      <c r="T385" s="10"/>
      <c r="U385" s="10"/>
      <c r="V385" s="10" t="s">
        <v>0</v>
      </c>
      <c r="W385" s="43">
        <v>2.517506048</v>
      </c>
      <c r="X385" s="10">
        <v>3</v>
      </c>
    </row>
    <row r="386" spans="1:24" ht="32" x14ac:dyDescent="0.2">
      <c r="A386" s="9">
        <v>9</v>
      </c>
      <c r="B386" s="10" t="s">
        <v>863</v>
      </c>
      <c r="C386" s="10"/>
      <c r="D386" s="10"/>
      <c r="E386" s="10" t="s">
        <v>864</v>
      </c>
      <c r="F386" s="10"/>
      <c r="G386" s="10" t="s">
        <v>58</v>
      </c>
      <c r="H386" s="10"/>
      <c r="I386" s="10" t="s">
        <v>433</v>
      </c>
      <c r="J386" s="10" t="s">
        <v>877</v>
      </c>
      <c r="K386" s="12"/>
      <c r="L386" s="10">
        <v>1997</v>
      </c>
      <c r="M386" s="10">
        <v>3.3</v>
      </c>
      <c r="N386" s="10"/>
      <c r="O386" s="10"/>
      <c r="P386" s="10"/>
      <c r="Q386" s="10"/>
      <c r="R386" s="10"/>
      <c r="S386" s="10" t="s">
        <v>30</v>
      </c>
      <c r="T386" s="10"/>
      <c r="U386" s="10"/>
      <c r="V386" s="10" t="s">
        <v>0</v>
      </c>
      <c r="W386" s="43">
        <v>5.0680086610000004</v>
      </c>
      <c r="X386" s="10">
        <v>3</v>
      </c>
    </row>
    <row r="387" spans="1:24" ht="32" x14ac:dyDescent="0.2">
      <c r="A387" s="9">
        <v>9</v>
      </c>
      <c r="B387" s="10" t="s">
        <v>863</v>
      </c>
      <c r="C387" s="10"/>
      <c r="D387" s="10"/>
      <c r="E387" s="10" t="s">
        <v>864</v>
      </c>
      <c r="F387" s="10"/>
      <c r="G387" s="10" t="s">
        <v>58</v>
      </c>
      <c r="H387" s="10"/>
      <c r="I387" s="10" t="s">
        <v>433</v>
      </c>
      <c r="J387" s="10" t="s">
        <v>877</v>
      </c>
      <c r="K387" s="10"/>
      <c r="L387" s="10">
        <v>1997</v>
      </c>
      <c r="M387" s="10">
        <v>3.3</v>
      </c>
      <c r="N387" s="10"/>
      <c r="O387" s="10"/>
      <c r="P387" s="10"/>
      <c r="Q387" s="10"/>
      <c r="R387" s="10"/>
      <c r="S387" s="10" t="s">
        <v>412</v>
      </c>
      <c r="T387" s="10"/>
      <c r="U387" s="10"/>
      <c r="V387" s="10" t="s">
        <v>0</v>
      </c>
      <c r="W387" s="43">
        <v>8.5993750999999993E-2</v>
      </c>
      <c r="X387" s="10">
        <v>3</v>
      </c>
    </row>
    <row r="388" spans="1:24" ht="32" x14ac:dyDescent="0.2">
      <c r="A388" s="9">
        <v>9</v>
      </c>
      <c r="B388" s="10" t="s">
        <v>863</v>
      </c>
      <c r="C388" s="10"/>
      <c r="D388" s="10"/>
      <c r="E388" s="10" t="s">
        <v>864</v>
      </c>
      <c r="F388" s="10"/>
      <c r="G388" s="10" t="s">
        <v>58</v>
      </c>
      <c r="H388" s="10"/>
      <c r="I388" s="10" t="s">
        <v>433</v>
      </c>
      <c r="J388" s="10" t="s">
        <v>877</v>
      </c>
      <c r="K388" s="10"/>
      <c r="L388" s="10">
        <v>1997</v>
      </c>
      <c r="M388" s="10">
        <v>3.3</v>
      </c>
      <c r="N388" s="10"/>
      <c r="O388" s="10"/>
      <c r="P388" s="10"/>
      <c r="Q388" s="10"/>
      <c r="R388" s="10"/>
      <c r="S388" s="10" t="s">
        <v>290</v>
      </c>
      <c r="T388" s="10"/>
      <c r="U388" s="10"/>
      <c r="V388" s="10" t="s">
        <v>0</v>
      </c>
      <c r="W388" s="43">
        <v>0.496117796</v>
      </c>
      <c r="X388" s="10">
        <v>3</v>
      </c>
    </row>
    <row r="389" spans="1:24" ht="32" x14ac:dyDescent="0.2">
      <c r="A389" s="9">
        <v>9</v>
      </c>
      <c r="B389" s="10" t="s">
        <v>863</v>
      </c>
      <c r="C389" s="10"/>
      <c r="D389" s="10"/>
      <c r="E389" s="10" t="s">
        <v>864</v>
      </c>
      <c r="F389" s="10"/>
      <c r="G389" s="10" t="s">
        <v>58</v>
      </c>
      <c r="H389" s="10"/>
      <c r="I389" s="10" t="s">
        <v>433</v>
      </c>
      <c r="J389" s="10" t="s">
        <v>877</v>
      </c>
      <c r="K389" s="10"/>
      <c r="L389" s="10">
        <v>1997</v>
      </c>
      <c r="M389" s="10">
        <v>3.3</v>
      </c>
      <c r="N389" s="10"/>
      <c r="O389" s="10"/>
      <c r="P389" s="10"/>
      <c r="Q389" s="10"/>
      <c r="R389" s="10"/>
      <c r="S389" s="10" t="s">
        <v>67</v>
      </c>
      <c r="T389" s="10"/>
      <c r="U389" s="10"/>
      <c r="V389" s="10" t="s">
        <v>0</v>
      </c>
      <c r="W389" s="43">
        <v>8.8275893219999997</v>
      </c>
      <c r="X389" s="10">
        <v>3</v>
      </c>
    </row>
    <row r="390" spans="1:24" ht="32" x14ac:dyDescent="0.2">
      <c r="A390" s="9">
        <v>9</v>
      </c>
      <c r="B390" s="10" t="s">
        <v>863</v>
      </c>
      <c r="C390" s="10"/>
      <c r="D390" s="10"/>
      <c r="E390" s="10" t="s">
        <v>864</v>
      </c>
      <c r="F390" s="10"/>
      <c r="G390" s="10" t="s">
        <v>58</v>
      </c>
      <c r="H390" s="10"/>
      <c r="I390" s="10" t="s">
        <v>433</v>
      </c>
      <c r="J390" s="10" t="s">
        <v>877</v>
      </c>
      <c r="K390" s="10"/>
      <c r="L390" s="10">
        <v>1997</v>
      </c>
      <c r="M390" s="10">
        <v>3.3</v>
      </c>
      <c r="N390" s="10"/>
      <c r="O390" s="10"/>
      <c r="P390" s="10"/>
      <c r="Q390" s="10"/>
      <c r="R390" s="10"/>
      <c r="S390" s="10" t="s">
        <v>65</v>
      </c>
      <c r="T390" s="10"/>
      <c r="U390" s="10"/>
      <c r="V390" s="10" t="s">
        <v>0</v>
      </c>
      <c r="W390" s="43">
        <v>1.122119232</v>
      </c>
      <c r="X390" s="10">
        <v>3</v>
      </c>
    </row>
    <row r="391" spans="1:24" ht="32" x14ac:dyDescent="0.2">
      <c r="A391" s="9">
        <v>9</v>
      </c>
      <c r="B391" s="10" t="s">
        <v>863</v>
      </c>
      <c r="C391" s="10"/>
      <c r="D391" s="10"/>
      <c r="E391" s="10" t="s">
        <v>864</v>
      </c>
      <c r="F391" s="10"/>
      <c r="G391" s="10" t="s">
        <v>58</v>
      </c>
      <c r="H391" s="10"/>
      <c r="I391" s="10" t="s">
        <v>433</v>
      </c>
      <c r="J391" s="10" t="s">
        <v>877</v>
      </c>
      <c r="K391" s="10"/>
      <c r="L391" s="10">
        <v>1997</v>
      </c>
      <c r="M391" s="10">
        <v>3.3</v>
      </c>
      <c r="N391" s="10"/>
      <c r="O391" s="10"/>
      <c r="P391" s="10"/>
      <c r="Q391" s="10"/>
      <c r="R391" s="10"/>
      <c r="S391" s="10" t="s">
        <v>435</v>
      </c>
      <c r="T391" s="10"/>
      <c r="U391" s="10"/>
      <c r="V391" s="10" t="s">
        <v>0</v>
      </c>
      <c r="W391" s="43">
        <v>2.5632752810000001</v>
      </c>
      <c r="X391" s="10">
        <v>3</v>
      </c>
    </row>
  </sheetData>
  <phoneticPr fontId="18" type="noConversion"/>
  <hyperlinks>
    <hyperlink ref="D314" r:id="rId1" xr:uid="{FA022CF7-A71D-4D4F-B915-D93BD54D40A0}"/>
  </hyperlinks>
  <pageMargins left="0.7" right="0.7" top="0.75" bottom="0.75" header="0.3" footer="0.3"/>
  <pageSetup paperSize="9" orientation="portrait" horizontalDpi="0" verticalDpi="0"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rgb="FF00B050"/>
  </sheetPr>
  <dimension ref="A1:AB96"/>
  <sheetViews>
    <sheetView tabSelected="1" zoomScale="50" zoomScaleNormal="100" workbookViewId="0">
      <selection activeCell="L2" sqref="L2:L13"/>
    </sheetView>
  </sheetViews>
  <sheetFormatPr baseColWidth="10" defaultColWidth="9.1640625" defaultRowHeight="15" x14ac:dyDescent="0.2"/>
  <cols>
    <col min="1" max="1" width="4.5" style="11" customWidth="1"/>
    <col min="2" max="2" width="14.6640625" style="10" customWidth="1"/>
    <col min="3" max="3" width="36" style="11" customWidth="1"/>
    <col min="4" max="4" width="19.83203125" style="11" customWidth="1"/>
    <col min="5" max="5" width="19.5" style="11" customWidth="1"/>
    <col min="6" max="6" width="15" style="11" customWidth="1"/>
    <col min="7" max="7" width="9.1640625" style="11"/>
    <col min="8" max="8" width="37" style="11" customWidth="1"/>
    <col min="9" max="9" width="19" style="11" customWidth="1"/>
    <col min="10" max="10" width="16" style="11" customWidth="1"/>
    <col min="11" max="13" width="22.5" style="11" customWidth="1"/>
    <col min="14" max="14" width="23" style="11" customWidth="1"/>
    <col min="15" max="15" width="13.33203125" style="11" customWidth="1"/>
    <col min="16" max="16" width="13.5" style="11" customWidth="1"/>
    <col min="17" max="17" width="12.1640625" style="11" customWidth="1"/>
    <col min="18" max="18" width="13.33203125" style="11" customWidth="1"/>
    <col min="19" max="19" width="12.6640625" style="11" customWidth="1"/>
    <col min="20" max="20" width="9.1640625" style="11"/>
    <col min="21" max="21" width="10.6640625" style="11" bestFit="1" customWidth="1"/>
    <col min="22" max="22" width="9.1640625" style="11"/>
    <col min="23" max="23" width="9.1640625" style="30"/>
    <col min="24" max="24" width="10.1640625" style="11" customWidth="1"/>
    <col min="25" max="25" width="9.1640625" style="11"/>
    <col min="26" max="26" width="9.1640625" style="30"/>
    <col min="27" max="27" width="12" style="10" customWidth="1"/>
    <col min="28" max="28" width="10.1640625" style="10" customWidth="1"/>
    <col min="29" max="16384" width="9.1640625" style="11"/>
  </cols>
  <sheetData>
    <row r="1" spans="1:28"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413</v>
      </c>
      <c r="R1" s="44" t="s">
        <v>414</v>
      </c>
      <c r="S1" s="44" t="s">
        <v>193</v>
      </c>
      <c r="T1" s="44" t="s">
        <v>419</v>
      </c>
      <c r="U1" s="44" t="s">
        <v>519</v>
      </c>
      <c r="V1" s="44" t="s">
        <v>192</v>
      </c>
      <c r="W1" s="44" t="s">
        <v>384</v>
      </c>
      <c r="X1" s="44" t="s">
        <v>416</v>
      </c>
      <c r="Y1" s="44" t="s">
        <v>242</v>
      </c>
      <c r="Z1" s="44" t="s">
        <v>191</v>
      </c>
      <c r="AA1" s="44" t="s">
        <v>190</v>
      </c>
      <c r="AB1" s="44" t="s">
        <v>190</v>
      </c>
    </row>
    <row r="2" spans="1:28" ht="40" customHeight="1" x14ac:dyDescent="0.2">
      <c r="A2" s="10">
        <v>1</v>
      </c>
      <c r="B2" s="10" t="s">
        <v>675</v>
      </c>
      <c r="C2" s="10" t="s">
        <v>542</v>
      </c>
      <c r="D2" s="10"/>
      <c r="E2" s="10" t="s">
        <v>546</v>
      </c>
      <c r="F2" s="10"/>
      <c r="G2" s="10" t="s">
        <v>58</v>
      </c>
      <c r="H2" s="10" t="s">
        <v>545</v>
      </c>
      <c r="I2" s="10" t="s">
        <v>389</v>
      </c>
      <c r="J2" s="10" t="s">
        <v>543</v>
      </c>
      <c r="K2" s="10" t="s">
        <v>544</v>
      </c>
      <c r="L2" s="10">
        <v>2010</v>
      </c>
      <c r="M2" s="10">
        <v>1</v>
      </c>
      <c r="N2" s="10">
        <v>1</v>
      </c>
      <c r="O2" s="10">
        <v>4</v>
      </c>
      <c r="P2" s="10"/>
      <c r="Q2" s="10">
        <v>98.04</v>
      </c>
      <c r="R2" s="43">
        <f>Q2/O2</f>
        <v>24.51</v>
      </c>
      <c r="S2" s="10" t="s">
        <v>65</v>
      </c>
      <c r="T2" s="10"/>
      <c r="U2" s="43">
        <v>107038.8</v>
      </c>
      <c r="V2" s="10" t="s">
        <v>244</v>
      </c>
      <c r="W2" s="43">
        <f>U2/Q2</f>
        <v>1091.7870257037944</v>
      </c>
      <c r="X2" s="10">
        <v>1</v>
      </c>
      <c r="Y2" s="43">
        <f>U2/O2</f>
        <v>26759.7</v>
      </c>
      <c r="Z2" s="42">
        <v>100</v>
      </c>
    </row>
    <row r="3" spans="1:28" ht="40" customHeight="1" x14ac:dyDescent="0.2">
      <c r="A3" s="10">
        <v>1</v>
      </c>
      <c r="B3" s="10" t="s">
        <v>675</v>
      </c>
      <c r="C3" s="10"/>
      <c r="D3" s="10"/>
      <c r="E3" s="10" t="s">
        <v>546</v>
      </c>
      <c r="F3" s="10"/>
      <c r="G3" s="10" t="s">
        <v>58</v>
      </c>
      <c r="H3" s="10"/>
      <c r="I3" s="10" t="s">
        <v>389</v>
      </c>
      <c r="J3" s="10" t="s">
        <v>543</v>
      </c>
      <c r="K3" s="10" t="s">
        <v>544</v>
      </c>
      <c r="L3" s="10">
        <v>2010</v>
      </c>
      <c r="M3" s="10">
        <v>1</v>
      </c>
      <c r="N3" s="10">
        <v>1</v>
      </c>
      <c r="O3" s="10">
        <v>4</v>
      </c>
      <c r="P3" s="10"/>
      <c r="Q3" s="10">
        <v>98.04</v>
      </c>
      <c r="R3" s="43">
        <f t="shared" ref="R3:R46" si="0">Q3/O3</f>
        <v>24.51</v>
      </c>
      <c r="S3" s="10" t="s">
        <v>67</v>
      </c>
      <c r="T3" s="10"/>
      <c r="U3" s="43">
        <v>4050.8</v>
      </c>
      <c r="V3" s="10" t="s">
        <v>244</v>
      </c>
      <c r="W3" s="43">
        <f t="shared" ref="W3:W46" si="1">U3/Q3</f>
        <v>41.31782945736434</v>
      </c>
      <c r="X3" s="10">
        <v>1</v>
      </c>
      <c r="Y3" s="43">
        <f t="shared" ref="Y3:Y46" si="2">U3/O3</f>
        <v>1012.7</v>
      </c>
      <c r="Z3" s="42">
        <v>100</v>
      </c>
    </row>
    <row r="4" spans="1:28" ht="40" customHeight="1" x14ac:dyDescent="0.2">
      <c r="A4" s="10">
        <v>1</v>
      </c>
      <c r="B4" s="10" t="s">
        <v>675</v>
      </c>
      <c r="C4" s="10"/>
      <c r="D4" s="10"/>
      <c r="E4" s="10" t="s">
        <v>546</v>
      </c>
      <c r="F4" s="10"/>
      <c r="G4" s="10" t="s">
        <v>58</v>
      </c>
      <c r="H4" s="10"/>
      <c r="I4" s="10" t="s">
        <v>389</v>
      </c>
      <c r="J4" s="10" t="s">
        <v>543</v>
      </c>
      <c r="K4" s="10" t="s">
        <v>544</v>
      </c>
      <c r="L4" s="10">
        <v>2010</v>
      </c>
      <c r="M4" s="10">
        <v>1</v>
      </c>
      <c r="N4" s="10">
        <v>1</v>
      </c>
      <c r="O4" s="10">
        <v>4</v>
      </c>
      <c r="P4" s="10"/>
      <c r="Q4" s="10">
        <v>98.04</v>
      </c>
      <c r="R4" s="43">
        <f t="shared" si="0"/>
        <v>24.51</v>
      </c>
      <c r="S4" s="10" t="s">
        <v>435</v>
      </c>
      <c r="T4" s="10"/>
      <c r="U4" s="43">
        <v>277</v>
      </c>
      <c r="V4" s="10" t="s">
        <v>244</v>
      </c>
      <c r="W4" s="43">
        <f t="shared" si="1"/>
        <v>2.8253773969808238</v>
      </c>
      <c r="X4" s="10">
        <v>1</v>
      </c>
      <c r="Y4" s="43">
        <f t="shared" si="2"/>
        <v>69.25</v>
      </c>
      <c r="Z4" s="42">
        <v>100</v>
      </c>
    </row>
    <row r="5" spans="1:28" ht="40" customHeight="1" x14ac:dyDescent="0.2">
      <c r="A5" s="10">
        <v>1</v>
      </c>
      <c r="B5" s="10" t="s">
        <v>675</v>
      </c>
      <c r="C5" s="10"/>
      <c r="D5" s="10"/>
      <c r="E5" s="10" t="s">
        <v>546</v>
      </c>
      <c r="F5" s="10"/>
      <c r="G5" s="10" t="s">
        <v>58</v>
      </c>
      <c r="H5" s="10"/>
      <c r="I5" s="10" t="s">
        <v>389</v>
      </c>
      <c r="J5" s="10" t="s">
        <v>548</v>
      </c>
      <c r="K5" s="10" t="s">
        <v>547</v>
      </c>
      <c r="L5" s="10">
        <v>2010</v>
      </c>
      <c r="M5" s="10">
        <v>1</v>
      </c>
      <c r="N5" s="10">
        <v>1</v>
      </c>
      <c r="O5" s="10">
        <v>4</v>
      </c>
      <c r="P5" s="10"/>
      <c r="Q5" s="10">
        <v>98.04</v>
      </c>
      <c r="R5" s="43">
        <f t="shared" si="0"/>
        <v>24.51</v>
      </c>
      <c r="S5" s="10" t="s">
        <v>65</v>
      </c>
      <c r="T5" s="10"/>
      <c r="U5" s="43">
        <v>101069.4</v>
      </c>
      <c r="V5" s="10" t="s">
        <v>244</v>
      </c>
      <c r="W5" s="43">
        <f t="shared" si="1"/>
        <v>1030.8996328029375</v>
      </c>
      <c r="X5" s="10">
        <v>1</v>
      </c>
      <c r="Y5" s="43">
        <f t="shared" si="2"/>
        <v>25267.35</v>
      </c>
      <c r="Z5" s="42">
        <v>100</v>
      </c>
    </row>
    <row r="6" spans="1:28" ht="40" customHeight="1" x14ac:dyDescent="0.2">
      <c r="A6" s="10">
        <v>1</v>
      </c>
      <c r="B6" s="10" t="s">
        <v>675</v>
      </c>
      <c r="C6" s="10"/>
      <c r="D6" s="10"/>
      <c r="E6" s="10" t="s">
        <v>546</v>
      </c>
      <c r="F6" s="10"/>
      <c r="G6" s="10" t="s">
        <v>58</v>
      </c>
      <c r="H6" s="10"/>
      <c r="I6" s="10" t="s">
        <v>389</v>
      </c>
      <c r="J6" s="10" t="s">
        <v>548</v>
      </c>
      <c r="K6" s="10" t="s">
        <v>547</v>
      </c>
      <c r="L6" s="10">
        <v>2010</v>
      </c>
      <c r="M6" s="10">
        <v>1</v>
      </c>
      <c r="N6" s="10">
        <v>1</v>
      </c>
      <c r="O6" s="10">
        <v>4</v>
      </c>
      <c r="P6" s="10"/>
      <c r="Q6" s="10">
        <v>98.04</v>
      </c>
      <c r="R6" s="43">
        <f t="shared" si="0"/>
        <v>24.51</v>
      </c>
      <c r="S6" s="10" t="s">
        <v>67</v>
      </c>
      <c r="T6" s="10"/>
      <c r="U6" s="43">
        <v>4103.3999999999996</v>
      </c>
      <c r="V6" s="10" t="s">
        <v>244</v>
      </c>
      <c r="W6" s="43">
        <f t="shared" si="1"/>
        <v>41.854345165238669</v>
      </c>
      <c r="X6" s="10">
        <v>1</v>
      </c>
      <c r="Y6" s="43">
        <f t="shared" si="2"/>
        <v>1025.8499999999999</v>
      </c>
      <c r="Z6" s="42">
        <v>100</v>
      </c>
    </row>
    <row r="7" spans="1:28" ht="40" customHeight="1" x14ac:dyDescent="0.2">
      <c r="A7" s="10">
        <v>1</v>
      </c>
      <c r="B7" s="10" t="s">
        <v>675</v>
      </c>
      <c r="C7" s="10"/>
      <c r="D7" s="10"/>
      <c r="E7" s="10" t="s">
        <v>546</v>
      </c>
      <c r="F7" s="10"/>
      <c r="G7" s="10" t="s">
        <v>58</v>
      </c>
      <c r="H7" s="10"/>
      <c r="I7" s="10" t="s">
        <v>389</v>
      </c>
      <c r="J7" s="10" t="s">
        <v>548</v>
      </c>
      <c r="K7" s="10" t="s">
        <v>547</v>
      </c>
      <c r="L7" s="10">
        <v>2010</v>
      </c>
      <c r="M7" s="10">
        <v>1</v>
      </c>
      <c r="N7" s="10">
        <v>1</v>
      </c>
      <c r="O7" s="10">
        <v>4</v>
      </c>
      <c r="P7" s="10"/>
      <c r="Q7" s="10">
        <v>98.04</v>
      </c>
      <c r="R7" s="43">
        <f t="shared" si="0"/>
        <v>24.51</v>
      </c>
      <c r="S7" s="10" t="s">
        <v>435</v>
      </c>
      <c r="T7" s="10"/>
      <c r="U7" s="43">
        <v>854.5</v>
      </c>
      <c r="V7" s="10" t="s">
        <v>244</v>
      </c>
      <c r="W7" s="43">
        <f t="shared" si="1"/>
        <v>8.7158302733578132</v>
      </c>
      <c r="X7" s="10">
        <v>1</v>
      </c>
      <c r="Y7" s="43">
        <f t="shared" si="2"/>
        <v>213.625</v>
      </c>
      <c r="Z7" s="42">
        <v>100</v>
      </c>
    </row>
    <row r="8" spans="1:28" ht="40" customHeight="1" x14ac:dyDescent="0.2">
      <c r="A8" s="10">
        <v>1</v>
      </c>
      <c r="B8" s="10" t="s">
        <v>675</v>
      </c>
      <c r="C8" s="10"/>
      <c r="D8" s="10"/>
      <c r="E8" s="10" t="s">
        <v>546</v>
      </c>
      <c r="F8" s="10"/>
      <c r="G8" s="10" t="s">
        <v>58</v>
      </c>
      <c r="H8" s="10"/>
      <c r="I8" s="10" t="s">
        <v>389</v>
      </c>
      <c r="J8" s="10" t="s">
        <v>550</v>
      </c>
      <c r="K8" s="10" t="s">
        <v>549</v>
      </c>
      <c r="L8" s="10">
        <v>2010</v>
      </c>
      <c r="M8" s="10">
        <v>1</v>
      </c>
      <c r="N8" s="10">
        <v>1</v>
      </c>
      <c r="O8" s="10">
        <v>4</v>
      </c>
      <c r="P8" s="10"/>
      <c r="Q8" s="10">
        <v>98.04</v>
      </c>
      <c r="R8" s="43">
        <f t="shared" si="0"/>
        <v>24.51</v>
      </c>
      <c r="S8" s="10" t="s">
        <v>65</v>
      </c>
      <c r="T8" s="10"/>
      <c r="U8" s="43">
        <v>60165.5</v>
      </c>
      <c r="V8" s="10" t="s">
        <v>244</v>
      </c>
      <c r="W8" s="43">
        <f t="shared" si="1"/>
        <v>613.68319053447567</v>
      </c>
      <c r="X8" s="10">
        <v>1</v>
      </c>
      <c r="Y8" s="43">
        <f t="shared" si="2"/>
        <v>15041.375</v>
      </c>
      <c r="Z8" s="42">
        <v>100</v>
      </c>
    </row>
    <row r="9" spans="1:28" ht="40" customHeight="1" x14ac:dyDescent="0.2">
      <c r="A9" s="10">
        <v>1</v>
      </c>
      <c r="B9" s="10" t="s">
        <v>675</v>
      </c>
      <c r="C9" s="10"/>
      <c r="D9" s="10"/>
      <c r="E9" s="10" t="s">
        <v>546</v>
      </c>
      <c r="F9" s="10"/>
      <c r="G9" s="10" t="s">
        <v>58</v>
      </c>
      <c r="H9" s="10"/>
      <c r="I9" s="10" t="s">
        <v>389</v>
      </c>
      <c r="J9" s="10" t="s">
        <v>550</v>
      </c>
      <c r="K9" s="10" t="s">
        <v>549</v>
      </c>
      <c r="L9" s="10">
        <v>2010</v>
      </c>
      <c r="M9" s="10">
        <v>1</v>
      </c>
      <c r="N9" s="10">
        <v>1</v>
      </c>
      <c r="O9" s="10">
        <v>4</v>
      </c>
      <c r="P9" s="10"/>
      <c r="Q9" s="10">
        <v>98.04</v>
      </c>
      <c r="R9" s="43">
        <f t="shared" si="0"/>
        <v>24.51</v>
      </c>
      <c r="S9" s="10" t="s">
        <v>67</v>
      </c>
      <c r="T9" s="10"/>
      <c r="U9" s="43">
        <v>13629.5</v>
      </c>
      <c r="V9" s="10" t="s">
        <v>244</v>
      </c>
      <c r="W9" s="43">
        <f t="shared" si="1"/>
        <v>139.01978784169725</v>
      </c>
      <c r="X9" s="10">
        <v>1</v>
      </c>
      <c r="Y9" s="43">
        <f t="shared" si="2"/>
        <v>3407.375</v>
      </c>
      <c r="Z9" s="42">
        <v>100</v>
      </c>
    </row>
    <row r="10" spans="1:28" ht="40" customHeight="1" x14ac:dyDescent="0.2">
      <c r="A10" s="10">
        <v>1</v>
      </c>
      <c r="B10" s="10" t="s">
        <v>675</v>
      </c>
      <c r="C10" s="10"/>
      <c r="D10" s="10"/>
      <c r="E10" s="10" t="s">
        <v>546</v>
      </c>
      <c r="F10" s="10"/>
      <c r="G10" s="10" t="s">
        <v>58</v>
      </c>
      <c r="H10" s="10"/>
      <c r="I10" s="10" t="s">
        <v>389</v>
      </c>
      <c r="J10" s="10" t="s">
        <v>550</v>
      </c>
      <c r="K10" s="10" t="s">
        <v>549</v>
      </c>
      <c r="L10" s="10">
        <v>2010</v>
      </c>
      <c r="M10" s="10">
        <v>1</v>
      </c>
      <c r="N10" s="10">
        <v>1</v>
      </c>
      <c r="O10" s="10">
        <v>4</v>
      </c>
      <c r="P10" s="10"/>
      <c r="Q10" s="10">
        <v>98.04</v>
      </c>
      <c r="R10" s="43">
        <f t="shared" si="0"/>
        <v>24.51</v>
      </c>
      <c r="S10" s="10" t="s">
        <v>435</v>
      </c>
      <c r="T10" s="10"/>
      <c r="U10" s="43">
        <v>277</v>
      </c>
      <c r="V10" s="10" t="s">
        <v>244</v>
      </c>
      <c r="W10" s="43">
        <f t="shared" si="1"/>
        <v>2.8253773969808238</v>
      </c>
      <c r="X10" s="10">
        <v>1</v>
      </c>
      <c r="Y10" s="43">
        <f t="shared" si="2"/>
        <v>69.25</v>
      </c>
      <c r="Z10" s="42">
        <v>100</v>
      </c>
    </row>
    <row r="11" spans="1:28" ht="40" customHeight="1" x14ac:dyDescent="0.2">
      <c r="A11" s="10">
        <v>1</v>
      </c>
      <c r="B11" s="10" t="s">
        <v>675</v>
      </c>
      <c r="C11" s="10"/>
      <c r="D11" s="10"/>
      <c r="E11" s="10" t="s">
        <v>546</v>
      </c>
      <c r="F11" s="10"/>
      <c r="G11" s="10" t="s">
        <v>58</v>
      </c>
      <c r="H11" s="10"/>
      <c r="I11" s="10" t="s">
        <v>389</v>
      </c>
      <c r="J11" s="10" t="s">
        <v>552</v>
      </c>
      <c r="K11" s="10" t="s">
        <v>551</v>
      </c>
      <c r="L11" s="10">
        <v>2010</v>
      </c>
      <c r="M11" s="10">
        <v>1</v>
      </c>
      <c r="N11" s="10">
        <v>1</v>
      </c>
      <c r="O11" s="10">
        <v>4</v>
      </c>
      <c r="P11" s="10"/>
      <c r="Q11" s="10">
        <v>98.04</v>
      </c>
      <c r="R11" s="43">
        <f t="shared" si="0"/>
        <v>24.51</v>
      </c>
      <c r="S11" s="10" t="s">
        <v>65</v>
      </c>
      <c r="T11" s="10"/>
      <c r="U11" s="43">
        <v>54034.6</v>
      </c>
      <c r="V11" s="10" t="s">
        <v>244</v>
      </c>
      <c r="W11" s="43">
        <f t="shared" si="1"/>
        <v>551.14851081191341</v>
      </c>
      <c r="X11" s="10">
        <v>1</v>
      </c>
      <c r="Y11" s="43">
        <f t="shared" si="2"/>
        <v>13508.65</v>
      </c>
      <c r="Z11" s="42">
        <v>100</v>
      </c>
    </row>
    <row r="12" spans="1:28" ht="40" customHeight="1" x14ac:dyDescent="0.2">
      <c r="A12" s="10">
        <v>1</v>
      </c>
      <c r="B12" s="10" t="s">
        <v>675</v>
      </c>
      <c r="C12" s="10"/>
      <c r="D12" s="10"/>
      <c r="E12" s="10" t="s">
        <v>546</v>
      </c>
      <c r="F12" s="10"/>
      <c r="G12" s="10" t="s">
        <v>58</v>
      </c>
      <c r="H12" s="10"/>
      <c r="I12" s="10" t="s">
        <v>389</v>
      </c>
      <c r="J12" s="10" t="s">
        <v>552</v>
      </c>
      <c r="K12" s="10" t="s">
        <v>551</v>
      </c>
      <c r="L12" s="10">
        <v>2010</v>
      </c>
      <c r="M12" s="10">
        <v>1</v>
      </c>
      <c r="N12" s="10">
        <v>1</v>
      </c>
      <c r="O12" s="10">
        <v>4</v>
      </c>
      <c r="P12" s="10"/>
      <c r="Q12" s="10">
        <v>98.04</v>
      </c>
      <c r="R12" s="43">
        <f t="shared" si="0"/>
        <v>24.51</v>
      </c>
      <c r="S12" s="10" t="s">
        <v>67</v>
      </c>
      <c r="T12" s="10"/>
      <c r="U12" s="43">
        <v>18738.3</v>
      </c>
      <c r="V12" s="10" t="s">
        <v>244</v>
      </c>
      <c r="W12" s="43">
        <f t="shared" si="1"/>
        <v>191.12913096695223</v>
      </c>
      <c r="X12" s="10">
        <v>1</v>
      </c>
      <c r="Y12" s="43">
        <f>U12/O12</f>
        <v>4684.5749999999998</v>
      </c>
      <c r="Z12" s="42">
        <v>100</v>
      </c>
    </row>
    <row r="13" spans="1:28" ht="40" customHeight="1" x14ac:dyDescent="0.2">
      <c r="A13" s="10">
        <v>1</v>
      </c>
      <c r="B13" s="10" t="s">
        <v>675</v>
      </c>
      <c r="C13" s="10"/>
      <c r="D13" s="10"/>
      <c r="E13" s="10" t="s">
        <v>546</v>
      </c>
      <c r="F13" s="10"/>
      <c r="G13" s="10" t="s">
        <v>58</v>
      </c>
      <c r="H13" s="10"/>
      <c r="I13" s="10" t="s">
        <v>389</v>
      </c>
      <c r="J13" s="10" t="s">
        <v>552</v>
      </c>
      <c r="K13" s="10" t="s">
        <v>551</v>
      </c>
      <c r="L13" s="10">
        <v>2010</v>
      </c>
      <c r="M13" s="10">
        <v>1</v>
      </c>
      <c r="N13" s="10">
        <v>1</v>
      </c>
      <c r="O13" s="10">
        <v>4</v>
      </c>
      <c r="P13" s="10"/>
      <c r="Q13" s="10">
        <v>98.04</v>
      </c>
      <c r="R13" s="43">
        <f t="shared" si="0"/>
        <v>24.51</v>
      </c>
      <c r="S13" s="10" t="s">
        <v>435</v>
      </c>
      <c r="T13" s="10"/>
      <c r="U13" s="43">
        <v>11745.8</v>
      </c>
      <c r="V13" s="10" t="s">
        <v>244</v>
      </c>
      <c r="W13" s="43">
        <f t="shared" si="1"/>
        <v>119.80620155038758</v>
      </c>
      <c r="X13" s="10">
        <v>1</v>
      </c>
      <c r="Y13" s="43">
        <f t="shared" si="2"/>
        <v>2936.45</v>
      </c>
      <c r="Z13" s="42">
        <v>100</v>
      </c>
      <c r="AA13" s="10" t="s">
        <v>627</v>
      </c>
    </row>
    <row r="14" spans="1:28" ht="40" customHeight="1" x14ac:dyDescent="0.2">
      <c r="A14" s="9">
        <v>2</v>
      </c>
      <c r="B14" s="10" t="s">
        <v>670</v>
      </c>
      <c r="C14" s="7" t="s">
        <v>742</v>
      </c>
      <c r="D14" s="10"/>
      <c r="E14" s="10" t="s">
        <v>539</v>
      </c>
      <c r="F14" s="10"/>
      <c r="G14" s="10" t="s">
        <v>58</v>
      </c>
      <c r="H14" s="9"/>
      <c r="I14" s="9" t="s">
        <v>389</v>
      </c>
      <c r="J14" s="10" t="s">
        <v>326</v>
      </c>
      <c r="K14" s="10" t="s">
        <v>119</v>
      </c>
      <c r="L14" s="10" t="s">
        <v>116</v>
      </c>
      <c r="M14" s="10">
        <v>2</v>
      </c>
      <c r="N14" s="10" t="s">
        <v>156</v>
      </c>
      <c r="O14" s="10">
        <v>3.7</v>
      </c>
      <c r="P14" s="10">
        <f t="shared" ref="P14:P32" si="3">(10*9)*M14</f>
        <v>180</v>
      </c>
      <c r="Q14" s="9">
        <f>((10-2*0.5)*(9-2*0.5))*M14</f>
        <v>144</v>
      </c>
      <c r="R14" s="43">
        <f t="shared" si="0"/>
        <v>38.918918918918919</v>
      </c>
      <c r="S14" s="10" t="s">
        <v>67</v>
      </c>
      <c r="T14" s="31"/>
      <c r="U14" s="47">
        <f>400+1750+250+2500+2484+1250+1242</f>
        <v>9876</v>
      </c>
      <c r="V14" s="9" t="s">
        <v>244</v>
      </c>
      <c r="W14" s="43">
        <f t="shared" si="1"/>
        <v>68.583333333333329</v>
      </c>
      <c r="X14" s="10">
        <v>1</v>
      </c>
      <c r="Y14" s="47">
        <f t="shared" si="2"/>
        <v>2669.1891891891892</v>
      </c>
      <c r="Z14" s="43" t="s">
        <v>66</v>
      </c>
      <c r="AA14" s="31" t="s">
        <v>628</v>
      </c>
    </row>
    <row r="15" spans="1:28" ht="40" customHeight="1" x14ac:dyDescent="0.2">
      <c r="A15" s="9">
        <v>2</v>
      </c>
      <c r="B15" s="10" t="s">
        <v>670</v>
      </c>
      <c r="C15" s="12"/>
      <c r="D15" s="12"/>
      <c r="E15" s="10" t="s">
        <v>539</v>
      </c>
      <c r="F15" s="9"/>
      <c r="G15" s="10" t="s">
        <v>58</v>
      </c>
      <c r="H15" s="9"/>
      <c r="I15" s="9" t="s">
        <v>389</v>
      </c>
      <c r="J15" s="10" t="s">
        <v>327</v>
      </c>
      <c r="K15" s="10" t="s">
        <v>155</v>
      </c>
      <c r="L15" s="10" t="s">
        <v>140</v>
      </c>
      <c r="M15" s="10">
        <v>2</v>
      </c>
      <c r="N15" s="10" t="s">
        <v>154</v>
      </c>
      <c r="O15" s="10">
        <v>3.7</v>
      </c>
      <c r="P15" s="10">
        <f t="shared" si="3"/>
        <v>180</v>
      </c>
      <c r="Q15" s="9">
        <f>((10-2*0.5)*(9-2*0.5))*M15</f>
        <v>144</v>
      </c>
      <c r="R15" s="43">
        <f t="shared" si="0"/>
        <v>38.918918918918919</v>
      </c>
      <c r="S15" s="10" t="s">
        <v>67</v>
      </c>
      <c r="T15" s="31"/>
      <c r="U15" s="47">
        <f>400+1750+250+2700+2500+2484+1250+1242</f>
        <v>12576</v>
      </c>
      <c r="V15" s="9" t="s">
        <v>244</v>
      </c>
      <c r="W15" s="43">
        <f t="shared" si="1"/>
        <v>87.333333333333329</v>
      </c>
      <c r="X15" s="10">
        <v>1</v>
      </c>
      <c r="Y15" s="47">
        <f t="shared" si="2"/>
        <v>3398.9189189189187</v>
      </c>
      <c r="Z15" s="43" t="s">
        <v>66</v>
      </c>
      <c r="AA15" s="31" t="s">
        <v>628</v>
      </c>
    </row>
    <row r="16" spans="1:28" ht="40" customHeight="1" x14ac:dyDescent="0.2">
      <c r="A16" s="9">
        <v>2</v>
      </c>
      <c r="B16" s="10" t="s">
        <v>670</v>
      </c>
      <c r="C16" s="12"/>
      <c r="D16" s="12"/>
      <c r="E16" s="10" t="s">
        <v>539</v>
      </c>
      <c r="F16" s="9"/>
      <c r="G16" s="10" t="s">
        <v>58</v>
      </c>
      <c r="H16" s="9"/>
      <c r="I16" s="9" t="s">
        <v>389</v>
      </c>
      <c r="J16" s="10" t="s">
        <v>328</v>
      </c>
      <c r="K16" s="10" t="s">
        <v>153</v>
      </c>
      <c r="L16" s="10" t="s">
        <v>140</v>
      </c>
      <c r="M16" s="10">
        <v>1</v>
      </c>
      <c r="N16" s="10" t="s">
        <v>152</v>
      </c>
      <c r="O16" s="10">
        <v>3.7</v>
      </c>
      <c r="P16" s="10">
        <f t="shared" si="3"/>
        <v>90</v>
      </c>
      <c r="Q16" s="47">
        <f>((10-2*0.32)*(9-2*0.32))*M16</f>
        <v>78.249599999999987</v>
      </c>
      <c r="R16" s="43">
        <f t="shared" si="0"/>
        <v>21.148540540540537</v>
      </c>
      <c r="S16" s="10" t="s">
        <v>67</v>
      </c>
      <c r="T16" s="31"/>
      <c r="U16" s="47">
        <f>3200+1600+400+1750+250+2700+2500+2484+1250+1242</f>
        <v>17376</v>
      </c>
      <c r="V16" s="9" t="s">
        <v>244</v>
      </c>
      <c r="W16" s="43">
        <f t="shared" si="1"/>
        <v>222.05864311127473</v>
      </c>
      <c r="X16" s="10">
        <v>1</v>
      </c>
      <c r="Y16" s="47">
        <f t="shared" si="2"/>
        <v>4696.2162162162158</v>
      </c>
      <c r="Z16" s="43" t="s">
        <v>66</v>
      </c>
      <c r="AA16" s="31" t="s">
        <v>628</v>
      </c>
    </row>
    <row r="17" spans="1:27" ht="40" customHeight="1" x14ac:dyDescent="0.2">
      <c r="A17" s="9">
        <v>2</v>
      </c>
      <c r="B17" s="10" t="s">
        <v>670</v>
      </c>
      <c r="C17" s="12"/>
      <c r="D17" s="12"/>
      <c r="E17" s="10" t="s">
        <v>539</v>
      </c>
      <c r="F17" s="9"/>
      <c r="G17" s="10" t="s">
        <v>58</v>
      </c>
      <c r="H17" s="9"/>
      <c r="I17" s="9" t="s">
        <v>389</v>
      </c>
      <c r="J17" s="10" t="s">
        <v>329</v>
      </c>
      <c r="K17" s="10" t="s">
        <v>151</v>
      </c>
      <c r="L17" s="10" t="s">
        <v>111</v>
      </c>
      <c r="M17" s="10">
        <v>1</v>
      </c>
      <c r="N17" s="10" t="s">
        <v>150</v>
      </c>
      <c r="O17" s="10">
        <v>3.8</v>
      </c>
      <c r="P17" s="10">
        <f t="shared" si="3"/>
        <v>90</v>
      </c>
      <c r="Q17" s="47">
        <f>((10-2*0.3)*(9-2*0.3))*M17</f>
        <v>78.960000000000008</v>
      </c>
      <c r="R17" s="43">
        <f t="shared" si="0"/>
        <v>20.778947368421054</v>
      </c>
      <c r="S17" s="10" t="s">
        <v>65</v>
      </c>
      <c r="T17" s="31"/>
      <c r="U17" s="47">
        <f>17280+38400+34560+21600+30000</f>
        <v>141840</v>
      </c>
      <c r="V17" s="9" t="s">
        <v>244</v>
      </c>
      <c r="W17" s="43">
        <f t="shared" si="1"/>
        <v>1796.352583586626</v>
      </c>
      <c r="X17" s="10">
        <v>1</v>
      </c>
      <c r="Y17" s="47">
        <f t="shared" si="2"/>
        <v>37326.315789473687</v>
      </c>
      <c r="Z17" s="43" t="s">
        <v>72</v>
      </c>
      <c r="AA17" s="31" t="s">
        <v>628</v>
      </c>
    </row>
    <row r="18" spans="1:27" ht="40" customHeight="1" x14ac:dyDescent="0.2">
      <c r="A18" s="9">
        <v>2</v>
      </c>
      <c r="B18" s="10" t="s">
        <v>670</v>
      </c>
      <c r="C18" s="12"/>
      <c r="D18" s="12"/>
      <c r="E18" s="10" t="s">
        <v>539</v>
      </c>
      <c r="F18" s="9"/>
      <c r="G18" s="10" t="s">
        <v>58</v>
      </c>
      <c r="H18" s="9"/>
      <c r="I18" s="9" t="s">
        <v>389</v>
      </c>
      <c r="J18" s="10" t="s">
        <v>329</v>
      </c>
      <c r="K18" s="10" t="s">
        <v>151</v>
      </c>
      <c r="L18" s="10" t="s">
        <v>111</v>
      </c>
      <c r="M18" s="10">
        <v>1</v>
      </c>
      <c r="N18" s="10" t="s">
        <v>150</v>
      </c>
      <c r="O18" s="10">
        <v>3.8</v>
      </c>
      <c r="P18" s="10">
        <f t="shared" si="3"/>
        <v>90</v>
      </c>
      <c r="Q18" s="47">
        <f>((10-2*0.3)*(9-2*0.3))*M18</f>
        <v>78.960000000000008</v>
      </c>
      <c r="R18" s="43">
        <f t="shared" si="0"/>
        <v>20.778947368421054</v>
      </c>
      <c r="S18" s="10" t="s">
        <v>67</v>
      </c>
      <c r="T18" s="31"/>
      <c r="U18" s="47">
        <f>400+1750+250</f>
        <v>2400</v>
      </c>
      <c r="V18" s="9" t="s">
        <v>244</v>
      </c>
      <c r="W18" s="43">
        <f t="shared" si="1"/>
        <v>30.3951367781155</v>
      </c>
      <c r="X18" s="10">
        <v>1</v>
      </c>
      <c r="Y18" s="47">
        <f t="shared" si="2"/>
        <v>631.57894736842104</v>
      </c>
      <c r="Z18" s="43" t="s">
        <v>72</v>
      </c>
      <c r="AA18" s="31" t="s">
        <v>628</v>
      </c>
    </row>
    <row r="19" spans="1:27" ht="40" customHeight="1" x14ac:dyDescent="0.2">
      <c r="A19" s="9">
        <v>2</v>
      </c>
      <c r="B19" s="10" t="s">
        <v>670</v>
      </c>
      <c r="C19" s="12"/>
      <c r="D19" s="12"/>
      <c r="E19" s="10" t="s">
        <v>539</v>
      </c>
      <c r="F19" s="9"/>
      <c r="G19" s="10" t="s">
        <v>58</v>
      </c>
      <c r="H19" s="9"/>
      <c r="I19" s="9" t="s">
        <v>389</v>
      </c>
      <c r="J19" s="10" t="s">
        <v>330</v>
      </c>
      <c r="K19" s="10" t="s">
        <v>110</v>
      </c>
      <c r="L19" s="10" t="s">
        <v>93</v>
      </c>
      <c r="M19" s="10">
        <v>1</v>
      </c>
      <c r="N19" s="10" t="s">
        <v>149</v>
      </c>
      <c r="O19" s="10">
        <v>3.7</v>
      </c>
      <c r="P19" s="10">
        <f t="shared" si="3"/>
        <v>90</v>
      </c>
      <c r="Q19" s="47">
        <f>((10-2*0.35)*(9-2*0.35))*M19</f>
        <v>77.190000000000012</v>
      </c>
      <c r="R19" s="43">
        <f t="shared" si="0"/>
        <v>20.862162162162164</v>
      </c>
      <c r="S19" s="10" t="s">
        <v>65</v>
      </c>
      <c r="T19" s="31"/>
      <c r="U19" s="47">
        <f>69120+38400+34560+21600+30000</f>
        <v>193680</v>
      </c>
      <c r="V19" s="9" t="s">
        <v>244</v>
      </c>
      <c r="W19" s="43">
        <f t="shared" si="1"/>
        <v>2509.1333074232411</v>
      </c>
      <c r="X19" s="10">
        <v>1</v>
      </c>
      <c r="Y19" s="47">
        <f t="shared" si="2"/>
        <v>52345.945945945947</v>
      </c>
      <c r="Z19" s="43" t="s">
        <v>66</v>
      </c>
      <c r="AA19" s="31" t="s">
        <v>628</v>
      </c>
    </row>
    <row r="20" spans="1:27" ht="40" customHeight="1" x14ac:dyDescent="0.2">
      <c r="A20" s="9">
        <v>2</v>
      </c>
      <c r="B20" s="10" t="s">
        <v>670</v>
      </c>
      <c r="C20" s="12"/>
      <c r="D20" s="12"/>
      <c r="E20" s="10" t="s">
        <v>539</v>
      </c>
      <c r="F20" s="9"/>
      <c r="G20" s="10" t="s">
        <v>58</v>
      </c>
      <c r="H20" s="9"/>
      <c r="I20" s="9" t="s">
        <v>389</v>
      </c>
      <c r="J20" s="10" t="s">
        <v>330</v>
      </c>
      <c r="K20" s="10" t="s">
        <v>110</v>
      </c>
      <c r="L20" s="10" t="s">
        <v>93</v>
      </c>
      <c r="M20" s="10">
        <v>1</v>
      </c>
      <c r="N20" s="10" t="s">
        <v>149</v>
      </c>
      <c r="O20" s="10">
        <v>3.7</v>
      </c>
      <c r="P20" s="10">
        <f t="shared" si="3"/>
        <v>90</v>
      </c>
      <c r="Q20" s="47">
        <f>((10-2*0.35)*(9-2*0.35))*M20</f>
        <v>77.190000000000012</v>
      </c>
      <c r="R20" s="43">
        <f t="shared" si="0"/>
        <v>20.862162162162164</v>
      </c>
      <c r="S20" s="10" t="s">
        <v>67</v>
      </c>
      <c r="T20" s="31"/>
      <c r="U20" s="47">
        <f>400+1750+250</f>
        <v>2400</v>
      </c>
      <c r="V20" s="9" t="s">
        <v>244</v>
      </c>
      <c r="W20" s="43">
        <f t="shared" si="1"/>
        <v>31.092110376991833</v>
      </c>
      <c r="X20" s="10">
        <v>1</v>
      </c>
      <c r="Y20" s="47">
        <f t="shared" si="2"/>
        <v>648.64864864864865</v>
      </c>
      <c r="Z20" s="43" t="s">
        <v>66</v>
      </c>
      <c r="AA20" s="31" t="s">
        <v>628</v>
      </c>
    </row>
    <row r="21" spans="1:27" ht="40" customHeight="1" x14ac:dyDescent="0.2">
      <c r="A21" s="9">
        <v>2</v>
      </c>
      <c r="B21" s="10" t="s">
        <v>670</v>
      </c>
      <c r="C21" s="12"/>
      <c r="D21" s="12"/>
      <c r="E21" s="10" t="s">
        <v>539</v>
      </c>
      <c r="F21" s="9"/>
      <c r="G21" s="10" t="s">
        <v>58</v>
      </c>
      <c r="H21" s="9"/>
      <c r="I21" s="9" t="s">
        <v>389</v>
      </c>
      <c r="J21" s="10" t="s">
        <v>331</v>
      </c>
      <c r="K21" s="10" t="s">
        <v>110</v>
      </c>
      <c r="L21" s="10" t="s">
        <v>83</v>
      </c>
      <c r="M21" s="10">
        <v>1</v>
      </c>
      <c r="N21" s="10" t="s">
        <v>148</v>
      </c>
      <c r="O21" s="10">
        <v>3.7</v>
      </c>
      <c r="P21" s="10">
        <f t="shared" si="3"/>
        <v>90</v>
      </c>
      <c r="Q21" s="47">
        <f t="shared" ref="Q21:Q24" si="4">((10-2*0.25)*(9-2*0.25))*M21</f>
        <v>80.75</v>
      </c>
      <c r="R21" s="43">
        <f t="shared" si="0"/>
        <v>21.824324324324323</v>
      </c>
      <c r="S21" s="10" t="s">
        <v>65</v>
      </c>
      <c r="T21" s="31"/>
      <c r="U21" s="47">
        <f>69120+38400+34560+21600+30000</f>
        <v>193680</v>
      </c>
      <c r="V21" s="9" t="s">
        <v>244</v>
      </c>
      <c r="W21" s="43">
        <f t="shared" si="1"/>
        <v>2398.5139318885449</v>
      </c>
      <c r="X21" s="10">
        <v>1</v>
      </c>
      <c r="Y21" s="47">
        <f t="shared" si="2"/>
        <v>52345.945945945947</v>
      </c>
      <c r="Z21" s="43" t="s">
        <v>66</v>
      </c>
      <c r="AA21" s="31" t="s">
        <v>628</v>
      </c>
    </row>
    <row r="22" spans="1:27" ht="40" customHeight="1" x14ac:dyDescent="0.2">
      <c r="A22" s="9">
        <v>2</v>
      </c>
      <c r="B22" s="10" t="s">
        <v>670</v>
      </c>
      <c r="C22" s="12"/>
      <c r="D22" s="12"/>
      <c r="E22" s="10" t="s">
        <v>539</v>
      </c>
      <c r="F22" s="9"/>
      <c r="G22" s="10" t="s">
        <v>58</v>
      </c>
      <c r="H22" s="9"/>
      <c r="I22" s="9" t="s">
        <v>389</v>
      </c>
      <c r="J22" s="10" t="s">
        <v>331</v>
      </c>
      <c r="K22" s="10" t="s">
        <v>110</v>
      </c>
      <c r="L22" s="10" t="s">
        <v>83</v>
      </c>
      <c r="M22" s="10">
        <v>1</v>
      </c>
      <c r="N22" s="10" t="s">
        <v>148</v>
      </c>
      <c r="O22" s="10">
        <v>3.7</v>
      </c>
      <c r="P22" s="10">
        <f t="shared" si="3"/>
        <v>90</v>
      </c>
      <c r="Q22" s="47">
        <f t="shared" si="4"/>
        <v>80.75</v>
      </c>
      <c r="R22" s="43">
        <f t="shared" si="0"/>
        <v>21.824324324324323</v>
      </c>
      <c r="S22" s="10" t="s">
        <v>67</v>
      </c>
      <c r="T22" s="31"/>
      <c r="U22" s="47">
        <f>400+1750</f>
        <v>2150</v>
      </c>
      <c r="V22" s="9" t="s">
        <v>244</v>
      </c>
      <c r="W22" s="43">
        <f t="shared" si="1"/>
        <v>26.625386996904023</v>
      </c>
      <c r="X22" s="10">
        <v>1</v>
      </c>
      <c r="Y22" s="47">
        <f t="shared" si="2"/>
        <v>581.08108108108104</v>
      </c>
      <c r="Z22" s="43" t="s">
        <v>66</v>
      </c>
      <c r="AA22" s="31" t="s">
        <v>628</v>
      </c>
    </row>
    <row r="23" spans="1:27" ht="40" customHeight="1" x14ac:dyDescent="0.2">
      <c r="A23" s="9">
        <v>2</v>
      </c>
      <c r="B23" s="10" t="s">
        <v>670</v>
      </c>
      <c r="C23" s="12"/>
      <c r="D23" s="12"/>
      <c r="E23" s="10" t="s">
        <v>539</v>
      </c>
      <c r="F23" s="9"/>
      <c r="G23" s="10" t="s">
        <v>58</v>
      </c>
      <c r="H23" s="9"/>
      <c r="I23" s="9" t="s">
        <v>389</v>
      </c>
      <c r="J23" s="10" t="s">
        <v>332</v>
      </c>
      <c r="K23" s="10" t="s">
        <v>108</v>
      </c>
      <c r="L23" s="10" t="s">
        <v>68</v>
      </c>
      <c r="M23" s="10">
        <v>1</v>
      </c>
      <c r="N23" s="10" t="s">
        <v>147</v>
      </c>
      <c r="O23" s="10">
        <v>3.7</v>
      </c>
      <c r="P23" s="10">
        <f t="shared" si="3"/>
        <v>90</v>
      </c>
      <c r="Q23" s="47">
        <f t="shared" si="4"/>
        <v>80.75</v>
      </c>
      <c r="R23" s="43">
        <f t="shared" si="0"/>
        <v>21.824324324324323</v>
      </c>
      <c r="S23" s="10" t="s">
        <v>65</v>
      </c>
      <c r="T23" s="31"/>
      <c r="U23" s="47">
        <f>69120+38400+34560+21600+30000</f>
        <v>193680</v>
      </c>
      <c r="V23" s="9" t="s">
        <v>244</v>
      </c>
      <c r="W23" s="43">
        <f t="shared" si="1"/>
        <v>2398.5139318885449</v>
      </c>
      <c r="X23" s="10">
        <v>1</v>
      </c>
      <c r="Y23" s="47">
        <f t="shared" si="2"/>
        <v>52345.945945945947</v>
      </c>
      <c r="Z23" s="43" t="s">
        <v>66</v>
      </c>
      <c r="AA23" s="31" t="s">
        <v>628</v>
      </c>
    </row>
    <row r="24" spans="1:27" ht="40" customHeight="1" x14ac:dyDescent="0.2">
      <c r="A24" s="9">
        <v>2</v>
      </c>
      <c r="B24" s="10" t="s">
        <v>670</v>
      </c>
      <c r="C24" s="12"/>
      <c r="D24" s="12"/>
      <c r="E24" s="10" t="s">
        <v>539</v>
      </c>
      <c r="F24" s="9"/>
      <c r="G24" s="10" t="s">
        <v>58</v>
      </c>
      <c r="H24" s="9"/>
      <c r="I24" s="9" t="s">
        <v>389</v>
      </c>
      <c r="J24" s="10" t="s">
        <v>332</v>
      </c>
      <c r="K24" s="10" t="s">
        <v>108</v>
      </c>
      <c r="L24" s="10" t="s">
        <v>68</v>
      </c>
      <c r="M24" s="10">
        <v>1</v>
      </c>
      <c r="N24" s="10" t="s">
        <v>147</v>
      </c>
      <c r="O24" s="10">
        <v>3.7</v>
      </c>
      <c r="P24" s="10">
        <f t="shared" si="3"/>
        <v>90</v>
      </c>
      <c r="Q24" s="47">
        <f t="shared" si="4"/>
        <v>80.75</v>
      </c>
      <c r="R24" s="43">
        <f t="shared" si="0"/>
        <v>21.824324324324323</v>
      </c>
      <c r="S24" s="10" t="s">
        <v>67</v>
      </c>
      <c r="T24" s="31"/>
      <c r="U24" s="47">
        <f>400+1750+250</f>
        <v>2400</v>
      </c>
      <c r="V24" s="9" t="s">
        <v>244</v>
      </c>
      <c r="W24" s="43">
        <f t="shared" si="1"/>
        <v>29.721362229102166</v>
      </c>
      <c r="X24" s="10">
        <v>1</v>
      </c>
      <c r="Y24" s="47">
        <f t="shared" si="2"/>
        <v>648.64864864864865</v>
      </c>
      <c r="Z24" s="43" t="s">
        <v>66</v>
      </c>
      <c r="AA24" s="31" t="s">
        <v>628</v>
      </c>
    </row>
    <row r="25" spans="1:27" ht="40" customHeight="1" x14ac:dyDescent="0.2">
      <c r="A25" s="9">
        <v>2</v>
      </c>
      <c r="B25" s="10" t="s">
        <v>670</v>
      </c>
      <c r="C25" s="12"/>
      <c r="D25" s="12"/>
      <c r="E25" s="10" t="s">
        <v>539</v>
      </c>
      <c r="F25" s="9"/>
      <c r="G25" s="10" t="s">
        <v>58</v>
      </c>
      <c r="H25" s="9"/>
      <c r="I25" s="9" t="s">
        <v>389</v>
      </c>
      <c r="J25" s="10" t="s">
        <v>333</v>
      </c>
      <c r="K25" s="10" t="s">
        <v>146</v>
      </c>
      <c r="L25" s="10" t="s">
        <v>87</v>
      </c>
      <c r="M25" s="10">
        <v>1</v>
      </c>
      <c r="N25" s="10" t="s">
        <v>145</v>
      </c>
      <c r="O25" s="10">
        <v>3.7</v>
      </c>
      <c r="P25" s="10">
        <f t="shared" si="3"/>
        <v>90</v>
      </c>
      <c r="Q25" s="47">
        <f t="shared" ref="Q25:Q28" si="5">((10-2*0.2)*(9-2*0.2))*M25</f>
        <v>82.559999999999988</v>
      </c>
      <c r="R25" s="43">
        <f t="shared" si="0"/>
        <v>22.313513513513509</v>
      </c>
      <c r="S25" s="10" t="s">
        <v>65</v>
      </c>
      <c r="T25" s="31"/>
      <c r="U25" s="47">
        <f>69120+38400+34560+21600+30000</f>
        <v>193680</v>
      </c>
      <c r="V25" s="9" t="s">
        <v>244</v>
      </c>
      <c r="W25" s="43">
        <f t="shared" si="1"/>
        <v>2345.9302325581398</v>
      </c>
      <c r="X25" s="10">
        <v>1</v>
      </c>
      <c r="Y25" s="47">
        <f t="shared" si="2"/>
        <v>52345.945945945947</v>
      </c>
      <c r="Z25" s="43" t="s">
        <v>66</v>
      </c>
      <c r="AA25" s="31" t="s">
        <v>628</v>
      </c>
    </row>
    <row r="26" spans="1:27" ht="40" customHeight="1" x14ac:dyDescent="0.2">
      <c r="A26" s="9">
        <v>2</v>
      </c>
      <c r="B26" s="10" t="s">
        <v>670</v>
      </c>
      <c r="C26" s="12"/>
      <c r="D26" s="12"/>
      <c r="E26" s="10" t="s">
        <v>539</v>
      </c>
      <c r="F26" s="9"/>
      <c r="G26" s="10" t="s">
        <v>58</v>
      </c>
      <c r="H26" s="9"/>
      <c r="I26" s="9" t="s">
        <v>389</v>
      </c>
      <c r="J26" s="10" t="s">
        <v>333</v>
      </c>
      <c r="K26" s="10" t="s">
        <v>146</v>
      </c>
      <c r="L26" s="10" t="s">
        <v>87</v>
      </c>
      <c r="M26" s="10">
        <v>1</v>
      </c>
      <c r="N26" s="10" t="s">
        <v>145</v>
      </c>
      <c r="O26" s="10">
        <v>3.7</v>
      </c>
      <c r="P26" s="10">
        <f t="shared" si="3"/>
        <v>90</v>
      </c>
      <c r="Q26" s="47">
        <f t="shared" si="5"/>
        <v>82.559999999999988</v>
      </c>
      <c r="R26" s="43">
        <f t="shared" si="0"/>
        <v>22.313513513513509</v>
      </c>
      <c r="S26" s="10" t="s">
        <v>67</v>
      </c>
      <c r="T26" s="31"/>
      <c r="U26" s="47">
        <f>400+1750+250</f>
        <v>2400</v>
      </c>
      <c r="V26" s="9" t="s">
        <v>244</v>
      </c>
      <c r="W26" s="43">
        <f t="shared" si="1"/>
        <v>29.069767441860471</v>
      </c>
      <c r="X26" s="10">
        <v>1</v>
      </c>
      <c r="Y26" s="47">
        <f t="shared" si="2"/>
        <v>648.64864864864865</v>
      </c>
      <c r="Z26" s="43" t="s">
        <v>66</v>
      </c>
      <c r="AA26" s="31" t="s">
        <v>628</v>
      </c>
    </row>
    <row r="27" spans="1:27" ht="40" customHeight="1" x14ac:dyDescent="0.2">
      <c r="A27" s="9">
        <v>2</v>
      </c>
      <c r="B27" s="10" t="s">
        <v>670</v>
      </c>
      <c r="C27" s="12"/>
      <c r="D27" s="12"/>
      <c r="E27" s="10" t="s">
        <v>539</v>
      </c>
      <c r="F27" s="9"/>
      <c r="G27" s="10" t="s">
        <v>58</v>
      </c>
      <c r="H27" s="9"/>
      <c r="I27" s="9" t="s">
        <v>389</v>
      </c>
      <c r="J27" s="10" t="s">
        <v>334</v>
      </c>
      <c r="K27" s="10" t="s">
        <v>144</v>
      </c>
      <c r="L27" s="10" t="s">
        <v>68</v>
      </c>
      <c r="M27" s="10">
        <v>1</v>
      </c>
      <c r="N27" s="10" t="s">
        <v>297</v>
      </c>
      <c r="O27" s="10">
        <v>3.7</v>
      </c>
      <c r="P27" s="10">
        <f t="shared" si="3"/>
        <v>90</v>
      </c>
      <c r="Q27" s="47">
        <f t="shared" si="5"/>
        <v>82.559999999999988</v>
      </c>
      <c r="R27" s="43">
        <f t="shared" si="0"/>
        <v>22.313513513513509</v>
      </c>
      <c r="S27" s="10" t="s">
        <v>65</v>
      </c>
      <c r="T27" s="31"/>
      <c r="U27" s="47">
        <f>69120+38400+34560+21600+30000</f>
        <v>193680</v>
      </c>
      <c r="V27" s="9" t="s">
        <v>244</v>
      </c>
      <c r="W27" s="43">
        <f t="shared" si="1"/>
        <v>2345.9302325581398</v>
      </c>
      <c r="X27" s="10">
        <v>1</v>
      </c>
      <c r="Y27" s="47">
        <f t="shared" si="2"/>
        <v>52345.945945945947</v>
      </c>
      <c r="Z27" s="43" t="s">
        <v>66</v>
      </c>
      <c r="AA27" s="31" t="s">
        <v>628</v>
      </c>
    </row>
    <row r="28" spans="1:27" ht="40" customHeight="1" x14ac:dyDescent="0.2">
      <c r="A28" s="9">
        <v>2</v>
      </c>
      <c r="B28" s="10" t="s">
        <v>670</v>
      </c>
      <c r="C28" s="12"/>
      <c r="D28" s="12"/>
      <c r="E28" s="10" t="s">
        <v>539</v>
      </c>
      <c r="F28" s="9"/>
      <c r="G28" s="10" t="s">
        <v>58</v>
      </c>
      <c r="H28" s="9"/>
      <c r="I28" s="9" t="s">
        <v>389</v>
      </c>
      <c r="J28" s="10" t="s">
        <v>334</v>
      </c>
      <c r="K28" s="10" t="s">
        <v>144</v>
      </c>
      <c r="L28" s="10" t="s">
        <v>68</v>
      </c>
      <c r="M28" s="10">
        <v>1</v>
      </c>
      <c r="N28" s="10" t="s">
        <v>297</v>
      </c>
      <c r="O28" s="10">
        <v>3.7</v>
      </c>
      <c r="P28" s="10">
        <f t="shared" si="3"/>
        <v>90</v>
      </c>
      <c r="Q28" s="47">
        <f t="shared" si="5"/>
        <v>82.559999999999988</v>
      </c>
      <c r="R28" s="43">
        <f t="shared" si="0"/>
        <v>22.313513513513509</v>
      </c>
      <c r="S28" s="10" t="s">
        <v>67</v>
      </c>
      <c r="T28" s="31"/>
      <c r="U28" s="47">
        <f>400+1750+250</f>
        <v>2400</v>
      </c>
      <c r="V28" s="9" t="s">
        <v>244</v>
      </c>
      <c r="W28" s="43">
        <f t="shared" si="1"/>
        <v>29.069767441860471</v>
      </c>
      <c r="X28" s="10">
        <v>1</v>
      </c>
      <c r="Y28" s="47">
        <f t="shared" si="2"/>
        <v>648.64864864864865</v>
      </c>
      <c r="Z28" s="43" t="s">
        <v>66</v>
      </c>
      <c r="AA28" s="31" t="s">
        <v>628</v>
      </c>
    </row>
    <row r="29" spans="1:27" ht="40" customHeight="1" x14ac:dyDescent="0.2">
      <c r="A29" s="9">
        <v>2</v>
      </c>
      <c r="B29" s="10" t="s">
        <v>670</v>
      </c>
      <c r="C29" s="12"/>
      <c r="D29" s="12"/>
      <c r="E29" s="10" t="s">
        <v>539</v>
      </c>
      <c r="F29" s="9"/>
      <c r="G29" s="10" t="s">
        <v>58</v>
      </c>
      <c r="H29" s="9"/>
      <c r="I29" s="9" t="s">
        <v>389</v>
      </c>
      <c r="J29" s="10" t="s">
        <v>335</v>
      </c>
      <c r="K29" s="10" t="s">
        <v>107</v>
      </c>
      <c r="L29" s="10" t="s">
        <v>83</v>
      </c>
      <c r="M29" s="10">
        <v>1</v>
      </c>
      <c r="N29" s="10" t="s">
        <v>133</v>
      </c>
      <c r="O29" s="10">
        <v>3.6</v>
      </c>
      <c r="P29" s="10">
        <f t="shared" si="3"/>
        <v>90</v>
      </c>
      <c r="Q29" s="47">
        <f t="shared" ref="Q29:Q32" si="6">((10-2*0.16)*(9-2*0.16))*M29</f>
        <v>84.02239999999999</v>
      </c>
      <c r="R29" s="43">
        <f t="shared" si="0"/>
        <v>23.339555555555553</v>
      </c>
      <c r="S29" s="10" t="s">
        <v>65</v>
      </c>
      <c r="T29" s="31"/>
      <c r="U29" s="47">
        <f>38400+34560+21600+30000</f>
        <v>124560</v>
      </c>
      <c r="V29" s="9" t="s">
        <v>244</v>
      </c>
      <c r="W29" s="43">
        <f t="shared" si="1"/>
        <v>1482.4618197052216</v>
      </c>
      <c r="X29" s="10">
        <v>1</v>
      </c>
      <c r="Y29" s="47">
        <f t="shared" si="2"/>
        <v>34600</v>
      </c>
      <c r="Z29" s="43" t="s">
        <v>72</v>
      </c>
      <c r="AA29" s="31" t="s">
        <v>628</v>
      </c>
    </row>
    <row r="30" spans="1:27" ht="40" customHeight="1" x14ac:dyDescent="0.2">
      <c r="A30" s="9">
        <v>2</v>
      </c>
      <c r="B30" s="10" t="s">
        <v>670</v>
      </c>
      <c r="C30" s="12"/>
      <c r="D30" s="12"/>
      <c r="E30" s="10" t="s">
        <v>539</v>
      </c>
      <c r="F30" s="9"/>
      <c r="G30" s="10" t="s">
        <v>58</v>
      </c>
      <c r="H30" s="9"/>
      <c r="I30" s="9" t="s">
        <v>389</v>
      </c>
      <c r="J30" s="10" t="s">
        <v>335</v>
      </c>
      <c r="K30" s="10" t="s">
        <v>107</v>
      </c>
      <c r="L30" s="10" t="s">
        <v>83</v>
      </c>
      <c r="M30" s="10">
        <v>1</v>
      </c>
      <c r="N30" s="10" t="s">
        <v>133</v>
      </c>
      <c r="O30" s="10">
        <v>3.6</v>
      </c>
      <c r="P30" s="10">
        <f t="shared" si="3"/>
        <v>90</v>
      </c>
      <c r="Q30" s="47">
        <f t="shared" si="6"/>
        <v>84.02239999999999</v>
      </c>
      <c r="R30" s="43">
        <f t="shared" si="0"/>
        <v>23.339555555555553</v>
      </c>
      <c r="S30" s="10" t="s">
        <v>67</v>
      </c>
      <c r="T30" s="31"/>
      <c r="U30" s="47">
        <f>3200+1600+400+1750+250+2700+2500+2484</f>
        <v>14884</v>
      </c>
      <c r="V30" s="9" t="s">
        <v>244</v>
      </c>
      <c r="W30" s="43">
        <f t="shared" si="1"/>
        <v>177.1432379936779</v>
      </c>
      <c r="X30" s="10">
        <v>1</v>
      </c>
      <c r="Y30" s="47">
        <f t="shared" si="2"/>
        <v>4134.4444444444443</v>
      </c>
      <c r="Z30" s="43" t="s">
        <v>72</v>
      </c>
      <c r="AA30" s="31" t="s">
        <v>628</v>
      </c>
    </row>
    <row r="31" spans="1:27" ht="40" customHeight="1" x14ac:dyDescent="0.2">
      <c r="A31" s="9">
        <v>2</v>
      </c>
      <c r="B31" s="10" t="s">
        <v>670</v>
      </c>
      <c r="C31" s="12"/>
      <c r="D31" s="12"/>
      <c r="E31" s="10" t="s">
        <v>539</v>
      </c>
      <c r="F31" s="9"/>
      <c r="G31" s="10" t="s">
        <v>58</v>
      </c>
      <c r="H31" s="9"/>
      <c r="I31" s="9" t="s">
        <v>389</v>
      </c>
      <c r="J31" s="10" t="s">
        <v>336</v>
      </c>
      <c r="K31" s="10" t="s">
        <v>105</v>
      </c>
      <c r="L31" s="10" t="s">
        <v>68</v>
      </c>
      <c r="M31" s="10">
        <v>1</v>
      </c>
      <c r="N31" s="10" t="s">
        <v>143</v>
      </c>
      <c r="O31" s="10">
        <v>3.7</v>
      </c>
      <c r="P31" s="10">
        <f t="shared" si="3"/>
        <v>90</v>
      </c>
      <c r="Q31" s="47">
        <f t="shared" si="6"/>
        <v>84.02239999999999</v>
      </c>
      <c r="R31" s="43">
        <f t="shared" si="0"/>
        <v>22.708756756756753</v>
      </c>
      <c r="S31" s="10" t="s">
        <v>65</v>
      </c>
      <c r="T31" s="31"/>
      <c r="U31" s="47">
        <f>38400+34560+21600+30000</f>
        <v>124560</v>
      </c>
      <c r="V31" s="9" t="s">
        <v>244</v>
      </c>
      <c r="W31" s="43">
        <f t="shared" si="1"/>
        <v>1482.4618197052216</v>
      </c>
      <c r="X31" s="10">
        <v>1</v>
      </c>
      <c r="Y31" s="47">
        <f t="shared" si="2"/>
        <v>33664.864864864867</v>
      </c>
      <c r="Z31" s="43" t="s">
        <v>66</v>
      </c>
      <c r="AA31" s="31" t="s">
        <v>628</v>
      </c>
    </row>
    <row r="32" spans="1:27" ht="40" customHeight="1" x14ac:dyDescent="0.2">
      <c r="A32" s="9">
        <v>2</v>
      </c>
      <c r="B32" s="10" t="s">
        <v>670</v>
      </c>
      <c r="C32" s="12"/>
      <c r="D32" s="12"/>
      <c r="E32" s="10" t="s">
        <v>539</v>
      </c>
      <c r="F32" s="9"/>
      <c r="G32" s="10" t="s">
        <v>58</v>
      </c>
      <c r="H32" s="9"/>
      <c r="I32" s="9" t="s">
        <v>389</v>
      </c>
      <c r="J32" s="10" t="s">
        <v>336</v>
      </c>
      <c r="K32" s="10" t="s">
        <v>105</v>
      </c>
      <c r="L32" s="10" t="s">
        <v>68</v>
      </c>
      <c r="M32" s="10">
        <v>1</v>
      </c>
      <c r="N32" s="10" t="s">
        <v>143</v>
      </c>
      <c r="O32" s="10">
        <v>3.7</v>
      </c>
      <c r="P32" s="10">
        <f t="shared" si="3"/>
        <v>90</v>
      </c>
      <c r="Q32" s="47">
        <f t="shared" si="6"/>
        <v>84.02239999999999</v>
      </c>
      <c r="R32" s="43">
        <f t="shared" si="0"/>
        <v>22.708756756756753</v>
      </c>
      <c r="S32" s="10" t="s">
        <v>67</v>
      </c>
      <c r="T32" s="31"/>
      <c r="U32" s="47">
        <f>3200+1600+400+1750+250+2700+2500+2484</f>
        <v>14884</v>
      </c>
      <c r="V32" s="9" t="s">
        <v>244</v>
      </c>
      <c r="W32" s="43">
        <f t="shared" si="1"/>
        <v>177.1432379936779</v>
      </c>
      <c r="X32" s="10">
        <v>1</v>
      </c>
      <c r="Y32" s="47">
        <f t="shared" si="2"/>
        <v>4022.7027027027025</v>
      </c>
      <c r="Z32" s="43" t="s">
        <v>66</v>
      </c>
      <c r="AA32" s="31" t="s">
        <v>628</v>
      </c>
    </row>
    <row r="33" spans="1:27" ht="40" customHeight="1" x14ac:dyDescent="0.2">
      <c r="A33" s="9">
        <v>2</v>
      </c>
      <c r="B33" s="10" t="s">
        <v>670</v>
      </c>
      <c r="C33" s="12"/>
      <c r="D33" s="12"/>
      <c r="E33" s="10" t="s">
        <v>539</v>
      </c>
      <c r="F33" s="9"/>
      <c r="G33" s="10" t="s">
        <v>58</v>
      </c>
      <c r="H33" s="9"/>
      <c r="I33" s="3" t="s">
        <v>433</v>
      </c>
      <c r="J33" s="10" t="s">
        <v>337</v>
      </c>
      <c r="K33" s="10" t="s">
        <v>103</v>
      </c>
      <c r="L33" s="10" t="s">
        <v>116</v>
      </c>
      <c r="M33" s="10">
        <v>4</v>
      </c>
      <c r="N33" s="10" t="s">
        <v>142</v>
      </c>
      <c r="O33" s="10">
        <v>39.9</v>
      </c>
      <c r="P33" s="10">
        <f t="shared" ref="P33:P51" si="7">(32*12)*M33</f>
        <v>1536</v>
      </c>
      <c r="Q33" s="50">
        <f>((32-2*0.5)*(12-2*0.5))*M33</f>
        <v>1364</v>
      </c>
      <c r="R33" s="43">
        <f t="shared" si="0"/>
        <v>34.185463659147871</v>
      </c>
      <c r="S33" s="10" t="s">
        <v>67</v>
      </c>
      <c r="T33" s="31"/>
      <c r="U33" s="47">
        <f>7000+1250+22800+22000+20976+2500+5244</f>
        <v>81770</v>
      </c>
      <c r="V33" s="9" t="s">
        <v>244</v>
      </c>
      <c r="W33" s="43">
        <f t="shared" si="1"/>
        <v>59.948680351906155</v>
      </c>
      <c r="X33" s="10">
        <v>3</v>
      </c>
      <c r="Y33" s="47">
        <f t="shared" si="2"/>
        <v>2049.3734335839599</v>
      </c>
      <c r="Z33" s="43" t="s">
        <v>66</v>
      </c>
      <c r="AA33" s="31" t="s">
        <v>628</v>
      </c>
    </row>
    <row r="34" spans="1:27" ht="40" customHeight="1" x14ac:dyDescent="0.2">
      <c r="A34" s="9">
        <v>2</v>
      </c>
      <c r="B34" s="10" t="s">
        <v>670</v>
      </c>
      <c r="C34" s="12"/>
      <c r="D34" s="12"/>
      <c r="E34" s="10" t="s">
        <v>539</v>
      </c>
      <c r="F34" s="9"/>
      <c r="G34" s="10" t="s">
        <v>58</v>
      </c>
      <c r="H34" s="9"/>
      <c r="I34" s="3" t="s">
        <v>433</v>
      </c>
      <c r="J34" s="10" t="s">
        <v>338</v>
      </c>
      <c r="K34" s="10" t="s">
        <v>141</v>
      </c>
      <c r="L34" s="10" t="s">
        <v>140</v>
      </c>
      <c r="M34" s="10">
        <v>4</v>
      </c>
      <c r="N34" s="10" t="s">
        <v>139</v>
      </c>
      <c r="O34" s="10">
        <v>39.4</v>
      </c>
      <c r="P34" s="10">
        <f t="shared" si="7"/>
        <v>1536</v>
      </c>
      <c r="Q34" s="50">
        <f>((32-2*0.5)*(12-2*0.5))*M34</f>
        <v>1364</v>
      </c>
      <c r="R34" s="43">
        <f t="shared" si="0"/>
        <v>34.619289340101524</v>
      </c>
      <c r="S34" s="10" t="s">
        <v>67</v>
      </c>
      <c r="T34" s="31"/>
      <c r="U34" s="47">
        <f>5600+7000+1250+22800+22000+20976+2500+5244</f>
        <v>87370</v>
      </c>
      <c r="V34" s="9" t="s">
        <v>244</v>
      </c>
      <c r="W34" s="43">
        <f t="shared" si="1"/>
        <v>64.054252199413483</v>
      </c>
      <c r="X34" s="10">
        <v>3</v>
      </c>
      <c r="Y34" s="47">
        <f t="shared" si="2"/>
        <v>2217.5126903553301</v>
      </c>
      <c r="Z34" s="43" t="s">
        <v>66</v>
      </c>
      <c r="AA34" s="31" t="s">
        <v>628</v>
      </c>
    </row>
    <row r="35" spans="1:27" ht="40" customHeight="1" x14ac:dyDescent="0.2">
      <c r="A35" s="9">
        <v>2</v>
      </c>
      <c r="B35" s="10" t="s">
        <v>670</v>
      </c>
      <c r="C35" s="12"/>
      <c r="D35" s="12"/>
      <c r="E35" s="10" t="s">
        <v>539</v>
      </c>
      <c r="F35" s="9"/>
      <c r="G35" s="10" t="s">
        <v>58</v>
      </c>
      <c r="H35" s="9"/>
      <c r="I35" s="3" t="s">
        <v>433</v>
      </c>
      <c r="J35" s="10" t="s">
        <v>339</v>
      </c>
      <c r="K35" s="10" t="s">
        <v>138</v>
      </c>
      <c r="L35" s="10" t="s">
        <v>93</v>
      </c>
      <c r="M35" s="10">
        <v>4</v>
      </c>
      <c r="N35" s="10" t="s">
        <v>137</v>
      </c>
      <c r="O35" s="10">
        <v>39.9</v>
      </c>
      <c r="P35" s="10">
        <f t="shared" si="7"/>
        <v>1536</v>
      </c>
      <c r="Q35" s="50">
        <f>((32-2*0.35)*(12-2*0.35))*M35</f>
        <v>1414.7600000000002</v>
      </c>
      <c r="R35" s="43">
        <f t="shared" si="0"/>
        <v>35.457644110275695</v>
      </c>
      <c r="S35" s="10" t="s">
        <v>65</v>
      </c>
      <c r="T35" s="31"/>
      <c r="U35" s="47">
        <f>437760+259200+145920+91200+108000</f>
        <v>1042080</v>
      </c>
      <c r="V35" s="9" t="s">
        <v>244</v>
      </c>
      <c r="W35" s="43">
        <f t="shared" si="1"/>
        <v>736.57722864655477</v>
      </c>
      <c r="X35" s="10">
        <v>3</v>
      </c>
      <c r="Y35" s="47">
        <f t="shared" si="2"/>
        <v>26117.293233082706</v>
      </c>
      <c r="Z35" s="43" t="s">
        <v>72</v>
      </c>
      <c r="AA35" s="31" t="s">
        <v>628</v>
      </c>
    </row>
    <row r="36" spans="1:27" ht="40" customHeight="1" x14ac:dyDescent="0.2">
      <c r="A36" s="9">
        <v>2</v>
      </c>
      <c r="B36" s="10" t="s">
        <v>670</v>
      </c>
      <c r="C36" s="12"/>
      <c r="D36" s="12"/>
      <c r="E36" s="10" t="s">
        <v>539</v>
      </c>
      <c r="F36" s="9"/>
      <c r="G36" s="10" t="s">
        <v>58</v>
      </c>
      <c r="H36" s="9"/>
      <c r="I36" s="3" t="s">
        <v>433</v>
      </c>
      <c r="J36" s="10" t="s">
        <v>339</v>
      </c>
      <c r="K36" s="10" t="s">
        <v>138</v>
      </c>
      <c r="L36" s="10" t="s">
        <v>93</v>
      </c>
      <c r="M36" s="10">
        <v>4</v>
      </c>
      <c r="N36" s="10" t="s">
        <v>137</v>
      </c>
      <c r="O36" s="10">
        <v>39.9</v>
      </c>
      <c r="P36" s="10">
        <f t="shared" si="7"/>
        <v>1536</v>
      </c>
      <c r="Q36" s="50">
        <f>((32-2*0.35)*(12-2*0.35))*M36</f>
        <v>1414.7600000000002</v>
      </c>
      <c r="R36" s="43">
        <f t="shared" si="0"/>
        <v>35.457644110275695</v>
      </c>
      <c r="S36" s="10" t="s">
        <v>67</v>
      </c>
      <c r="T36" s="31"/>
      <c r="U36" s="47">
        <f>5600+7000+1250</f>
        <v>13850</v>
      </c>
      <c r="V36" s="9" t="s">
        <v>244</v>
      </c>
      <c r="W36" s="43">
        <f t="shared" si="1"/>
        <v>9.7896463004325813</v>
      </c>
      <c r="X36" s="10">
        <v>3</v>
      </c>
      <c r="Y36" s="47">
        <f t="shared" si="2"/>
        <v>347.11779448621553</v>
      </c>
      <c r="Z36" s="43" t="s">
        <v>72</v>
      </c>
      <c r="AA36" s="31" t="s">
        <v>628</v>
      </c>
    </row>
    <row r="37" spans="1:27" ht="40" customHeight="1" x14ac:dyDescent="0.2">
      <c r="A37" s="9">
        <v>2</v>
      </c>
      <c r="B37" s="10" t="s">
        <v>670</v>
      </c>
      <c r="C37" s="12"/>
      <c r="D37" s="12"/>
      <c r="E37" s="10" t="s">
        <v>539</v>
      </c>
      <c r="F37" s="9"/>
      <c r="G37" s="10" t="s">
        <v>58</v>
      </c>
      <c r="H37" s="9"/>
      <c r="I37" s="3" t="s">
        <v>433</v>
      </c>
      <c r="J37" s="10" t="s">
        <v>340</v>
      </c>
      <c r="K37" s="10" t="s">
        <v>94</v>
      </c>
      <c r="L37" s="10" t="s">
        <v>136</v>
      </c>
      <c r="M37" s="10">
        <v>4</v>
      </c>
      <c r="N37" s="10" t="s">
        <v>133</v>
      </c>
      <c r="O37" s="10">
        <v>39.700000000000003</v>
      </c>
      <c r="P37" s="10">
        <f t="shared" si="7"/>
        <v>1536</v>
      </c>
      <c r="Q37" s="50">
        <f>((32-2*0.3)*(12-2*0.3))*M37</f>
        <v>1431.84</v>
      </c>
      <c r="R37" s="43">
        <f t="shared" si="0"/>
        <v>36.066498740554152</v>
      </c>
      <c r="S37" s="10" t="s">
        <v>65</v>
      </c>
      <c r="T37" s="31"/>
      <c r="U37" s="47">
        <f>528000+437760+259200+145920+91200+108000</f>
        <v>1570080</v>
      </c>
      <c r="V37" s="9" t="s">
        <v>244</v>
      </c>
      <c r="W37" s="43">
        <f t="shared" si="1"/>
        <v>1096.547100234663</v>
      </c>
      <c r="X37" s="10">
        <v>3</v>
      </c>
      <c r="Y37" s="47">
        <f t="shared" si="2"/>
        <v>39548.614609571785</v>
      </c>
      <c r="Z37" s="43" t="s">
        <v>72</v>
      </c>
      <c r="AA37" s="31" t="s">
        <v>628</v>
      </c>
    </row>
    <row r="38" spans="1:27" ht="40" customHeight="1" x14ac:dyDescent="0.2">
      <c r="A38" s="9">
        <v>2</v>
      </c>
      <c r="B38" s="10" t="s">
        <v>670</v>
      </c>
      <c r="C38" s="12"/>
      <c r="D38" s="12"/>
      <c r="E38" s="10" t="s">
        <v>539</v>
      </c>
      <c r="F38" s="9"/>
      <c r="G38" s="10" t="s">
        <v>58</v>
      </c>
      <c r="H38" s="9"/>
      <c r="I38" s="3" t="s">
        <v>433</v>
      </c>
      <c r="J38" s="10" t="s">
        <v>340</v>
      </c>
      <c r="K38" s="10" t="s">
        <v>94</v>
      </c>
      <c r="L38" s="10" t="s">
        <v>136</v>
      </c>
      <c r="M38" s="10">
        <v>4</v>
      </c>
      <c r="N38" s="10" t="s">
        <v>133</v>
      </c>
      <c r="O38" s="10">
        <v>39.700000000000003</v>
      </c>
      <c r="P38" s="10">
        <f t="shared" si="7"/>
        <v>1536</v>
      </c>
      <c r="Q38" s="50">
        <f>((32-2*0.3)*(12-2*0.3))*M38</f>
        <v>1431.84</v>
      </c>
      <c r="R38" s="43">
        <f t="shared" si="0"/>
        <v>36.066498740554152</v>
      </c>
      <c r="S38" s="10" t="s">
        <v>67</v>
      </c>
      <c r="T38" s="31"/>
      <c r="U38" s="47">
        <f>5600+7000+1250</f>
        <v>13850</v>
      </c>
      <c r="V38" s="9" t="s">
        <v>244</v>
      </c>
      <c r="W38" s="43">
        <f t="shared" si="1"/>
        <v>9.6728684769247959</v>
      </c>
      <c r="X38" s="10">
        <v>3</v>
      </c>
      <c r="Y38" s="47">
        <f t="shared" si="2"/>
        <v>348.86649874055411</v>
      </c>
      <c r="Z38" s="43" t="s">
        <v>72</v>
      </c>
      <c r="AA38" s="31" t="s">
        <v>628</v>
      </c>
    </row>
    <row r="39" spans="1:27" ht="40" customHeight="1" x14ac:dyDescent="0.2">
      <c r="A39" s="9">
        <v>2</v>
      </c>
      <c r="B39" s="10" t="s">
        <v>670</v>
      </c>
      <c r="C39" s="12"/>
      <c r="D39" s="12"/>
      <c r="E39" s="10" t="s">
        <v>539</v>
      </c>
      <c r="F39" s="9"/>
      <c r="G39" s="10" t="s">
        <v>58</v>
      </c>
      <c r="H39" s="9"/>
      <c r="I39" s="3" t="s">
        <v>433</v>
      </c>
      <c r="J39" s="10" t="s">
        <v>341</v>
      </c>
      <c r="K39" s="10" t="s">
        <v>100</v>
      </c>
      <c r="L39" s="10" t="s">
        <v>83</v>
      </c>
      <c r="M39" s="10">
        <v>4</v>
      </c>
      <c r="N39" s="10" t="s">
        <v>135</v>
      </c>
      <c r="O39" s="10">
        <v>39.1</v>
      </c>
      <c r="P39" s="10">
        <f t="shared" si="7"/>
        <v>1536</v>
      </c>
      <c r="Q39" s="50">
        <f t="shared" ref="Q39:Q42" si="8">((32-2*0.25)*(12-2*0.25))*M39</f>
        <v>1449</v>
      </c>
      <c r="R39" s="43">
        <f t="shared" si="0"/>
        <v>37.058823529411761</v>
      </c>
      <c r="S39" s="10" t="s">
        <v>65</v>
      </c>
      <c r="T39" s="31"/>
      <c r="U39" s="47">
        <f>437760+259200+145920+91200+108000</f>
        <v>1042080</v>
      </c>
      <c r="V39" s="9" t="s">
        <v>244</v>
      </c>
      <c r="W39" s="43">
        <f t="shared" si="1"/>
        <v>719.17184265010349</v>
      </c>
      <c r="X39" s="10">
        <v>3</v>
      </c>
      <c r="Y39" s="47">
        <f t="shared" si="2"/>
        <v>26651.662404092072</v>
      </c>
      <c r="Z39" s="43" t="s">
        <v>66</v>
      </c>
      <c r="AA39" s="31" t="s">
        <v>628</v>
      </c>
    </row>
    <row r="40" spans="1:27" ht="40" customHeight="1" x14ac:dyDescent="0.2">
      <c r="A40" s="9">
        <v>2</v>
      </c>
      <c r="B40" s="10" t="s">
        <v>670</v>
      </c>
      <c r="C40" s="12"/>
      <c r="D40" s="12"/>
      <c r="E40" s="10" t="s">
        <v>539</v>
      </c>
      <c r="F40" s="9"/>
      <c r="G40" s="10" t="s">
        <v>58</v>
      </c>
      <c r="H40" s="9"/>
      <c r="I40" s="3" t="s">
        <v>433</v>
      </c>
      <c r="J40" s="10" t="s">
        <v>341</v>
      </c>
      <c r="K40" s="10" t="s">
        <v>100</v>
      </c>
      <c r="L40" s="10" t="s">
        <v>83</v>
      </c>
      <c r="M40" s="10">
        <v>4</v>
      </c>
      <c r="N40" s="10" t="s">
        <v>135</v>
      </c>
      <c r="O40" s="10">
        <v>39.1</v>
      </c>
      <c r="P40" s="10">
        <f t="shared" si="7"/>
        <v>1536</v>
      </c>
      <c r="Q40" s="50">
        <f t="shared" si="8"/>
        <v>1449</v>
      </c>
      <c r="R40" s="43">
        <f t="shared" si="0"/>
        <v>37.058823529411761</v>
      </c>
      <c r="S40" s="10" t="s">
        <v>67</v>
      </c>
      <c r="T40" s="31"/>
      <c r="U40" s="47">
        <f>5600+7000+1250</f>
        <v>13850</v>
      </c>
      <c r="V40" s="9" t="s">
        <v>244</v>
      </c>
      <c r="W40" s="43">
        <f t="shared" si="1"/>
        <v>9.5583160800552101</v>
      </c>
      <c r="X40" s="10">
        <v>3</v>
      </c>
      <c r="Y40" s="47">
        <f t="shared" si="2"/>
        <v>354.21994884910487</v>
      </c>
      <c r="Z40" s="43" t="s">
        <v>66</v>
      </c>
      <c r="AA40" s="31" t="s">
        <v>628</v>
      </c>
    </row>
    <row r="41" spans="1:27" ht="40" customHeight="1" x14ac:dyDescent="0.2">
      <c r="A41" s="9">
        <v>2</v>
      </c>
      <c r="B41" s="10" t="s">
        <v>670</v>
      </c>
      <c r="C41" s="12"/>
      <c r="D41" s="12"/>
      <c r="E41" s="10" t="s">
        <v>539</v>
      </c>
      <c r="F41" s="9"/>
      <c r="G41" s="10" t="s">
        <v>58</v>
      </c>
      <c r="H41" s="9"/>
      <c r="I41" s="3" t="s">
        <v>433</v>
      </c>
      <c r="J41" s="10" t="s">
        <v>342</v>
      </c>
      <c r="K41" s="10" t="s">
        <v>134</v>
      </c>
      <c r="L41" s="10" t="s">
        <v>68</v>
      </c>
      <c r="M41" s="10">
        <v>4</v>
      </c>
      <c r="N41" s="10" t="s">
        <v>127</v>
      </c>
      <c r="O41" s="10">
        <v>39.9</v>
      </c>
      <c r="P41" s="10">
        <f t="shared" si="7"/>
        <v>1536</v>
      </c>
      <c r="Q41" s="50">
        <f t="shared" si="8"/>
        <v>1449</v>
      </c>
      <c r="R41" s="43">
        <f t="shared" si="0"/>
        <v>36.315789473684212</v>
      </c>
      <c r="S41" s="10" t="s">
        <v>65</v>
      </c>
      <c r="T41" s="31"/>
      <c r="U41" s="47">
        <f>437760+259200+145920+91200+108000</f>
        <v>1042080</v>
      </c>
      <c r="V41" s="9" t="s">
        <v>244</v>
      </c>
      <c r="W41" s="43">
        <f t="shared" si="1"/>
        <v>719.17184265010349</v>
      </c>
      <c r="X41" s="10">
        <v>3</v>
      </c>
      <c r="Y41" s="47">
        <f t="shared" si="2"/>
        <v>26117.293233082706</v>
      </c>
      <c r="Z41" s="43" t="s">
        <v>66</v>
      </c>
      <c r="AA41" s="31" t="s">
        <v>628</v>
      </c>
    </row>
    <row r="42" spans="1:27" ht="40" customHeight="1" x14ac:dyDescent="0.2">
      <c r="A42" s="9">
        <v>2</v>
      </c>
      <c r="B42" s="10" t="s">
        <v>670</v>
      </c>
      <c r="C42" s="12"/>
      <c r="D42" s="12"/>
      <c r="E42" s="10" t="s">
        <v>539</v>
      </c>
      <c r="F42" s="9"/>
      <c r="G42" s="10" t="s">
        <v>58</v>
      </c>
      <c r="H42" s="9"/>
      <c r="I42" s="3" t="s">
        <v>433</v>
      </c>
      <c r="J42" s="10" t="s">
        <v>342</v>
      </c>
      <c r="K42" s="10" t="s">
        <v>134</v>
      </c>
      <c r="L42" s="10" t="s">
        <v>68</v>
      </c>
      <c r="M42" s="10">
        <v>4</v>
      </c>
      <c r="N42" s="10" t="s">
        <v>127</v>
      </c>
      <c r="O42" s="10">
        <v>39.9</v>
      </c>
      <c r="P42" s="10">
        <f t="shared" si="7"/>
        <v>1536</v>
      </c>
      <c r="Q42" s="50">
        <f t="shared" si="8"/>
        <v>1449</v>
      </c>
      <c r="R42" s="43">
        <f t="shared" si="0"/>
        <v>36.315789473684212</v>
      </c>
      <c r="S42" s="10" t="s">
        <v>67</v>
      </c>
      <c r="T42" s="31"/>
      <c r="U42" s="47">
        <f>5600+7000+1250</f>
        <v>13850</v>
      </c>
      <c r="V42" s="9" t="s">
        <v>244</v>
      </c>
      <c r="W42" s="43">
        <f t="shared" si="1"/>
        <v>9.5583160800552101</v>
      </c>
      <c r="X42" s="10">
        <v>3</v>
      </c>
      <c r="Y42" s="47">
        <f t="shared" si="2"/>
        <v>347.11779448621553</v>
      </c>
      <c r="Z42" s="43" t="s">
        <v>66</v>
      </c>
      <c r="AA42" s="31" t="s">
        <v>628</v>
      </c>
    </row>
    <row r="43" spans="1:27" ht="40" customHeight="1" x14ac:dyDescent="0.2">
      <c r="A43" s="9">
        <v>2</v>
      </c>
      <c r="B43" s="10" t="s">
        <v>670</v>
      </c>
      <c r="C43" s="12"/>
      <c r="D43" s="12"/>
      <c r="E43" s="10" t="s">
        <v>539</v>
      </c>
      <c r="F43" s="9"/>
      <c r="G43" s="10" t="s">
        <v>58</v>
      </c>
      <c r="H43" s="9"/>
      <c r="I43" s="3" t="s">
        <v>433</v>
      </c>
      <c r="J43" s="10" t="s">
        <v>343</v>
      </c>
      <c r="K43" s="10" t="s">
        <v>84</v>
      </c>
      <c r="L43" s="10" t="s">
        <v>83</v>
      </c>
      <c r="M43" s="10">
        <v>4</v>
      </c>
      <c r="N43" s="10" t="s">
        <v>133</v>
      </c>
      <c r="O43" s="10">
        <v>38.1</v>
      </c>
      <c r="P43" s="10">
        <f t="shared" si="7"/>
        <v>1536</v>
      </c>
      <c r="Q43" s="50">
        <f t="shared" ref="Q43:Q50" si="9">((32-2*0.2)*(12-2*0.2))*M43</f>
        <v>1466.24</v>
      </c>
      <c r="R43" s="43">
        <f t="shared" si="0"/>
        <v>38.483989501312337</v>
      </c>
      <c r="S43" s="10" t="s">
        <v>65</v>
      </c>
      <c r="T43" s="31"/>
      <c r="U43" s="47">
        <f>291840+259200+145920+91200+108000</f>
        <v>896160</v>
      </c>
      <c r="V43" s="9" t="s">
        <v>244</v>
      </c>
      <c r="W43" s="43">
        <f t="shared" si="1"/>
        <v>611.19598428633788</v>
      </c>
      <c r="X43" s="10">
        <v>3</v>
      </c>
      <c r="Y43" s="47">
        <f t="shared" si="2"/>
        <v>23521.259842519685</v>
      </c>
      <c r="Z43" s="43" t="s">
        <v>66</v>
      </c>
      <c r="AA43" s="31" t="s">
        <v>628</v>
      </c>
    </row>
    <row r="44" spans="1:27" ht="40" customHeight="1" x14ac:dyDescent="0.2">
      <c r="A44" s="9">
        <v>2</v>
      </c>
      <c r="B44" s="10" t="s">
        <v>670</v>
      </c>
      <c r="C44" s="12"/>
      <c r="D44" s="12"/>
      <c r="E44" s="10" t="s">
        <v>539</v>
      </c>
      <c r="F44" s="9"/>
      <c r="G44" s="10" t="s">
        <v>58</v>
      </c>
      <c r="H44" s="9"/>
      <c r="I44" s="3" t="s">
        <v>433</v>
      </c>
      <c r="J44" s="10" t="s">
        <v>343</v>
      </c>
      <c r="K44" s="10" t="s">
        <v>84</v>
      </c>
      <c r="L44" s="10" t="s">
        <v>83</v>
      </c>
      <c r="M44" s="10">
        <v>4</v>
      </c>
      <c r="N44" s="10" t="s">
        <v>133</v>
      </c>
      <c r="O44" s="10">
        <v>38.1</v>
      </c>
      <c r="P44" s="10">
        <f t="shared" si="7"/>
        <v>1536</v>
      </c>
      <c r="Q44" s="50">
        <f t="shared" si="9"/>
        <v>1466.24</v>
      </c>
      <c r="R44" s="43">
        <f t="shared" si="0"/>
        <v>38.483989501312337</v>
      </c>
      <c r="S44" s="10" t="s">
        <v>67</v>
      </c>
      <c r="T44" s="31"/>
      <c r="U44" s="47">
        <f>5600+7000+1250</f>
        <v>13850</v>
      </c>
      <c r="V44" s="9" t="s">
        <v>244</v>
      </c>
      <c r="W44" s="43">
        <f t="shared" si="1"/>
        <v>9.4459297250109113</v>
      </c>
      <c r="X44" s="10">
        <v>3</v>
      </c>
      <c r="Y44" s="47">
        <f t="shared" si="2"/>
        <v>363.51706036745406</v>
      </c>
      <c r="Z44" s="43" t="s">
        <v>66</v>
      </c>
      <c r="AA44" s="31" t="s">
        <v>628</v>
      </c>
    </row>
    <row r="45" spans="1:27" ht="40" customHeight="1" x14ac:dyDescent="0.2">
      <c r="A45" s="9">
        <v>2</v>
      </c>
      <c r="B45" s="10" t="s">
        <v>670</v>
      </c>
      <c r="C45" s="12"/>
      <c r="D45" s="12"/>
      <c r="E45" s="10" t="s">
        <v>539</v>
      </c>
      <c r="F45" s="9"/>
      <c r="G45" s="10" t="s">
        <v>58</v>
      </c>
      <c r="H45" s="9"/>
      <c r="I45" s="3" t="s">
        <v>433</v>
      </c>
      <c r="J45" s="10" t="s">
        <v>344</v>
      </c>
      <c r="K45" s="10" t="s">
        <v>132</v>
      </c>
      <c r="L45" s="10" t="s">
        <v>68</v>
      </c>
      <c r="M45" s="10">
        <v>4</v>
      </c>
      <c r="N45" s="10" t="s">
        <v>127</v>
      </c>
      <c r="O45" s="10">
        <v>39.9</v>
      </c>
      <c r="P45" s="10">
        <f t="shared" si="7"/>
        <v>1536</v>
      </c>
      <c r="Q45" s="50">
        <f t="shared" si="9"/>
        <v>1466.24</v>
      </c>
      <c r="R45" s="43">
        <f t="shared" si="0"/>
        <v>36.747869674185466</v>
      </c>
      <c r="S45" s="10" t="s">
        <v>65</v>
      </c>
      <c r="T45" s="31"/>
      <c r="U45" s="47">
        <f>291840+259200+145920+91200+108000</f>
        <v>896160</v>
      </c>
      <c r="V45" s="9" t="s">
        <v>244</v>
      </c>
      <c r="W45" s="43">
        <f t="shared" si="1"/>
        <v>611.19598428633788</v>
      </c>
      <c r="X45" s="10">
        <v>3</v>
      </c>
      <c r="Y45" s="47">
        <f t="shared" si="2"/>
        <v>22460.150375939851</v>
      </c>
      <c r="Z45" s="43" t="s">
        <v>66</v>
      </c>
      <c r="AA45" s="31" t="s">
        <v>628</v>
      </c>
    </row>
    <row r="46" spans="1:27" ht="40" customHeight="1" x14ac:dyDescent="0.2">
      <c r="A46" s="9">
        <v>2</v>
      </c>
      <c r="B46" s="10" t="s">
        <v>670</v>
      </c>
      <c r="C46" s="12"/>
      <c r="D46" s="12"/>
      <c r="E46" s="10" t="s">
        <v>539</v>
      </c>
      <c r="F46" s="9"/>
      <c r="G46" s="10" t="s">
        <v>58</v>
      </c>
      <c r="H46" s="9"/>
      <c r="I46" s="3" t="s">
        <v>433</v>
      </c>
      <c r="J46" s="10" t="s">
        <v>344</v>
      </c>
      <c r="K46" s="10" t="s">
        <v>132</v>
      </c>
      <c r="L46" s="10" t="s">
        <v>68</v>
      </c>
      <c r="M46" s="10">
        <v>4</v>
      </c>
      <c r="N46" s="10" t="s">
        <v>127</v>
      </c>
      <c r="O46" s="10">
        <v>39.9</v>
      </c>
      <c r="P46" s="10">
        <f t="shared" si="7"/>
        <v>1536</v>
      </c>
      <c r="Q46" s="50">
        <f t="shared" si="9"/>
        <v>1466.24</v>
      </c>
      <c r="R46" s="43">
        <f t="shared" si="0"/>
        <v>36.747869674185466</v>
      </c>
      <c r="S46" s="10" t="s">
        <v>67</v>
      </c>
      <c r="T46" s="31"/>
      <c r="U46" s="47">
        <f>5600+7000+1250</f>
        <v>13850</v>
      </c>
      <c r="V46" s="9" t="s">
        <v>244</v>
      </c>
      <c r="W46" s="43">
        <f t="shared" si="1"/>
        <v>9.4459297250109113</v>
      </c>
      <c r="X46" s="10">
        <v>3</v>
      </c>
      <c r="Y46" s="47">
        <f t="shared" si="2"/>
        <v>347.11779448621553</v>
      </c>
      <c r="Z46" s="43" t="s">
        <v>66</v>
      </c>
      <c r="AA46" s="31" t="s">
        <v>628</v>
      </c>
    </row>
    <row r="47" spans="1:27" ht="40" customHeight="1" x14ac:dyDescent="0.2">
      <c r="A47" s="9">
        <v>2</v>
      </c>
      <c r="B47" s="10" t="s">
        <v>670</v>
      </c>
      <c r="C47" s="12"/>
      <c r="D47" s="12"/>
      <c r="E47" s="10" t="s">
        <v>539</v>
      </c>
      <c r="F47" s="9"/>
      <c r="G47" s="10" t="s">
        <v>58</v>
      </c>
      <c r="H47" s="9"/>
      <c r="I47" s="3" t="s">
        <v>433</v>
      </c>
      <c r="J47" s="10" t="s">
        <v>345</v>
      </c>
      <c r="K47" s="10" t="s">
        <v>131</v>
      </c>
      <c r="L47" s="10" t="s">
        <v>130</v>
      </c>
      <c r="M47" s="10">
        <v>4</v>
      </c>
      <c r="N47" s="10" t="s">
        <v>129</v>
      </c>
      <c r="O47" s="10">
        <v>40</v>
      </c>
      <c r="P47" s="10">
        <f t="shared" si="7"/>
        <v>1536</v>
      </c>
      <c r="Q47" s="50">
        <f t="shared" si="9"/>
        <v>1466.24</v>
      </c>
      <c r="R47" s="43">
        <f t="shared" ref="R47:R91" si="10">Q47/O47</f>
        <v>36.655999999999999</v>
      </c>
      <c r="S47" s="10" t="s">
        <v>65</v>
      </c>
      <c r="T47" s="31"/>
      <c r="U47" s="47">
        <f>437760+259200+145920+91200+108000</f>
        <v>1042080</v>
      </c>
      <c r="V47" s="9" t="s">
        <v>244</v>
      </c>
      <c r="W47" s="43">
        <f t="shared" ref="W47:W91" si="11">U47/Q47</f>
        <v>710.71584460934093</v>
      </c>
      <c r="X47" s="10">
        <v>3</v>
      </c>
      <c r="Y47" s="47">
        <f t="shared" ref="Y47:Y91" si="12">U47/O47</f>
        <v>26052</v>
      </c>
      <c r="Z47" s="43" t="s">
        <v>89</v>
      </c>
      <c r="AA47" s="31" t="s">
        <v>628</v>
      </c>
    </row>
    <row r="48" spans="1:27" ht="40" customHeight="1" x14ac:dyDescent="0.2">
      <c r="A48" s="9">
        <v>2</v>
      </c>
      <c r="B48" s="10" t="s">
        <v>670</v>
      </c>
      <c r="C48" s="12"/>
      <c r="D48" s="12"/>
      <c r="E48" s="10" t="s">
        <v>539</v>
      </c>
      <c r="F48" s="9"/>
      <c r="G48" s="10" t="s">
        <v>58</v>
      </c>
      <c r="H48" s="9"/>
      <c r="I48" s="3" t="s">
        <v>433</v>
      </c>
      <c r="J48" s="10" t="s">
        <v>345</v>
      </c>
      <c r="K48" s="10" t="s">
        <v>131</v>
      </c>
      <c r="L48" s="10" t="s">
        <v>130</v>
      </c>
      <c r="M48" s="10">
        <v>4</v>
      </c>
      <c r="N48" s="10" t="s">
        <v>129</v>
      </c>
      <c r="O48" s="10">
        <v>40</v>
      </c>
      <c r="P48" s="10">
        <f t="shared" si="7"/>
        <v>1536</v>
      </c>
      <c r="Q48" s="50">
        <f t="shared" si="9"/>
        <v>1466.24</v>
      </c>
      <c r="R48" s="43">
        <f t="shared" si="10"/>
        <v>36.655999999999999</v>
      </c>
      <c r="S48" s="10" t="s">
        <v>67</v>
      </c>
      <c r="T48" s="31"/>
      <c r="U48" s="47">
        <v>5244</v>
      </c>
      <c r="V48" s="9" t="s">
        <v>244</v>
      </c>
      <c r="W48" s="43">
        <f t="shared" si="11"/>
        <v>3.5764949803579222</v>
      </c>
      <c r="X48" s="10">
        <v>3</v>
      </c>
      <c r="Y48" s="47">
        <f t="shared" si="12"/>
        <v>131.1</v>
      </c>
      <c r="Z48" s="43" t="s">
        <v>89</v>
      </c>
      <c r="AA48" s="31" t="s">
        <v>628</v>
      </c>
    </row>
    <row r="49" spans="1:27" ht="40" customHeight="1" x14ac:dyDescent="0.2">
      <c r="A49" s="9">
        <v>2</v>
      </c>
      <c r="B49" s="10" t="s">
        <v>670</v>
      </c>
      <c r="C49" s="12"/>
      <c r="D49" s="12"/>
      <c r="E49" s="10" t="s">
        <v>539</v>
      </c>
      <c r="F49" s="9"/>
      <c r="G49" s="10" t="s">
        <v>58</v>
      </c>
      <c r="H49" s="9"/>
      <c r="I49" s="3" t="s">
        <v>433</v>
      </c>
      <c r="J49" s="10" t="s">
        <v>346</v>
      </c>
      <c r="K49" s="10" t="s">
        <v>128</v>
      </c>
      <c r="L49" s="10" t="s">
        <v>68</v>
      </c>
      <c r="M49" s="10">
        <v>4</v>
      </c>
      <c r="N49" s="10" t="s">
        <v>127</v>
      </c>
      <c r="O49" s="10">
        <v>39.9</v>
      </c>
      <c r="P49" s="10">
        <f t="shared" si="7"/>
        <v>1536</v>
      </c>
      <c r="Q49" s="50">
        <f t="shared" si="9"/>
        <v>1466.24</v>
      </c>
      <c r="R49" s="43">
        <f t="shared" si="10"/>
        <v>36.747869674185466</v>
      </c>
      <c r="S49" s="10" t="s">
        <v>65</v>
      </c>
      <c r="T49" s="31"/>
      <c r="U49" s="47">
        <f>384000+528000+201600+15200+437760+259200+145920+91200+108000</f>
        <v>2170880</v>
      </c>
      <c r="V49" s="9" t="s">
        <v>244</v>
      </c>
      <c r="W49" s="43">
        <f t="shared" si="11"/>
        <v>1480.5761676123964</v>
      </c>
      <c r="X49" s="10">
        <v>3</v>
      </c>
      <c r="Y49" s="47">
        <f t="shared" si="12"/>
        <v>54408.020050125313</v>
      </c>
      <c r="Z49" s="43" t="s">
        <v>66</v>
      </c>
      <c r="AA49" s="31" t="s">
        <v>628</v>
      </c>
    </row>
    <row r="50" spans="1:27" ht="40" customHeight="1" x14ac:dyDescent="0.2">
      <c r="A50" s="9">
        <v>2</v>
      </c>
      <c r="B50" s="10" t="s">
        <v>670</v>
      </c>
      <c r="C50" s="12"/>
      <c r="D50" s="12"/>
      <c r="E50" s="10" t="s">
        <v>539</v>
      </c>
      <c r="F50" s="9"/>
      <c r="G50" s="10" t="s">
        <v>58</v>
      </c>
      <c r="H50" s="9"/>
      <c r="I50" s="3" t="s">
        <v>433</v>
      </c>
      <c r="J50" s="10" t="s">
        <v>346</v>
      </c>
      <c r="K50" s="10" t="s">
        <v>128</v>
      </c>
      <c r="L50" s="10" t="s">
        <v>68</v>
      </c>
      <c r="M50" s="10">
        <v>4</v>
      </c>
      <c r="N50" s="10" t="s">
        <v>127</v>
      </c>
      <c r="O50" s="10">
        <v>39.9</v>
      </c>
      <c r="P50" s="10">
        <f t="shared" si="7"/>
        <v>1536</v>
      </c>
      <c r="Q50" s="50">
        <f t="shared" si="9"/>
        <v>1466.24</v>
      </c>
      <c r="R50" s="43">
        <f t="shared" si="10"/>
        <v>36.747869674185466</v>
      </c>
      <c r="S50" s="10" t="s">
        <v>67</v>
      </c>
      <c r="T50" s="31"/>
      <c r="U50" s="47">
        <v>5244</v>
      </c>
      <c r="V50" s="9" t="s">
        <v>244</v>
      </c>
      <c r="W50" s="43">
        <f t="shared" si="11"/>
        <v>3.5764949803579222</v>
      </c>
      <c r="X50" s="10">
        <v>3</v>
      </c>
      <c r="Y50" s="47">
        <f t="shared" si="12"/>
        <v>131.42857142857144</v>
      </c>
      <c r="Z50" s="43" t="s">
        <v>66</v>
      </c>
      <c r="AA50" s="31" t="s">
        <v>628</v>
      </c>
    </row>
    <row r="51" spans="1:27" ht="40" customHeight="1" x14ac:dyDescent="0.2">
      <c r="A51" s="9">
        <v>2</v>
      </c>
      <c r="B51" s="10" t="s">
        <v>670</v>
      </c>
      <c r="C51" s="12"/>
      <c r="D51" s="12"/>
      <c r="E51" s="10" t="s">
        <v>539</v>
      </c>
      <c r="F51" s="9"/>
      <c r="G51" s="10" t="s">
        <v>58</v>
      </c>
      <c r="H51" s="9"/>
      <c r="I51" s="3" t="s">
        <v>70</v>
      </c>
      <c r="J51" s="10" t="s">
        <v>347</v>
      </c>
      <c r="K51" s="10" t="s">
        <v>126</v>
      </c>
      <c r="L51" s="10" t="s">
        <v>125</v>
      </c>
      <c r="M51" s="10">
        <v>7</v>
      </c>
      <c r="N51" s="10" t="s">
        <v>124</v>
      </c>
      <c r="O51" s="10">
        <v>70.3</v>
      </c>
      <c r="P51" s="10">
        <f t="shared" si="7"/>
        <v>2688</v>
      </c>
      <c r="Q51" s="50">
        <f>((32-2*0.25)*(12-2*0.25))*M51</f>
        <v>2535.75</v>
      </c>
      <c r="R51" s="43">
        <f t="shared" si="10"/>
        <v>36.070412517780937</v>
      </c>
      <c r="S51" s="10" t="s">
        <v>65</v>
      </c>
      <c r="T51" s="31"/>
      <c r="U51" s="47">
        <f>696000+926400+313920+145920+875520+259200+145920+91200+172800</f>
        <v>3626880</v>
      </c>
      <c r="V51" s="9" t="s">
        <v>244</v>
      </c>
      <c r="W51" s="43">
        <f t="shared" si="11"/>
        <v>1430.2987281869268</v>
      </c>
      <c r="X51" s="10">
        <v>4</v>
      </c>
      <c r="Y51" s="47">
        <f t="shared" si="12"/>
        <v>51591.465149359887</v>
      </c>
      <c r="Z51" s="43" t="s">
        <v>72</v>
      </c>
      <c r="AA51" s="31" t="s">
        <v>628</v>
      </c>
    </row>
    <row r="52" spans="1:27" ht="40" customHeight="1" x14ac:dyDescent="0.2">
      <c r="A52" s="9">
        <v>2</v>
      </c>
      <c r="B52" s="10" t="s">
        <v>670</v>
      </c>
      <c r="C52" s="12"/>
      <c r="D52" s="12"/>
      <c r="E52" s="10" t="s">
        <v>539</v>
      </c>
      <c r="F52" s="9"/>
      <c r="G52" s="10" t="s">
        <v>58</v>
      </c>
      <c r="H52" s="9"/>
      <c r="I52" s="3" t="s">
        <v>70</v>
      </c>
      <c r="J52" s="10" t="s">
        <v>348</v>
      </c>
      <c r="K52" s="10" t="s">
        <v>76</v>
      </c>
      <c r="L52" s="10" t="s">
        <v>78</v>
      </c>
      <c r="M52" s="10">
        <v>10</v>
      </c>
      <c r="N52" s="10" t="s">
        <v>123</v>
      </c>
      <c r="O52" s="10">
        <v>124</v>
      </c>
      <c r="P52" s="10">
        <f t="shared" ref="P52:P56" si="13">(30*15)*M52</f>
        <v>4500</v>
      </c>
      <c r="Q52" s="50">
        <f t="shared" ref="Q52:Q56" si="14">((30-2*0.25)*(15-2*0.25))*M52</f>
        <v>4277.5</v>
      </c>
      <c r="R52" s="43">
        <f t="shared" si="10"/>
        <v>34.49596774193548</v>
      </c>
      <c r="S52" s="10" t="s">
        <v>65</v>
      </c>
      <c r="T52" s="31"/>
      <c r="U52" s="47">
        <f>1200000+864000+388800+172800+1036800+288000+172800+108000+230400</f>
        <v>4461600</v>
      </c>
      <c r="V52" s="9" t="s">
        <v>244</v>
      </c>
      <c r="W52" s="43">
        <f t="shared" si="11"/>
        <v>1043.0391583869082</v>
      </c>
      <c r="X52" s="10">
        <v>4</v>
      </c>
      <c r="Y52" s="47">
        <f t="shared" si="12"/>
        <v>35980.645161290326</v>
      </c>
      <c r="Z52" s="43" t="s">
        <v>72</v>
      </c>
      <c r="AA52" s="31" t="s">
        <v>628</v>
      </c>
    </row>
    <row r="53" spans="1:27" ht="40" customHeight="1" x14ac:dyDescent="0.2">
      <c r="A53" s="9">
        <v>2</v>
      </c>
      <c r="B53" s="10" t="s">
        <v>670</v>
      </c>
      <c r="C53" s="12"/>
      <c r="D53" s="12"/>
      <c r="E53" s="10" t="s">
        <v>539</v>
      </c>
      <c r="F53" s="9"/>
      <c r="G53" s="10" t="s">
        <v>58</v>
      </c>
      <c r="H53" s="9"/>
      <c r="I53" s="3" t="s">
        <v>70</v>
      </c>
      <c r="J53" s="10" t="s">
        <v>349</v>
      </c>
      <c r="K53" s="10" t="s">
        <v>74</v>
      </c>
      <c r="L53" s="10" t="s">
        <v>87</v>
      </c>
      <c r="M53" s="10">
        <v>10</v>
      </c>
      <c r="N53" s="10" t="s">
        <v>122</v>
      </c>
      <c r="O53" s="10">
        <v>124</v>
      </c>
      <c r="P53" s="10">
        <f t="shared" si="13"/>
        <v>4500</v>
      </c>
      <c r="Q53" s="50">
        <f t="shared" si="14"/>
        <v>4277.5</v>
      </c>
      <c r="R53" s="43">
        <f t="shared" si="10"/>
        <v>34.49596774193548</v>
      </c>
      <c r="S53" s="10" t="s">
        <v>65</v>
      </c>
      <c r="T53" s="31"/>
      <c r="U53" s="47">
        <f>172800+1555200+259200+145920+91200+230400</f>
        <v>2454720</v>
      </c>
      <c r="V53" s="9" t="s">
        <v>244</v>
      </c>
      <c r="W53" s="43">
        <f t="shared" si="11"/>
        <v>573.86791350087663</v>
      </c>
      <c r="X53" s="10">
        <v>4</v>
      </c>
      <c r="Y53" s="47">
        <f t="shared" si="12"/>
        <v>19796.129032258064</v>
      </c>
      <c r="Z53" s="43" t="s">
        <v>72</v>
      </c>
      <c r="AA53" s="31" t="s">
        <v>628</v>
      </c>
    </row>
    <row r="54" spans="1:27" ht="40" customHeight="1" x14ac:dyDescent="0.2">
      <c r="A54" s="9">
        <v>2</v>
      </c>
      <c r="B54" s="10" t="s">
        <v>670</v>
      </c>
      <c r="C54" s="12"/>
      <c r="D54" s="12"/>
      <c r="E54" s="10" t="s">
        <v>539</v>
      </c>
      <c r="F54" s="9"/>
      <c r="G54" s="10" t="s">
        <v>58</v>
      </c>
      <c r="H54" s="9"/>
      <c r="I54" s="3" t="s">
        <v>70</v>
      </c>
      <c r="J54" s="10" t="s">
        <v>349</v>
      </c>
      <c r="K54" s="10" t="s">
        <v>74</v>
      </c>
      <c r="L54" s="10" t="s">
        <v>87</v>
      </c>
      <c r="M54" s="10">
        <v>10</v>
      </c>
      <c r="N54" s="10" t="s">
        <v>122</v>
      </c>
      <c r="O54" s="10">
        <v>124</v>
      </c>
      <c r="P54" s="10">
        <f t="shared" si="13"/>
        <v>4500</v>
      </c>
      <c r="Q54" s="50">
        <f t="shared" si="14"/>
        <v>4277.5</v>
      </c>
      <c r="R54" s="43">
        <f t="shared" si="10"/>
        <v>34.49596774193548</v>
      </c>
      <c r="S54" s="10" t="s">
        <v>67</v>
      </c>
      <c r="T54" s="31"/>
      <c r="U54" s="47">
        <v>10800</v>
      </c>
      <c r="V54" s="9" t="s">
        <v>244</v>
      </c>
      <c r="W54" s="43">
        <f t="shared" si="11"/>
        <v>2.5248392752776154</v>
      </c>
      <c r="X54" s="10">
        <v>4</v>
      </c>
      <c r="Y54" s="47">
        <f t="shared" si="12"/>
        <v>87.096774193548384</v>
      </c>
      <c r="Z54" s="43" t="s">
        <v>72</v>
      </c>
      <c r="AA54" s="31" t="s">
        <v>628</v>
      </c>
    </row>
    <row r="55" spans="1:27" ht="40" customHeight="1" x14ac:dyDescent="0.2">
      <c r="A55" s="9">
        <v>2</v>
      </c>
      <c r="B55" s="10" t="s">
        <v>670</v>
      </c>
      <c r="C55" s="12"/>
      <c r="D55" s="12"/>
      <c r="E55" s="10" t="s">
        <v>539</v>
      </c>
      <c r="F55" s="9"/>
      <c r="G55" s="10" t="s">
        <v>58</v>
      </c>
      <c r="H55" s="9"/>
      <c r="I55" s="3" t="s">
        <v>70</v>
      </c>
      <c r="J55" s="10" t="s">
        <v>350</v>
      </c>
      <c r="K55" s="10" t="s">
        <v>121</v>
      </c>
      <c r="L55" s="10" t="s">
        <v>68</v>
      </c>
      <c r="M55" s="10">
        <v>10</v>
      </c>
      <c r="N55" s="10" t="s">
        <v>120</v>
      </c>
      <c r="O55" s="10">
        <v>123.2</v>
      </c>
      <c r="P55" s="10">
        <f t="shared" si="13"/>
        <v>4500</v>
      </c>
      <c r="Q55" s="50">
        <f t="shared" si="14"/>
        <v>4277.5</v>
      </c>
      <c r="R55" s="43">
        <f t="shared" si="10"/>
        <v>34.719967532467528</v>
      </c>
      <c r="S55" s="10" t="s">
        <v>65</v>
      </c>
      <c r="T55" s="31"/>
      <c r="U55" s="47">
        <f>172800+1555200+259200+145920+91200+230400</f>
        <v>2454720</v>
      </c>
      <c r="V55" s="9" t="s">
        <v>244</v>
      </c>
      <c r="W55" s="43">
        <f t="shared" si="11"/>
        <v>573.86791350087663</v>
      </c>
      <c r="X55" s="10">
        <v>4</v>
      </c>
      <c r="Y55" s="47">
        <f t="shared" si="12"/>
        <v>19924.675324675325</v>
      </c>
      <c r="Z55" s="43" t="s">
        <v>66</v>
      </c>
      <c r="AA55" s="31" t="s">
        <v>628</v>
      </c>
    </row>
    <row r="56" spans="1:27" ht="40" customHeight="1" x14ac:dyDescent="0.2">
      <c r="A56" s="9">
        <v>2</v>
      </c>
      <c r="B56" s="10" t="s">
        <v>670</v>
      </c>
      <c r="C56" s="12"/>
      <c r="D56" s="12"/>
      <c r="E56" s="10" t="s">
        <v>539</v>
      </c>
      <c r="F56" s="9"/>
      <c r="G56" s="10" t="s">
        <v>58</v>
      </c>
      <c r="H56" s="9"/>
      <c r="I56" s="3" t="s">
        <v>70</v>
      </c>
      <c r="J56" s="10" t="s">
        <v>350</v>
      </c>
      <c r="K56" s="10" t="s">
        <v>121</v>
      </c>
      <c r="L56" s="10" t="s">
        <v>68</v>
      </c>
      <c r="M56" s="10">
        <v>10</v>
      </c>
      <c r="N56" s="10" t="s">
        <v>120</v>
      </c>
      <c r="O56" s="10">
        <v>123.2</v>
      </c>
      <c r="P56" s="10">
        <f t="shared" si="13"/>
        <v>4500</v>
      </c>
      <c r="Q56" s="50">
        <f t="shared" si="14"/>
        <v>4277.5</v>
      </c>
      <c r="R56" s="43">
        <f t="shared" si="10"/>
        <v>34.719967532467528</v>
      </c>
      <c r="S56" s="10" t="s">
        <v>67</v>
      </c>
      <c r="T56" s="31"/>
      <c r="U56" s="47">
        <v>10800</v>
      </c>
      <c r="V56" s="9" t="s">
        <v>244</v>
      </c>
      <c r="W56" s="43">
        <f t="shared" si="11"/>
        <v>2.5248392752776154</v>
      </c>
      <c r="X56" s="10">
        <v>4</v>
      </c>
      <c r="Y56" s="47">
        <f t="shared" si="12"/>
        <v>87.662337662337663</v>
      </c>
      <c r="Z56" s="43" t="s">
        <v>66</v>
      </c>
      <c r="AA56" s="31" t="s">
        <v>628</v>
      </c>
    </row>
    <row r="57" spans="1:27" ht="40" customHeight="1" x14ac:dyDescent="0.2">
      <c r="A57" s="9">
        <v>2</v>
      </c>
      <c r="B57" s="10" t="s">
        <v>670</v>
      </c>
      <c r="C57" s="12"/>
      <c r="D57" s="12"/>
      <c r="E57" s="10" t="s">
        <v>540</v>
      </c>
      <c r="F57" s="9"/>
      <c r="G57" s="10" t="s">
        <v>58</v>
      </c>
      <c r="H57" s="9"/>
      <c r="I57" s="9" t="s">
        <v>389</v>
      </c>
      <c r="J57" s="10" t="s">
        <v>351</v>
      </c>
      <c r="K57" s="10" t="s">
        <v>119</v>
      </c>
      <c r="L57" s="10" t="s">
        <v>116</v>
      </c>
      <c r="M57" s="10">
        <v>2</v>
      </c>
      <c r="N57" s="10" t="s">
        <v>113</v>
      </c>
      <c r="O57" s="10">
        <v>3.6</v>
      </c>
      <c r="P57" s="10">
        <f t="shared" ref="P57:P72" si="15">(10*9)*M57</f>
        <v>180</v>
      </c>
      <c r="Q57" s="50">
        <f>((10-2*0.5)*(9-2*0.5))*M57</f>
        <v>144</v>
      </c>
      <c r="R57" s="43">
        <f t="shared" si="10"/>
        <v>40</v>
      </c>
      <c r="S57" s="10" t="s">
        <v>67</v>
      </c>
      <c r="T57" s="31"/>
      <c r="U57" s="47">
        <f>400+1750+250+2700+2500+2484+1250+1242</f>
        <v>12576</v>
      </c>
      <c r="V57" s="9" t="s">
        <v>244</v>
      </c>
      <c r="W57" s="43">
        <f t="shared" si="11"/>
        <v>87.333333333333329</v>
      </c>
      <c r="X57" s="10">
        <v>1</v>
      </c>
      <c r="Y57" s="47">
        <f t="shared" si="12"/>
        <v>3493.333333333333</v>
      </c>
      <c r="Z57" s="43" t="s">
        <v>66</v>
      </c>
      <c r="AA57" s="31" t="s">
        <v>628</v>
      </c>
    </row>
    <row r="58" spans="1:27" ht="40" customHeight="1" x14ac:dyDescent="0.2">
      <c r="A58" s="9">
        <v>2</v>
      </c>
      <c r="B58" s="10" t="s">
        <v>670</v>
      </c>
      <c r="C58" s="12"/>
      <c r="D58" s="12"/>
      <c r="E58" s="10" t="s">
        <v>540</v>
      </c>
      <c r="F58" s="9"/>
      <c r="G58" s="10" t="s">
        <v>58</v>
      </c>
      <c r="H58" s="9"/>
      <c r="I58" s="9" t="s">
        <v>389</v>
      </c>
      <c r="J58" s="10" t="s">
        <v>352</v>
      </c>
      <c r="K58" s="10" t="s">
        <v>110</v>
      </c>
      <c r="L58" s="10" t="s">
        <v>93</v>
      </c>
      <c r="M58" s="10">
        <v>1</v>
      </c>
      <c r="N58" s="10" t="s">
        <v>118</v>
      </c>
      <c r="O58" s="10">
        <v>3.6</v>
      </c>
      <c r="P58" s="10">
        <f t="shared" si="15"/>
        <v>90</v>
      </c>
      <c r="Q58" s="50">
        <f>((10-2*0.4)*(9-2*0.4))*M58</f>
        <v>75.439999999999984</v>
      </c>
      <c r="R58" s="43">
        <f t="shared" si="10"/>
        <v>20.955555555555552</v>
      </c>
      <c r="S58" s="10" t="s">
        <v>65</v>
      </c>
      <c r="T58" s="31"/>
      <c r="U58" s="47">
        <f>28800+69120+38400+34560+21600+30000</f>
        <v>222480</v>
      </c>
      <c r="V58" s="9" t="s">
        <v>244</v>
      </c>
      <c r="W58" s="43">
        <f t="shared" si="11"/>
        <v>2949.0986214209975</v>
      </c>
      <c r="X58" s="10">
        <v>1</v>
      </c>
      <c r="Y58" s="47">
        <f t="shared" si="12"/>
        <v>61800</v>
      </c>
      <c r="Z58" s="43" t="s">
        <v>72</v>
      </c>
      <c r="AA58" s="31" t="s">
        <v>628</v>
      </c>
    </row>
    <row r="59" spans="1:27" ht="40" customHeight="1" x14ac:dyDescent="0.2">
      <c r="A59" s="9">
        <v>2</v>
      </c>
      <c r="B59" s="10" t="s">
        <v>670</v>
      </c>
      <c r="C59" s="12"/>
      <c r="D59" s="12"/>
      <c r="E59" s="10" t="s">
        <v>540</v>
      </c>
      <c r="F59" s="9"/>
      <c r="G59" s="10" t="s">
        <v>58</v>
      </c>
      <c r="H59" s="9"/>
      <c r="I59" s="9" t="s">
        <v>389</v>
      </c>
      <c r="J59" s="10" t="s">
        <v>352</v>
      </c>
      <c r="K59" s="10" t="s">
        <v>110</v>
      </c>
      <c r="L59" s="10" t="s">
        <v>93</v>
      </c>
      <c r="M59" s="10">
        <v>1</v>
      </c>
      <c r="N59" s="10" t="s">
        <v>118</v>
      </c>
      <c r="O59" s="10">
        <v>3.6</v>
      </c>
      <c r="P59" s="10">
        <f t="shared" si="15"/>
        <v>90</v>
      </c>
      <c r="Q59" s="50">
        <f>((10-2*0.4)*(9-2*0.4))*M59</f>
        <v>75.439999999999984</v>
      </c>
      <c r="R59" s="43">
        <f t="shared" si="10"/>
        <v>20.955555555555552</v>
      </c>
      <c r="S59" s="10" t="s">
        <v>67</v>
      </c>
      <c r="T59" s="31"/>
      <c r="U59" s="47">
        <f>400+1750+250</f>
        <v>2400</v>
      </c>
      <c r="V59" s="9" t="s">
        <v>244</v>
      </c>
      <c r="W59" s="43">
        <f t="shared" si="11"/>
        <v>31.813361611876996</v>
      </c>
      <c r="X59" s="10">
        <v>1</v>
      </c>
      <c r="Y59" s="47">
        <f t="shared" si="12"/>
        <v>666.66666666666663</v>
      </c>
      <c r="Z59" s="43" t="s">
        <v>72</v>
      </c>
      <c r="AA59" s="31" t="s">
        <v>628</v>
      </c>
    </row>
    <row r="60" spans="1:27" ht="40" customHeight="1" x14ac:dyDescent="0.2">
      <c r="A60" s="9">
        <v>2</v>
      </c>
      <c r="B60" s="10" t="s">
        <v>670</v>
      </c>
      <c r="C60" s="12"/>
      <c r="D60" s="12"/>
      <c r="E60" s="10" t="s">
        <v>540</v>
      </c>
      <c r="F60" s="9"/>
      <c r="G60" s="10" t="s">
        <v>58</v>
      </c>
      <c r="H60" s="9"/>
      <c r="I60" s="9" t="s">
        <v>389</v>
      </c>
      <c r="J60" s="10" t="s">
        <v>353</v>
      </c>
      <c r="K60" s="10" t="s">
        <v>117</v>
      </c>
      <c r="L60" s="10" t="s">
        <v>116</v>
      </c>
      <c r="M60" s="10">
        <v>1</v>
      </c>
      <c r="N60" s="10" t="s">
        <v>115</v>
      </c>
      <c r="O60" s="10">
        <v>3.6</v>
      </c>
      <c r="P60" s="10">
        <f t="shared" si="15"/>
        <v>90</v>
      </c>
      <c r="Q60" s="50">
        <f>((10-2*0.2)*(9-2*0.2))*M60</f>
        <v>82.559999999999988</v>
      </c>
      <c r="R60" s="43">
        <f t="shared" si="10"/>
        <v>22.93333333333333</v>
      </c>
      <c r="S60" s="10" t="s">
        <v>67</v>
      </c>
      <c r="T60" s="31"/>
      <c r="U60" s="47">
        <f>17600+4800+400+1750+250+2700+2500+2484+1250+1242</f>
        <v>34976</v>
      </c>
      <c r="V60" s="9" t="s">
        <v>244</v>
      </c>
      <c r="W60" s="43">
        <f t="shared" si="11"/>
        <v>423.64341085271326</v>
      </c>
      <c r="X60" s="10">
        <v>1</v>
      </c>
      <c r="Y60" s="47">
        <f t="shared" si="12"/>
        <v>9715.5555555555547</v>
      </c>
      <c r="Z60" s="43" t="s">
        <v>72</v>
      </c>
      <c r="AA60" s="31" t="s">
        <v>628</v>
      </c>
    </row>
    <row r="61" spans="1:27" ht="40" customHeight="1" x14ac:dyDescent="0.2">
      <c r="A61" s="9">
        <v>2</v>
      </c>
      <c r="B61" s="10" t="s">
        <v>670</v>
      </c>
      <c r="C61" s="12"/>
      <c r="D61" s="12"/>
      <c r="E61" s="10" t="s">
        <v>540</v>
      </c>
      <c r="F61" s="9"/>
      <c r="G61" s="10" t="s">
        <v>58</v>
      </c>
      <c r="H61" s="9"/>
      <c r="I61" s="9" t="s">
        <v>389</v>
      </c>
      <c r="J61" s="10" t="s">
        <v>354</v>
      </c>
      <c r="K61" s="10" t="s">
        <v>114</v>
      </c>
      <c r="L61" s="10" t="s">
        <v>96</v>
      </c>
      <c r="M61" s="10">
        <v>1</v>
      </c>
      <c r="N61" s="10" t="s">
        <v>113</v>
      </c>
      <c r="O61" s="10">
        <v>3.6</v>
      </c>
      <c r="P61" s="10">
        <f t="shared" si="15"/>
        <v>90</v>
      </c>
      <c r="Q61" s="50">
        <f>((10-2*0.16)*(9-2*0.16))*M61</f>
        <v>84.02239999999999</v>
      </c>
      <c r="R61" s="43">
        <f t="shared" si="10"/>
        <v>23.339555555555553</v>
      </c>
      <c r="S61" s="10" t="s">
        <v>65</v>
      </c>
      <c r="T61" s="31"/>
      <c r="U61" s="47">
        <f>69120+38400+34560+21600+30000</f>
        <v>193680</v>
      </c>
      <c r="V61" s="9" t="s">
        <v>244</v>
      </c>
      <c r="W61" s="43">
        <f t="shared" si="11"/>
        <v>2305.099592489622</v>
      </c>
      <c r="X61" s="10">
        <v>1</v>
      </c>
      <c r="Y61" s="47">
        <f t="shared" si="12"/>
        <v>53800</v>
      </c>
      <c r="Z61" s="43" t="s">
        <v>89</v>
      </c>
      <c r="AA61" s="31" t="s">
        <v>628</v>
      </c>
    </row>
    <row r="62" spans="1:27" ht="40" customHeight="1" x14ac:dyDescent="0.2">
      <c r="A62" s="9">
        <v>2</v>
      </c>
      <c r="B62" s="10" t="s">
        <v>670</v>
      </c>
      <c r="C62" s="12"/>
      <c r="D62" s="12"/>
      <c r="E62" s="10" t="s">
        <v>540</v>
      </c>
      <c r="F62" s="9"/>
      <c r="G62" s="10" t="s">
        <v>58</v>
      </c>
      <c r="H62" s="9"/>
      <c r="I62" s="9" t="s">
        <v>389</v>
      </c>
      <c r="J62" s="10" t="s">
        <v>354</v>
      </c>
      <c r="K62" s="10" t="s">
        <v>114</v>
      </c>
      <c r="L62" s="10" t="s">
        <v>96</v>
      </c>
      <c r="M62" s="10">
        <v>1</v>
      </c>
      <c r="N62" s="10" t="s">
        <v>113</v>
      </c>
      <c r="O62" s="10">
        <v>3.6</v>
      </c>
      <c r="P62" s="10">
        <f t="shared" si="15"/>
        <v>90</v>
      </c>
      <c r="Q62" s="50">
        <f>((10-2*0.16)*(9-2*0.16))*M62</f>
        <v>84.02239999999999</v>
      </c>
      <c r="R62" s="43">
        <f t="shared" si="10"/>
        <v>23.339555555555553</v>
      </c>
      <c r="S62" s="10" t="s">
        <v>67</v>
      </c>
      <c r="T62" s="31"/>
      <c r="U62" s="47">
        <f>4000+400+1750+250</f>
        <v>6400</v>
      </c>
      <c r="V62" s="9" t="s">
        <v>244</v>
      </c>
      <c r="W62" s="43">
        <f t="shared" si="11"/>
        <v>76.17016414670374</v>
      </c>
      <c r="X62" s="10">
        <v>1</v>
      </c>
      <c r="Y62" s="47">
        <f t="shared" si="12"/>
        <v>1777.7777777777778</v>
      </c>
      <c r="Z62" s="43" t="s">
        <v>89</v>
      </c>
      <c r="AA62" s="31" t="s">
        <v>628</v>
      </c>
    </row>
    <row r="63" spans="1:27" ht="40" customHeight="1" x14ac:dyDescent="0.2">
      <c r="A63" s="9">
        <v>2</v>
      </c>
      <c r="B63" s="10" t="s">
        <v>670</v>
      </c>
      <c r="C63" s="12"/>
      <c r="D63" s="12"/>
      <c r="E63" s="10" t="s">
        <v>540</v>
      </c>
      <c r="F63" s="9"/>
      <c r="G63" s="10" t="s">
        <v>58</v>
      </c>
      <c r="H63" s="9"/>
      <c r="I63" s="9" t="s">
        <v>389</v>
      </c>
      <c r="J63" s="10" t="s">
        <v>355</v>
      </c>
      <c r="K63" s="10" t="s">
        <v>112</v>
      </c>
      <c r="L63" s="10" t="s">
        <v>111</v>
      </c>
      <c r="M63" s="10">
        <v>1</v>
      </c>
      <c r="N63" s="10" t="s">
        <v>98</v>
      </c>
      <c r="O63" s="10">
        <v>3.6</v>
      </c>
      <c r="P63" s="10">
        <f t="shared" si="15"/>
        <v>90</v>
      </c>
      <c r="Q63" s="50">
        <f>((10-2*0.3)*(9-2*0.3))*M63</f>
        <v>78.960000000000008</v>
      </c>
      <c r="R63" s="43">
        <f t="shared" si="10"/>
        <v>21.933333333333334</v>
      </c>
      <c r="S63" s="10" t="s">
        <v>65</v>
      </c>
      <c r="T63" s="31"/>
      <c r="U63" s="47">
        <f>39600+10800+8640+17280+38400+34560+21600+30000</f>
        <v>200880</v>
      </c>
      <c r="V63" s="9" t="s">
        <v>244</v>
      </c>
      <c r="W63" s="43">
        <f t="shared" si="11"/>
        <v>2544.0729483282671</v>
      </c>
      <c r="X63" s="10">
        <v>1</v>
      </c>
      <c r="Y63" s="47">
        <f t="shared" si="12"/>
        <v>55800</v>
      </c>
      <c r="Z63" s="43" t="s">
        <v>89</v>
      </c>
      <c r="AA63" s="31" t="s">
        <v>628</v>
      </c>
    </row>
    <row r="64" spans="1:27" ht="40" customHeight="1" x14ac:dyDescent="0.2">
      <c r="A64" s="9">
        <v>2</v>
      </c>
      <c r="B64" s="10" t="s">
        <v>670</v>
      </c>
      <c r="C64" s="12"/>
      <c r="D64" s="12"/>
      <c r="E64" s="10" t="s">
        <v>540</v>
      </c>
      <c r="F64" s="9"/>
      <c r="G64" s="10" t="s">
        <v>58</v>
      </c>
      <c r="H64" s="9"/>
      <c r="I64" s="9" t="s">
        <v>389</v>
      </c>
      <c r="J64" s="10" t="s">
        <v>355</v>
      </c>
      <c r="K64" s="10" t="s">
        <v>112</v>
      </c>
      <c r="L64" s="10" t="s">
        <v>111</v>
      </c>
      <c r="M64" s="10">
        <v>1</v>
      </c>
      <c r="N64" s="10" t="s">
        <v>98</v>
      </c>
      <c r="O64" s="10">
        <v>3.6</v>
      </c>
      <c r="P64" s="10">
        <f t="shared" si="15"/>
        <v>90</v>
      </c>
      <c r="Q64" s="50">
        <f>((10-2*0.3)*(9-2*0.3))*M64</f>
        <v>78.960000000000008</v>
      </c>
      <c r="R64" s="43">
        <f t="shared" si="10"/>
        <v>21.933333333333334</v>
      </c>
      <c r="S64" s="10" t="s">
        <v>67</v>
      </c>
      <c r="T64" s="31"/>
      <c r="U64" s="47">
        <f>400+1750+250</f>
        <v>2400</v>
      </c>
      <c r="V64" s="9" t="s">
        <v>244</v>
      </c>
      <c r="W64" s="43">
        <f t="shared" si="11"/>
        <v>30.3951367781155</v>
      </c>
      <c r="X64" s="10">
        <v>1</v>
      </c>
      <c r="Y64" s="47">
        <f t="shared" si="12"/>
        <v>666.66666666666663</v>
      </c>
      <c r="Z64" s="43" t="s">
        <v>89</v>
      </c>
      <c r="AA64" s="31" t="s">
        <v>628</v>
      </c>
    </row>
    <row r="65" spans="1:27" ht="40" customHeight="1" x14ac:dyDescent="0.2">
      <c r="A65" s="9">
        <v>2</v>
      </c>
      <c r="B65" s="10" t="s">
        <v>670</v>
      </c>
      <c r="C65" s="12"/>
      <c r="D65" s="12"/>
      <c r="E65" s="10" t="s">
        <v>540</v>
      </c>
      <c r="F65" s="9"/>
      <c r="G65" s="10" t="s">
        <v>58</v>
      </c>
      <c r="H65" s="9"/>
      <c r="I65" s="9" t="s">
        <v>389</v>
      </c>
      <c r="J65" s="10" t="s">
        <v>356</v>
      </c>
      <c r="K65" s="10" t="s">
        <v>110</v>
      </c>
      <c r="L65" s="10" t="s">
        <v>83</v>
      </c>
      <c r="M65" s="10">
        <v>1</v>
      </c>
      <c r="N65" s="10" t="s">
        <v>109</v>
      </c>
      <c r="O65" s="10">
        <v>3.6</v>
      </c>
      <c r="P65" s="10">
        <f t="shared" si="15"/>
        <v>90</v>
      </c>
      <c r="Q65" s="50">
        <f t="shared" ref="Q65:Q68" si="16">((10-2*0.25)*(9-2*0.25))*M65</f>
        <v>80.75</v>
      </c>
      <c r="R65" s="43">
        <f t="shared" si="10"/>
        <v>22.430555555555554</v>
      </c>
      <c r="S65" s="10" t="s">
        <v>65</v>
      </c>
      <c r="T65" s="31"/>
      <c r="U65" s="47">
        <f>28800+69120+38400+34560+21600+30000</f>
        <v>222480</v>
      </c>
      <c r="V65" s="9" t="s">
        <v>244</v>
      </c>
      <c r="W65" s="43">
        <f t="shared" si="11"/>
        <v>2755.1702786377709</v>
      </c>
      <c r="X65" s="10">
        <v>1</v>
      </c>
      <c r="Y65" s="47">
        <f t="shared" si="12"/>
        <v>61800</v>
      </c>
      <c r="Z65" s="43" t="s">
        <v>66</v>
      </c>
      <c r="AA65" s="31" t="s">
        <v>628</v>
      </c>
    </row>
    <row r="66" spans="1:27" ht="40" customHeight="1" x14ac:dyDescent="0.2">
      <c r="A66" s="9">
        <v>2</v>
      </c>
      <c r="B66" s="10" t="s">
        <v>670</v>
      </c>
      <c r="C66" s="12"/>
      <c r="D66" s="12"/>
      <c r="E66" s="10" t="s">
        <v>540</v>
      </c>
      <c r="F66" s="9"/>
      <c r="G66" s="10" t="s">
        <v>58</v>
      </c>
      <c r="H66" s="9"/>
      <c r="I66" s="9" t="s">
        <v>389</v>
      </c>
      <c r="J66" s="10" t="s">
        <v>356</v>
      </c>
      <c r="K66" s="10" t="s">
        <v>110</v>
      </c>
      <c r="L66" s="10" t="s">
        <v>83</v>
      </c>
      <c r="M66" s="10">
        <v>1</v>
      </c>
      <c r="N66" s="10" t="s">
        <v>109</v>
      </c>
      <c r="O66" s="10">
        <v>3.6</v>
      </c>
      <c r="P66" s="10">
        <f t="shared" si="15"/>
        <v>90</v>
      </c>
      <c r="Q66" s="50">
        <f t="shared" si="16"/>
        <v>80.75</v>
      </c>
      <c r="R66" s="43">
        <f t="shared" si="10"/>
        <v>22.430555555555554</v>
      </c>
      <c r="S66" s="10" t="s">
        <v>67</v>
      </c>
      <c r="T66" s="31"/>
      <c r="U66" s="47">
        <f>400+1750+250</f>
        <v>2400</v>
      </c>
      <c r="V66" s="9" t="s">
        <v>244</v>
      </c>
      <c r="W66" s="43">
        <f t="shared" si="11"/>
        <v>29.721362229102166</v>
      </c>
      <c r="X66" s="10">
        <v>1</v>
      </c>
      <c r="Y66" s="47">
        <f t="shared" si="12"/>
        <v>666.66666666666663</v>
      </c>
      <c r="Z66" s="43" t="s">
        <v>66</v>
      </c>
      <c r="AA66" s="31" t="s">
        <v>628</v>
      </c>
    </row>
    <row r="67" spans="1:27" ht="40" customHeight="1" x14ac:dyDescent="0.2">
      <c r="A67" s="9">
        <v>2</v>
      </c>
      <c r="B67" s="10" t="s">
        <v>670</v>
      </c>
      <c r="C67" s="12"/>
      <c r="D67" s="12"/>
      <c r="E67" s="10" t="s">
        <v>540</v>
      </c>
      <c r="F67" s="9"/>
      <c r="G67" s="10" t="s">
        <v>58</v>
      </c>
      <c r="H67" s="9"/>
      <c r="I67" s="9" t="s">
        <v>389</v>
      </c>
      <c r="J67" s="10" t="s">
        <v>357</v>
      </c>
      <c r="K67" s="10" t="s">
        <v>108</v>
      </c>
      <c r="L67" s="10" t="s">
        <v>68</v>
      </c>
      <c r="M67" s="10">
        <v>1</v>
      </c>
      <c r="N67" s="10" t="s">
        <v>104</v>
      </c>
      <c r="O67" s="10">
        <v>3.6</v>
      </c>
      <c r="P67" s="10">
        <f t="shared" si="15"/>
        <v>90</v>
      </c>
      <c r="Q67" s="50">
        <f t="shared" si="16"/>
        <v>80.75</v>
      </c>
      <c r="R67" s="43">
        <f t="shared" si="10"/>
        <v>22.430555555555554</v>
      </c>
      <c r="S67" s="10" t="s">
        <v>65</v>
      </c>
      <c r="T67" s="31"/>
      <c r="U67" s="47">
        <f>69120+38400+34560+21600+30000</f>
        <v>193680</v>
      </c>
      <c r="V67" s="9" t="s">
        <v>244</v>
      </c>
      <c r="W67" s="43">
        <f t="shared" si="11"/>
        <v>2398.5139318885449</v>
      </c>
      <c r="X67" s="10">
        <v>1</v>
      </c>
      <c r="Y67" s="47">
        <f t="shared" si="12"/>
        <v>53800</v>
      </c>
      <c r="Z67" s="43" t="s">
        <v>66</v>
      </c>
      <c r="AA67" s="31" t="s">
        <v>628</v>
      </c>
    </row>
    <row r="68" spans="1:27" ht="40" customHeight="1" x14ac:dyDescent="0.2">
      <c r="A68" s="9">
        <v>2</v>
      </c>
      <c r="B68" s="10" t="s">
        <v>670</v>
      </c>
      <c r="C68" s="12"/>
      <c r="D68" s="12"/>
      <c r="E68" s="10" t="s">
        <v>540</v>
      </c>
      <c r="F68" s="9"/>
      <c r="G68" s="10" t="s">
        <v>58</v>
      </c>
      <c r="H68" s="9"/>
      <c r="I68" s="9" t="s">
        <v>389</v>
      </c>
      <c r="J68" s="10" t="s">
        <v>357</v>
      </c>
      <c r="K68" s="10" t="s">
        <v>108</v>
      </c>
      <c r="L68" s="10" t="s">
        <v>68</v>
      </c>
      <c r="M68" s="10">
        <v>1</v>
      </c>
      <c r="N68" s="10" t="s">
        <v>104</v>
      </c>
      <c r="O68" s="10">
        <v>3.6</v>
      </c>
      <c r="P68" s="10">
        <f t="shared" si="15"/>
        <v>90</v>
      </c>
      <c r="Q68" s="50">
        <f t="shared" si="16"/>
        <v>80.75</v>
      </c>
      <c r="R68" s="43">
        <f t="shared" si="10"/>
        <v>22.430555555555554</v>
      </c>
      <c r="S68" s="10" t="s">
        <v>67</v>
      </c>
      <c r="T68" s="31"/>
      <c r="U68" s="47">
        <f>400+1750+250</f>
        <v>2400</v>
      </c>
      <c r="V68" s="9" t="s">
        <v>244</v>
      </c>
      <c r="W68" s="43">
        <f t="shared" si="11"/>
        <v>29.721362229102166</v>
      </c>
      <c r="X68" s="10">
        <v>1</v>
      </c>
      <c r="Y68" s="47">
        <f t="shared" si="12"/>
        <v>666.66666666666663</v>
      </c>
      <c r="Z68" s="43" t="s">
        <v>66</v>
      </c>
      <c r="AA68" s="31" t="s">
        <v>628</v>
      </c>
    </row>
    <row r="69" spans="1:27" ht="40" customHeight="1" x14ac:dyDescent="0.2">
      <c r="A69" s="9">
        <v>2</v>
      </c>
      <c r="B69" s="10" t="s">
        <v>670</v>
      </c>
      <c r="C69" s="12"/>
      <c r="D69" s="12"/>
      <c r="E69" s="10" t="s">
        <v>540</v>
      </c>
      <c r="F69" s="9"/>
      <c r="G69" s="10" t="s">
        <v>58</v>
      </c>
      <c r="H69" s="9"/>
      <c r="I69" s="9" t="s">
        <v>389</v>
      </c>
      <c r="J69" s="10" t="s">
        <v>358</v>
      </c>
      <c r="K69" s="10" t="s">
        <v>107</v>
      </c>
      <c r="L69" s="10" t="s">
        <v>73</v>
      </c>
      <c r="M69" s="10">
        <v>1</v>
      </c>
      <c r="N69" s="10" t="s">
        <v>106</v>
      </c>
      <c r="O69" s="10">
        <v>3.6</v>
      </c>
      <c r="P69" s="10">
        <f t="shared" si="15"/>
        <v>90</v>
      </c>
      <c r="Q69" s="50">
        <f t="shared" ref="Q69:Q72" si="17">((10-2*0.16)*(9-2*0.16))*M69</f>
        <v>84.02239999999999</v>
      </c>
      <c r="R69" s="43">
        <f t="shared" si="10"/>
        <v>23.339555555555553</v>
      </c>
      <c r="S69" s="10" t="s">
        <v>65</v>
      </c>
      <c r="T69" s="31"/>
      <c r="U69" s="47">
        <f>38400+34560+21600+30000</f>
        <v>124560</v>
      </c>
      <c r="V69" s="9" t="s">
        <v>244</v>
      </c>
      <c r="W69" s="43">
        <f t="shared" si="11"/>
        <v>1482.4618197052216</v>
      </c>
      <c r="X69" s="10">
        <v>1</v>
      </c>
      <c r="Y69" s="47">
        <f t="shared" si="12"/>
        <v>34600</v>
      </c>
      <c r="Z69" s="43" t="s">
        <v>66</v>
      </c>
      <c r="AA69" s="31" t="s">
        <v>628</v>
      </c>
    </row>
    <row r="70" spans="1:27" ht="40" customHeight="1" x14ac:dyDescent="0.2">
      <c r="A70" s="9">
        <v>2</v>
      </c>
      <c r="B70" s="10" t="s">
        <v>670</v>
      </c>
      <c r="C70" s="12"/>
      <c r="D70" s="12"/>
      <c r="E70" s="10" t="s">
        <v>540</v>
      </c>
      <c r="F70" s="9"/>
      <c r="G70" s="10" t="s">
        <v>58</v>
      </c>
      <c r="H70" s="9"/>
      <c r="I70" s="9" t="s">
        <v>389</v>
      </c>
      <c r="J70" s="10" t="s">
        <v>358</v>
      </c>
      <c r="K70" s="10" t="s">
        <v>107</v>
      </c>
      <c r="L70" s="10" t="s">
        <v>73</v>
      </c>
      <c r="M70" s="10">
        <v>1</v>
      </c>
      <c r="N70" s="10" t="s">
        <v>106</v>
      </c>
      <c r="O70" s="10">
        <v>3.6</v>
      </c>
      <c r="P70" s="10">
        <f t="shared" si="15"/>
        <v>90</v>
      </c>
      <c r="Q70" s="50">
        <f t="shared" si="17"/>
        <v>84.02239999999999</v>
      </c>
      <c r="R70" s="43">
        <f t="shared" si="10"/>
        <v>23.339555555555553</v>
      </c>
      <c r="S70" s="10" t="s">
        <v>67</v>
      </c>
      <c r="T70" s="31"/>
      <c r="U70" s="47">
        <f>3200+1600+400+1750+250+2700+2500+2484</f>
        <v>14884</v>
      </c>
      <c r="V70" s="9" t="s">
        <v>244</v>
      </c>
      <c r="W70" s="43">
        <f t="shared" si="11"/>
        <v>177.1432379936779</v>
      </c>
      <c r="X70" s="10">
        <v>1</v>
      </c>
      <c r="Y70" s="47">
        <f t="shared" si="12"/>
        <v>4134.4444444444443</v>
      </c>
      <c r="Z70" s="43" t="s">
        <v>66</v>
      </c>
      <c r="AA70" s="31" t="s">
        <v>628</v>
      </c>
    </row>
    <row r="71" spans="1:27" ht="40" customHeight="1" x14ac:dyDescent="0.2">
      <c r="A71" s="9">
        <v>2</v>
      </c>
      <c r="B71" s="10" t="s">
        <v>670</v>
      </c>
      <c r="C71" s="12"/>
      <c r="D71" s="12"/>
      <c r="E71" s="10" t="s">
        <v>540</v>
      </c>
      <c r="F71" s="9"/>
      <c r="G71" s="10" t="s">
        <v>58</v>
      </c>
      <c r="H71" s="9"/>
      <c r="I71" s="9" t="s">
        <v>389</v>
      </c>
      <c r="J71" s="10" t="s">
        <v>359</v>
      </c>
      <c r="K71" s="10" t="s">
        <v>105</v>
      </c>
      <c r="L71" s="10" t="s">
        <v>68</v>
      </c>
      <c r="M71" s="10">
        <v>1</v>
      </c>
      <c r="N71" s="10" t="s">
        <v>104</v>
      </c>
      <c r="O71" s="10">
        <v>3.6</v>
      </c>
      <c r="P71" s="10">
        <f t="shared" si="15"/>
        <v>90</v>
      </c>
      <c r="Q71" s="50">
        <f t="shared" si="17"/>
        <v>84.02239999999999</v>
      </c>
      <c r="R71" s="43">
        <f t="shared" si="10"/>
        <v>23.339555555555553</v>
      </c>
      <c r="S71" s="10" t="s">
        <v>65</v>
      </c>
      <c r="T71" s="31"/>
      <c r="U71" s="47">
        <f>38400+34560+21600+30000</f>
        <v>124560</v>
      </c>
      <c r="V71" s="9" t="s">
        <v>244</v>
      </c>
      <c r="W71" s="43">
        <f t="shared" si="11"/>
        <v>1482.4618197052216</v>
      </c>
      <c r="X71" s="10">
        <v>1</v>
      </c>
      <c r="Y71" s="47">
        <f t="shared" si="12"/>
        <v>34600</v>
      </c>
      <c r="Z71" s="43" t="s">
        <v>66</v>
      </c>
      <c r="AA71" s="31" t="s">
        <v>628</v>
      </c>
    </row>
    <row r="72" spans="1:27" ht="40" customHeight="1" x14ac:dyDescent="0.2">
      <c r="A72" s="9">
        <v>2</v>
      </c>
      <c r="B72" s="10" t="s">
        <v>670</v>
      </c>
      <c r="C72" s="12"/>
      <c r="D72" s="12"/>
      <c r="E72" s="10" t="s">
        <v>540</v>
      </c>
      <c r="F72" s="9"/>
      <c r="G72" s="10" t="s">
        <v>58</v>
      </c>
      <c r="H72" s="9"/>
      <c r="I72" s="9" t="s">
        <v>389</v>
      </c>
      <c r="J72" s="10" t="s">
        <v>359</v>
      </c>
      <c r="K72" s="10" t="s">
        <v>105</v>
      </c>
      <c r="L72" s="10" t="s">
        <v>68</v>
      </c>
      <c r="M72" s="10">
        <v>1</v>
      </c>
      <c r="N72" s="10" t="s">
        <v>104</v>
      </c>
      <c r="O72" s="10">
        <v>3.6</v>
      </c>
      <c r="P72" s="10">
        <f t="shared" si="15"/>
        <v>90</v>
      </c>
      <c r="Q72" s="50">
        <f t="shared" si="17"/>
        <v>84.02239999999999</v>
      </c>
      <c r="R72" s="43">
        <f t="shared" si="10"/>
        <v>23.339555555555553</v>
      </c>
      <c r="S72" s="10" t="s">
        <v>67</v>
      </c>
      <c r="T72" s="31"/>
      <c r="U72" s="47">
        <f>3200+1600+400+1750+250+2700+2500+2484</f>
        <v>14884</v>
      </c>
      <c r="V72" s="9" t="s">
        <v>244</v>
      </c>
      <c r="W72" s="43">
        <f t="shared" si="11"/>
        <v>177.1432379936779</v>
      </c>
      <c r="X72" s="10">
        <v>1</v>
      </c>
      <c r="Y72" s="47">
        <f t="shared" si="12"/>
        <v>4134.4444444444443</v>
      </c>
      <c r="Z72" s="43" t="s">
        <v>66</v>
      </c>
      <c r="AA72" s="31" t="s">
        <v>628</v>
      </c>
    </row>
    <row r="73" spans="1:27" ht="40" customHeight="1" x14ac:dyDescent="0.2">
      <c r="A73" s="9">
        <v>2</v>
      </c>
      <c r="B73" s="10" t="s">
        <v>670</v>
      </c>
      <c r="C73" s="12"/>
      <c r="D73" s="12"/>
      <c r="E73" s="10" t="s">
        <v>540</v>
      </c>
      <c r="F73" s="9"/>
      <c r="G73" s="10" t="s">
        <v>58</v>
      </c>
      <c r="H73" s="9"/>
      <c r="I73" s="3" t="s">
        <v>433</v>
      </c>
      <c r="J73" s="10" t="s">
        <v>360</v>
      </c>
      <c r="K73" s="10" t="s">
        <v>103</v>
      </c>
      <c r="L73" s="10" t="s">
        <v>102</v>
      </c>
      <c r="M73" s="10">
        <v>4</v>
      </c>
      <c r="N73" s="10" t="s">
        <v>101</v>
      </c>
      <c r="O73" s="10">
        <v>38.4</v>
      </c>
      <c r="P73" s="10">
        <f t="shared" ref="P73:P91" si="18">(32*12)*M73</f>
        <v>1536</v>
      </c>
      <c r="Q73" s="50">
        <f>((32-2*0.5)*(12-2*0.5))*M73</f>
        <v>1364</v>
      </c>
      <c r="R73" s="43">
        <f t="shared" si="10"/>
        <v>35.520833333333336</v>
      </c>
      <c r="S73" s="10" t="s">
        <v>67</v>
      </c>
      <c r="T73" s="31"/>
      <c r="U73" s="47">
        <f>7000+1250+22800+22000+20976+2500+5244</f>
        <v>81770</v>
      </c>
      <c r="V73" s="9" t="s">
        <v>244</v>
      </c>
      <c r="W73" s="43">
        <f t="shared" si="11"/>
        <v>59.948680351906155</v>
      </c>
      <c r="X73" s="10">
        <v>3</v>
      </c>
      <c r="Y73" s="47">
        <f t="shared" si="12"/>
        <v>2129.4270833333335</v>
      </c>
      <c r="Z73" s="43" t="s">
        <v>66</v>
      </c>
      <c r="AA73" s="31" t="s">
        <v>628</v>
      </c>
    </row>
    <row r="74" spans="1:27" ht="40" customHeight="1" x14ac:dyDescent="0.2">
      <c r="A74" s="9">
        <v>2</v>
      </c>
      <c r="B74" s="10" t="s">
        <v>670</v>
      </c>
      <c r="C74" s="12"/>
      <c r="D74" s="12"/>
      <c r="E74" s="10" t="s">
        <v>540</v>
      </c>
      <c r="F74" s="9"/>
      <c r="G74" s="10" t="s">
        <v>58</v>
      </c>
      <c r="H74" s="9"/>
      <c r="I74" s="3" t="s">
        <v>433</v>
      </c>
      <c r="J74" s="10" t="s">
        <v>361</v>
      </c>
      <c r="K74" s="10" t="s">
        <v>100</v>
      </c>
      <c r="L74" s="10" t="s">
        <v>99</v>
      </c>
      <c r="M74" s="10">
        <v>4</v>
      </c>
      <c r="N74" s="10" t="s">
        <v>98</v>
      </c>
      <c r="O74" s="10">
        <v>38.4</v>
      </c>
      <c r="P74" s="10">
        <f t="shared" si="18"/>
        <v>1536</v>
      </c>
      <c r="Q74" s="50">
        <f>((32-2*0.3)*(12-2*0.3))*M74</f>
        <v>1431.84</v>
      </c>
      <c r="R74" s="43">
        <f t="shared" si="10"/>
        <v>37.287500000000001</v>
      </c>
      <c r="S74" s="10" t="s">
        <v>71</v>
      </c>
      <c r="T74" s="31"/>
      <c r="U74" s="47">
        <v>22360</v>
      </c>
      <c r="V74" s="9" t="s">
        <v>244</v>
      </c>
      <c r="W74" s="43">
        <f t="shared" si="11"/>
        <v>15.616269974298806</v>
      </c>
      <c r="X74" s="10">
        <v>3</v>
      </c>
      <c r="Y74" s="47">
        <f t="shared" si="12"/>
        <v>582.29166666666674</v>
      </c>
      <c r="Z74" s="43" t="s">
        <v>89</v>
      </c>
      <c r="AA74" s="31" t="s">
        <v>628</v>
      </c>
    </row>
    <row r="75" spans="1:27" ht="40" customHeight="1" x14ac:dyDescent="0.2">
      <c r="A75" s="9">
        <v>2</v>
      </c>
      <c r="B75" s="10" t="s">
        <v>670</v>
      </c>
      <c r="C75" s="12"/>
      <c r="D75" s="12"/>
      <c r="E75" s="10" t="s">
        <v>540</v>
      </c>
      <c r="F75" s="9"/>
      <c r="G75" s="10" t="s">
        <v>58</v>
      </c>
      <c r="H75" s="9"/>
      <c r="I75" s="3" t="s">
        <v>433</v>
      </c>
      <c r="J75" s="10" t="s">
        <v>361</v>
      </c>
      <c r="K75" s="10" t="s">
        <v>100</v>
      </c>
      <c r="L75" s="10" t="s">
        <v>99</v>
      </c>
      <c r="M75" s="10">
        <v>4</v>
      </c>
      <c r="N75" s="10" t="s">
        <v>98</v>
      </c>
      <c r="O75" s="10">
        <v>38.4</v>
      </c>
      <c r="P75" s="10">
        <f t="shared" si="18"/>
        <v>1536</v>
      </c>
      <c r="Q75" s="50">
        <f>((32-2*0.3)*(12-2*0.3))*M75</f>
        <v>1431.84</v>
      </c>
      <c r="R75" s="43">
        <f t="shared" si="10"/>
        <v>37.287500000000001</v>
      </c>
      <c r="S75" s="10" t="s">
        <v>65</v>
      </c>
      <c r="T75" s="31"/>
      <c r="U75" s="47">
        <f>154800+528000+437760+259200+145920+91200+108000</f>
        <v>1724880</v>
      </c>
      <c r="V75" s="9" t="s">
        <v>244</v>
      </c>
      <c r="W75" s="43">
        <f t="shared" si="11"/>
        <v>1204.6597385182702</v>
      </c>
      <c r="X75" s="10">
        <v>3</v>
      </c>
      <c r="Y75" s="47">
        <f t="shared" si="12"/>
        <v>44918.75</v>
      </c>
      <c r="Z75" s="43" t="s">
        <v>89</v>
      </c>
      <c r="AA75" s="31" t="s">
        <v>628</v>
      </c>
    </row>
    <row r="76" spans="1:27" ht="40" customHeight="1" x14ac:dyDescent="0.2">
      <c r="A76" s="9">
        <v>2</v>
      </c>
      <c r="B76" s="10" t="s">
        <v>670</v>
      </c>
      <c r="C76" s="12"/>
      <c r="D76" s="12"/>
      <c r="E76" s="10" t="s">
        <v>540</v>
      </c>
      <c r="F76" s="9"/>
      <c r="G76" s="10" t="s">
        <v>58</v>
      </c>
      <c r="H76" s="9"/>
      <c r="I76" s="3" t="s">
        <v>433</v>
      </c>
      <c r="J76" s="10" t="s">
        <v>361</v>
      </c>
      <c r="K76" s="10" t="s">
        <v>100</v>
      </c>
      <c r="L76" s="10" t="s">
        <v>99</v>
      </c>
      <c r="M76" s="10">
        <v>4</v>
      </c>
      <c r="N76" s="10" t="s">
        <v>98</v>
      </c>
      <c r="O76" s="10">
        <v>38.4</v>
      </c>
      <c r="P76" s="10">
        <f t="shared" si="18"/>
        <v>1536</v>
      </c>
      <c r="Q76" s="50">
        <f>((32-2*0.3)*(12-2*0.3))*M76</f>
        <v>1431.84</v>
      </c>
      <c r="R76" s="43">
        <f t="shared" si="10"/>
        <v>37.287500000000001</v>
      </c>
      <c r="S76" s="10" t="s">
        <v>67</v>
      </c>
      <c r="T76" s="31"/>
      <c r="U76" s="47">
        <f>5600+7000+1250</f>
        <v>13850</v>
      </c>
      <c r="V76" s="9" t="s">
        <v>244</v>
      </c>
      <c r="W76" s="43">
        <f t="shared" si="11"/>
        <v>9.6728684769247959</v>
      </c>
      <c r="X76" s="10">
        <v>3</v>
      </c>
      <c r="Y76" s="47">
        <f t="shared" si="12"/>
        <v>360.67708333333337</v>
      </c>
      <c r="Z76" s="43" t="s">
        <v>89</v>
      </c>
      <c r="AA76" s="31" t="s">
        <v>628</v>
      </c>
    </row>
    <row r="77" spans="1:27" ht="40" customHeight="1" x14ac:dyDescent="0.2">
      <c r="A77" s="9">
        <v>2</v>
      </c>
      <c r="B77" s="10" t="s">
        <v>670</v>
      </c>
      <c r="C77" s="12"/>
      <c r="D77" s="12"/>
      <c r="E77" s="10" t="s">
        <v>540</v>
      </c>
      <c r="F77" s="9"/>
      <c r="G77" s="10" t="s">
        <v>58</v>
      </c>
      <c r="H77" s="9"/>
      <c r="I77" s="3" t="s">
        <v>433</v>
      </c>
      <c r="J77" s="10" t="s">
        <v>362</v>
      </c>
      <c r="K77" s="10" t="s">
        <v>97</v>
      </c>
      <c r="L77" s="10" t="s">
        <v>96</v>
      </c>
      <c r="M77" s="10">
        <v>4</v>
      </c>
      <c r="N77" s="10" t="s">
        <v>95</v>
      </c>
      <c r="O77" s="10">
        <v>38.4</v>
      </c>
      <c r="P77" s="10">
        <f t="shared" si="18"/>
        <v>1536</v>
      </c>
      <c r="Q77" s="50">
        <f>((32-2*0.2)*(12-2*0.2))*M77</f>
        <v>1466.24</v>
      </c>
      <c r="R77" s="43">
        <f t="shared" si="10"/>
        <v>38.183333333333337</v>
      </c>
      <c r="S77" s="10" t="s">
        <v>65</v>
      </c>
      <c r="T77" s="31"/>
      <c r="U77" s="47">
        <f>528000+437760+91200+108000</f>
        <v>1164960</v>
      </c>
      <c r="V77" s="9" t="s">
        <v>244</v>
      </c>
      <c r="W77" s="43">
        <f t="shared" si="11"/>
        <v>794.5220427760803</v>
      </c>
      <c r="X77" s="10">
        <v>3</v>
      </c>
      <c r="Y77" s="47">
        <f t="shared" si="12"/>
        <v>30337.5</v>
      </c>
      <c r="Z77" s="43" t="s">
        <v>72</v>
      </c>
      <c r="AA77" s="31" t="s">
        <v>628</v>
      </c>
    </row>
    <row r="78" spans="1:27" ht="40" customHeight="1" x14ac:dyDescent="0.2">
      <c r="A78" s="9">
        <v>2</v>
      </c>
      <c r="B78" s="10" t="s">
        <v>670</v>
      </c>
      <c r="C78" s="12"/>
      <c r="D78" s="12"/>
      <c r="E78" s="10" t="s">
        <v>540</v>
      </c>
      <c r="F78" s="9"/>
      <c r="G78" s="10" t="s">
        <v>58</v>
      </c>
      <c r="H78" s="9"/>
      <c r="I78" s="3" t="s">
        <v>433</v>
      </c>
      <c r="J78" s="10" t="s">
        <v>362</v>
      </c>
      <c r="K78" s="10" t="s">
        <v>97</v>
      </c>
      <c r="L78" s="10" t="s">
        <v>96</v>
      </c>
      <c r="M78" s="10">
        <v>4</v>
      </c>
      <c r="N78" s="10" t="s">
        <v>95</v>
      </c>
      <c r="O78" s="10">
        <v>38.4</v>
      </c>
      <c r="P78" s="10">
        <f t="shared" si="18"/>
        <v>1536</v>
      </c>
      <c r="Q78" s="50">
        <f>((32-2*0.2)*(12-2*0.2))*M78</f>
        <v>1466.24</v>
      </c>
      <c r="R78" s="43">
        <f t="shared" si="10"/>
        <v>38.183333333333337</v>
      </c>
      <c r="S78" s="10" t="s">
        <v>67</v>
      </c>
      <c r="T78" s="31"/>
      <c r="U78" s="47">
        <f>16000+5600+7000+1250</f>
        <v>29850</v>
      </c>
      <c r="V78" s="9" t="s">
        <v>244</v>
      </c>
      <c r="W78" s="43">
        <f t="shared" si="11"/>
        <v>20.358195111305108</v>
      </c>
      <c r="X78" s="10">
        <v>3</v>
      </c>
      <c r="Y78" s="47">
        <f t="shared" si="12"/>
        <v>777.34375</v>
      </c>
      <c r="Z78" s="43" t="s">
        <v>72</v>
      </c>
      <c r="AA78" s="31" t="s">
        <v>628</v>
      </c>
    </row>
    <row r="79" spans="1:27" ht="40" customHeight="1" x14ac:dyDescent="0.2">
      <c r="A79" s="9">
        <v>2</v>
      </c>
      <c r="B79" s="10" t="s">
        <v>670</v>
      </c>
      <c r="C79" s="12"/>
      <c r="D79" s="12"/>
      <c r="E79" s="10" t="s">
        <v>540</v>
      </c>
      <c r="F79" s="9"/>
      <c r="G79" s="10" t="s">
        <v>58</v>
      </c>
      <c r="H79" s="9"/>
      <c r="I79" s="3" t="s">
        <v>433</v>
      </c>
      <c r="J79" s="10" t="s">
        <v>363</v>
      </c>
      <c r="K79" s="10" t="s">
        <v>94</v>
      </c>
      <c r="L79" s="10" t="s">
        <v>93</v>
      </c>
      <c r="M79" s="10">
        <v>4</v>
      </c>
      <c r="N79" s="10" t="s">
        <v>92</v>
      </c>
      <c r="O79" s="10">
        <v>38.4</v>
      </c>
      <c r="P79" s="10">
        <f t="shared" si="18"/>
        <v>1536</v>
      </c>
      <c r="Q79" s="50">
        <f>((32-2*0.4)*(12-2*0.4))*M79</f>
        <v>1397.76</v>
      </c>
      <c r="R79" s="43">
        <f t="shared" si="10"/>
        <v>36.4</v>
      </c>
      <c r="S79" s="10" t="s">
        <v>65</v>
      </c>
      <c r="T79" s="31"/>
      <c r="U79" s="47">
        <f>528000+437760+259200+145920+91200+108000</f>
        <v>1570080</v>
      </c>
      <c r="V79" s="9" t="s">
        <v>244</v>
      </c>
      <c r="W79" s="43">
        <f t="shared" si="11"/>
        <v>1123.282967032967</v>
      </c>
      <c r="X79" s="10">
        <v>3</v>
      </c>
      <c r="Y79" s="47">
        <f t="shared" si="12"/>
        <v>40887.5</v>
      </c>
      <c r="Z79" s="43" t="s">
        <v>72</v>
      </c>
      <c r="AA79" s="31" t="s">
        <v>628</v>
      </c>
    </row>
    <row r="80" spans="1:27" ht="40" customHeight="1" x14ac:dyDescent="0.2">
      <c r="A80" s="9">
        <v>2</v>
      </c>
      <c r="B80" s="10" t="s">
        <v>670</v>
      </c>
      <c r="C80" s="12"/>
      <c r="D80" s="12"/>
      <c r="E80" s="10" t="s">
        <v>540</v>
      </c>
      <c r="F80" s="9"/>
      <c r="G80" s="10" t="s">
        <v>58</v>
      </c>
      <c r="H80" s="9"/>
      <c r="I80" s="3" t="s">
        <v>433</v>
      </c>
      <c r="J80" s="10" t="s">
        <v>363</v>
      </c>
      <c r="K80" s="10" t="s">
        <v>94</v>
      </c>
      <c r="L80" s="10" t="s">
        <v>93</v>
      </c>
      <c r="M80" s="10">
        <v>4</v>
      </c>
      <c r="N80" s="10" t="s">
        <v>92</v>
      </c>
      <c r="O80" s="10">
        <v>38.4</v>
      </c>
      <c r="P80" s="10">
        <f t="shared" si="18"/>
        <v>1536</v>
      </c>
      <c r="Q80" s="50">
        <f>((32-2*0.4)*(12-2*0.4))*M80</f>
        <v>1397.76</v>
      </c>
      <c r="R80" s="43">
        <f t="shared" si="10"/>
        <v>36.4</v>
      </c>
      <c r="S80" s="10" t="s">
        <v>67</v>
      </c>
      <c r="T80" s="31"/>
      <c r="U80" s="47">
        <f>5600+7000+1250</f>
        <v>13850</v>
      </c>
      <c r="V80" s="9" t="s">
        <v>244</v>
      </c>
      <c r="W80" s="43">
        <f t="shared" si="11"/>
        <v>9.9087110805860803</v>
      </c>
      <c r="X80" s="10">
        <v>3</v>
      </c>
      <c r="Y80" s="47">
        <f t="shared" si="12"/>
        <v>360.67708333333337</v>
      </c>
      <c r="Z80" s="43" t="s">
        <v>72</v>
      </c>
      <c r="AA80" s="31" t="s">
        <v>628</v>
      </c>
    </row>
    <row r="81" spans="1:27" ht="40" customHeight="1" x14ac:dyDescent="0.2">
      <c r="A81" s="9">
        <v>2</v>
      </c>
      <c r="B81" s="10" t="s">
        <v>670</v>
      </c>
      <c r="C81" s="12"/>
      <c r="D81" s="12"/>
      <c r="E81" s="10" t="s">
        <v>540</v>
      </c>
      <c r="F81" s="9"/>
      <c r="G81" s="10" t="s">
        <v>58</v>
      </c>
      <c r="H81" s="9"/>
      <c r="I81" s="3" t="s">
        <v>433</v>
      </c>
      <c r="J81" s="10" t="s">
        <v>364</v>
      </c>
      <c r="K81" s="10" t="s">
        <v>91</v>
      </c>
      <c r="L81" s="10" t="s">
        <v>78</v>
      </c>
      <c r="M81" s="10">
        <v>4</v>
      </c>
      <c r="N81" s="10" t="s">
        <v>90</v>
      </c>
      <c r="O81" s="10">
        <v>38.4</v>
      </c>
      <c r="P81" s="10">
        <f t="shared" si="18"/>
        <v>1536</v>
      </c>
      <c r="Q81" s="50">
        <f>((32-2*0.3)*(12-2*0.3))*M81</f>
        <v>1431.84</v>
      </c>
      <c r="R81" s="43">
        <f t="shared" si="10"/>
        <v>37.287500000000001</v>
      </c>
      <c r="S81" s="10" t="s">
        <v>65</v>
      </c>
      <c r="T81" s="31"/>
      <c r="U81" s="47">
        <f>288000+72000+528000+158400+437760+259200+145920+91200+108000</f>
        <v>2088480</v>
      </c>
      <c r="V81" s="9" t="s">
        <v>244</v>
      </c>
      <c r="W81" s="43">
        <f t="shared" si="11"/>
        <v>1458.5987261146497</v>
      </c>
      <c r="X81" s="10">
        <v>3</v>
      </c>
      <c r="Y81" s="47">
        <f t="shared" si="12"/>
        <v>54387.5</v>
      </c>
      <c r="Z81" s="43" t="s">
        <v>89</v>
      </c>
      <c r="AA81" s="31" t="s">
        <v>628</v>
      </c>
    </row>
    <row r="82" spans="1:27" ht="40" customHeight="1" x14ac:dyDescent="0.2">
      <c r="A82" s="9">
        <v>2</v>
      </c>
      <c r="B82" s="10" t="s">
        <v>670</v>
      </c>
      <c r="C82" s="12"/>
      <c r="D82" s="12"/>
      <c r="E82" s="10" t="s">
        <v>540</v>
      </c>
      <c r="F82" s="9"/>
      <c r="G82" s="10" t="s">
        <v>58</v>
      </c>
      <c r="H82" s="9"/>
      <c r="I82" s="3" t="s">
        <v>433</v>
      </c>
      <c r="J82" s="10" t="s">
        <v>364</v>
      </c>
      <c r="K82" s="10" t="s">
        <v>91</v>
      </c>
      <c r="L82" s="10" t="s">
        <v>78</v>
      </c>
      <c r="M82" s="10">
        <v>4</v>
      </c>
      <c r="N82" s="10" t="s">
        <v>90</v>
      </c>
      <c r="O82" s="10">
        <v>38.4</v>
      </c>
      <c r="P82" s="10">
        <f t="shared" si="18"/>
        <v>1536</v>
      </c>
      <c r="Q82" s="50">
        <f>((32-2*0.3)*(12-2*0.3))*M82</f>
        <v>1431.84</v>
      </c>
      <c r="R82" s="43">
        <f t="shared" si="10"/>
        <v>37.287500000000001</v>
      </c>
      <c r="S82" s="10" t="s">
        <v>67</v>
      </c>
      <c r="T82" s="31"/>
      <c r="U82" s="47">
        <v>5244</v>
      </c>
      <c r="V82" s="9" t="s">
        <v>244</v>
      </c>
      <c r="W82" s="43">
        <f t="shared" si="11"/>
        <v>3.6624203821656054</v>
      </c>
      <c r="X82" s="10">
        <v>3</v>
      </c>
      <c r="Y82" s="47">
        <f t="shared" si="12"/>
        <v>136.5625</v>
      </c>
      <c r="Z82" s="43" t="s">
        <v>66</v>
      </c>
      <c r="AA82" s="31" t="s">
        <v>628</v>
      </c>
    </row>
    <row r="83" spans="1:27" ht="40" customHeight="1" x14ac:dyDescent="0.2">
      <c r="A83" s="9">
        <v>2</v>
      </c>
      <c r="B83" s="10" t="s">
        <v>670</v>
      </c>
      <c r="C83" s="12"/>
      <c r="D83" s="12"/>
      <c r="E83" s="10" t="s">
        <v>540</v>
      </c>
      <c r="F83" s="9"/>
      <c r="G83" s="10" t="s">
        <v>58</v>
      </c>
      <c r="H83" s="9"/>
      <c r="I83" s="3" t="s">
        <v>433</v>
      </c>
      <c r="J83" s="10" t="s">
        <v>365</v>
      </c>
      <c r="K83" s="10" t="s">
        <v>88</v>
      </c>
      <c r="L83" s="10" t="s">
        <v>87</v>
      </c>
      <c r="M83" s="10">
        <v>4</v>
      </c>
      <c r="N83" s="10" t="s">
        <v>86</v>
      </c>
      <c r="O83" s="10">
        <v>38.4</v>
      </c>
      <c r="P83" s="10">
        <f t="shared" si="18"/>
        <v>1536</v>
      </c>
      <c r="Q83" s="50">
        <f>((32-2*0.16)*(12-2*0.16))*M83</f>
        <v>1480.0896</v>
      </c>
      <c r="R83" s="43">
        <f t="shared" si="10"/>
        <v>38.544000000000004</v>
      </c>
      <c r="S83" s="10" t="s">
        <v>65</v>
      </c>
      <c r="T83" s="31"/>
      <c r="U83" s="47">
        <f>91200+108000</f>
        <v>199200</v>
      </c>
      <c r="V83" s="9" t="s">
        <v>244</v>
      </c>
      <c r="W83" s="43">
        <f t="shared" si="11"/>
        <v>134.58644665836445</v>
      </c>
      <c r="X83" s="10">
        <v>3</v>
      </c>
      <c r="Y83" s="47">
        <f t="shared" si="12"/>
        <v>5187.5</v>
      </c>
      <c r="Z83" s="43" t="s">
        <v>66</v>
      </c>
      <c r="AA83" s="31" t="s">
        <v>628</v>
      </c>
    </row>
    <row r="84" spans="1:27" ht="40" customHeight="1" x14ac:dyDescent="0.2">
      <c r="A84" s="9">
        <v>2</v>
      </c>
      <c r="B84" s="10" t="s">
        <v>670</v>
      </c>
      <c r="C84" s="12"/>
      <c r="D84" s="12"/>
      <c r="E84" s="10" t="s">
        <v>540</v>
      </c>
      <c r="F84" s="9"/>
      <c r="G84" s="10" t="s">
        <v>58</v>
      </c>
      <c r="H84" s="9"/>
      <c r="I84" s="3" t="s">
        <v>433</v>
      </c>
      <c r="J84" s="10" t="s">
        <v>365</v>
      </c>
      <c r="K84" s="10" t="s">
        <v>88</v>
      </c>
      <c r="L84" s="10" t="s">
        <v>87</v>
      </c>
      <c r="M84" s="10">
        <v>4</v>
      </c>
      <c r="N84" s="10" t="s">
        <v>86</v>
      </c>
      <c r="O84" s="10">
        <v>38.4</v>
      </c>
      <c r="P84" s="10">
        <f t="shared" si="18"/>
        <v>1536</v>
      </c>
      <c r="Q84" s="50">
        <f>((32-2*0.16)*(12-2*0.16))*M84</f>
        <v>1480.0896</v>
      </c>
      <c r="R84" s="43">
        <f t="shared" si="10"/>
        <v>38.544000000000004</v>
      </c>
      <c r="S84" s="10" t="s">
        <v>67</v>
      </c>
      <c r="T84" s="31"/>
      <c r="U84" s="47">
        <f>8600+16000+17600+5600+7000+1250+11400+11000+10488</f>
        <v>88938</v>
      </c>
      <c r="V84" s="9" t="s">
        <v>244</v>
      </c>
      <c r="W84" s="43">
        <f t="shared" si="11"/>
        <v>60.089605386052305</v>
      </c>
      <c r="X84" s="10">
        <v>3</v>
      </c>
      <c r="Y84" s="47">
        <f t="shared" si="12"/>
        <v>2316.09375</v>
      </c>
      <c r="Z84" s="43" t="s">
        <v>66</v>
      </c>
      <c r="AA84" s="31" t="s">
        <v>628</v>
      </c>
    </row>
    <row r="85" spans="1:27" ht="40" customHeight="1" x14ac:dyDescent="0.2">
      <c r="A85" s="9">
        <v>2</v>
      </c>
      <c r="B85" s="10" t="s">
        <v>670</v>
      </c>
      <c r="C85" s="12"/>
      <c r="D85" s="12"/>
      <c r="E85" s="10" t="s">
        <v>540</v>
      </c>
      <c r="F85" s="9"/>
      <c r="G85" s="10" t="s">
        <v>58</v>
      </c>
      <c r="H85" s="9"/>
      <c r="I85" s="3" t="s">
        <v>433</v>
      </c>
      <c r="J85" s="10" t="s">
        <v>366</v>
      </c>
      <c r="K85" s="10" t="s">
        <v>85</v>
      </c>
      <c r="L85" s="10" t="s">
        <v>68</v>
      </c>
      <c r="M85" s="10">
        <v>4</v>
      </c>
      <c r="N85" s="10" t="s">
        <v>80</v>
      </c>
      <c r="O85" s="10">
        <v>38.4</v>
      </c>
      <c r="P85" s="10">
        <f t="shared" si="18"/>
        <v>1536</v>
      </c>
      <c r="Q85" s="50">
        <f>((32-2*0.16)*(12-2*0.16))*M85</f>
        <v>1480.0896</v>
      </c>
      <c r="R85" s="43">
        <f t="shared" si="10"/>
        <v>38.544000000000004</v>
      </c>
      <c r="S85" s="10" t="s">
        <v>65</v>
      </c>
      <c r="T85" s="31"/>
      <c r="U85" s="47">
        <f>91200+108000</f>
        <v>199200</v>
      </c>
      <c r="V85" s="9" t="s">
        <v>244</v>
      </c>
      <c r="W85" s="43">
        <f t="shared" si="11"/>
        <v>134.58644665836445</v>
      </c>
      <c r="X85" s="10">
        <v>3</v>
      </c>
      <c r="Y85" s="47">
        <f t="shared" si="12"/>
        <v>5187.5</v>
      </c>
      <c r="Z85" s="43" t="s">
        <v>66</v>
      </c>
      <c r="AA85" s="31" t="s">
        <v>628</v>
      </c>
    </row>
    <row r="86" spans="1:27" ht="40" customHeight="1" x14ac:dyDescent="0.2">
      <c r="A86" s="9">
        <v>2</v>
      </c>
      <c r="B86" s="10" t="s">
        <v>670</v>
      </c>
      <c r="C86" s="12"/>
      <c r="D86" s="12"/>
      <c r="E86" s="10" t="s">
        <v>540</v>
      </c>
      <c r="F86" s="9"/>
      <c r="G86" s="10" t="s">
        <v>58</v>
      </c>
      <c r="H86" s="9"/>
      <c r="I86" s="3" t="s">
        <v>433</v>
      </c>
      <c r="J86" s="10" t="s">
        <v>366</v>
      </c>
      <c r="K86" s="10" t="s">
        <v>85</v>
      </c>
      <c r="L86" s="10" t="s">
        <v>68</v>
      </c>
      <c r="M86" s="10">
        <v>4</v>
      </c>
      <c r="N86" s="10" t="s">
        <v>80</v>
      </c>
      <c r="O86" s="10">
        <v>38.4</v>
      </c>
      <c r="P86" s="10">
        <f t="shared" si="18"/>
        <v>1536</v>
      </c>
      <c r="Q86" s="50">
        <f>((32-2*0.16)*(12-2*0.16))*M86</f>
        <v>1480.0896</v>
      </c>
      <c r="R86" s="43">
        <f t="shared" si="10"/>
        <v>38.544000000000004</v>
      </c>
      <c r="S86" s="10" t="s">
        <v>67</v>
      </c>
      <c r="T86" s="31"/>
      <c r="U86" s="47">
        <f>8600+16000+17600+5600+7000+1250+11400+11000+10488</f>
        <v>88938</v>
      </c>
      <c r="V86" s="9" t="s">
        <v>244</v>
      </c>
      <c r="W86" s="43">
        <f t="shared" si="11"/>
        <v>60.089605386052305</v>
      </c>
      <c r="X86" s="10">
        <v>3</v>
      </c>
      <c r="Y86" s="47">
        <f t="shared" si="12"/>
        <v>2316.09375</v>
      </c>
      <c r="Z86" s="43" t="s">
        <v>66</v>
      </c>
      <c r="AA86" s="31" t="s">
        <v>628</v>
      </c>
    </row>
    <row r="87" spans="1:27" ht="40" customHeight="1" x14ac:dyDescent="0.2">
      <c r="A87" s="9">
        <v>2</v>
      </c>
      <c r="B87" s="10" t="s">
        <v>670</v>
      </c>
      <c r="C87" s="12"/>
      <c r="D87" s="12"/>
      <c r="E87" s="10" t="s">
        <v>540</v>
      </c>
      <c r="F87" s="9"/>
      <c r="G87" s="10" t="s">
        <v>58</v>
      </c>
      <c r="H87" s="9"/>
      <c r="I87" s="3" t="s">
        <v>433</v>
      </c>
      <c r="J87" s="10" t="s">
        <v>367</v>
      </c>
      <c r="K87" s="10" t="s">
        <v>84</v>
      </c>
      <c r="L87" s="10" t="s">
        <v>83</v>
      </c>
      <c r="M87" s="10">
        <v>4</v>
      </c>
      <c r="N87" s="10" t="s">
        <v>82</v>
      </c>
      <c r="O87" s="10">
        <v>38.4</v>
      </c>
      <c r="P87" s="10">
        <f t="shared" si="18"/>
        <v>1536</v>
      </c>
      <c r="Q87" s="50">
        <f t="shared" ref="Q87:Q90" si="19">((32-2*0.25)*(12-2*0.25))*M87</f>
        <v>1449</v>
      </c>
      <c r="R87" s="43">
        <f t="shared" si="10"/>
        <v>37.734375</v>
      </c>
      <c r="S87" s="10" t="s">
        <v>65</v>
      </c>
      <c r="T87" s="31"/>
      <c r="U87" s="47">
        <f>437760+259200+145920+91200+108000</f>
        <v>1042080</v>
      </c>
      <c r="V87" s="9" t="s">
        <v>244</v>
      </c>
      <c r="W87" s="43">
        <f t="shared" si="11"/>
        <v>719.17184265010349</v>
      </c>
      <c r="X87" s="10">
        <v>3</v>
      </c>
      <c r="Y87" s="47">
        <f t="shared" si="12"/>
        <v>27137.5</v>
      </c>
      <c r="Z87" s="43" t="s">
        <v>66</v>
      </c>
      <c r="AA87" s="31" t="s">
        <v>628</v>
      </c>
    </row>
    <row r="88" spans="1:27" ht="40" customHeight="1" x14ac:dyDescent="0.2">
      <c r="A88" s="9">
        <v>2</v>
      </c>
      <c r="B88" s="10" t="s">
        <v>670</v>
      </c>
      <c r="C88" s="12"/>
      <c r="D88" s="12"/>
      <c r="E88" s="10" t="s">
        <v>540</v>
      </c>
      <c r="F88" s="9"/>
      <c r="G88" s="10" t="s">
        <v>58</v>
      </c>
      <c r="H88" s="9"/>
      <c r="I88" s="3" t="s">
        <v>433</v>
      </c>
      <c r="J88" s="10" t="s">
        <v>367</v>
      </c>
      <c r="K88" s="10" t="s">
        <v>84</v>
      </c>
      <c r="L88" s="10" t="s">
        <v>83</v>
      </c>
      <c r="M88" s="10">
        <v>4</v>
      </c>
      <c r="N88" s="10" t="s">
        <v>82</v>
      </c>
      <c r="O88" s="10">
        <v>38.4</v>
      </c>
      <c r="P88" s="10">
        <f t="shared" si="18"/>
        <v>1536</v>
      </c>
      <c r="Q88" s="50">
        <f t="shared" si="19"/>
        <v>1449</v>
      </c>
      <c r="R88" s="43">
        <f t="shared" si="10"/>
        <v>37.734375</v>
      </c>
      <c r="S88" s="10" t="s">
        <v>67</v>
      </c>
      <c r="T88" s="31"/>
      <c r="U88" s="47">
        <f>5600+7000+1250</f>
        <v>13850</v>
      </c>
      <c r="V88" s="9" t="s">
        <v>244</v>
      </c>
      <c r="W88" s="43">
        <f t="shared" si="11"/>
        <v>9.5583160800552101</v>
      </c>
      <c r="X88" s="10">
        <v>3</v>
      </c>
      <c r="Y88" s="47">
        <f t="shared" si="12"/>
        <v>360.67708333333337</v>
      </c>
      <c r="Z88" s="43" t="s">
        <v>66</v>
      </c>
      <c r="AA88" s="31" t="s">
        <v>628</v>
      </c>
    </row>
    <row r="89" spans="1:27" ht="40" customHeight="1" x14ac:dyDescent="0.2">
      <c r="A89" s="9">
        <v>2</v>
      </c>
      <c r="B89" s="10" t="s">
        <v>670</v>
      </c>
      <c r="C89" s="12"/>
      <c r="D89" s="12"/>
      <c r="E89" s="10" t="s">
        <v>540</v>
      </c>
      <c r="F89" s="9"/>
      <c r="G89" s="10" t="s">
        <v>58</v>
      </c>
      <c r="H89" s="9"/>
      <c r="I89" s="3" t="s">
        <v>433</v>
      </c>
      <c r="J89" s="10" t="s">
        <v>368</v>
      </c>
      <c r="K89" s="10" t="s">
        <v>81</v>
      </c>
      <c r="L89" s="10" t="s">
        <v>68</v>
      </c>
      <c r="M89" s="10">
        <v>4</v>
      </c>
      <c r="N89" s="10" t="s">
        <v>80</v>
      </c>
      <c r="O89" s="10">
        <v>38.4</v>
      </c>
      <c r="P89" s="10">
        <f t="shared" si="18"/>
        <v>1536</v>
      </c>
      <c r="Q89" s="50">
        <f t="shared" si="19"/>
        <v>1449</v>
      </c>
      <c r="R89" s="43">
        <f t="shared" si="10"/>
        <v>37.734375</v>
      </c>
      <c r="S89" s="10" t="s">
        <v>65</v>
      </c>
      <c r="T89" s="31"/>
      <c r="U89" s="47">
        <f>437760+259200+145920+91200+108000</f>
        <v>1042080</v>
      </c>
      <c r="V89" s="9" t="s">
        <v>244</v>
      </c>
      <c r="W89" s="43">
        <f t="shared" si="11"/>
        <v>719.17184265010349</v>
      </c>
      <c r="X89" s="10">
        <v>3</v>
      </c>
      <c r="Y89" s="47">
        <f t="shared" si="12"/>
        <v>27137.5</v>
      </c>
      <c r="Z89" s="43" t="s">
        <v>66</v>
      </c>
      <c r="AA89" s="31" t="s">
        <v>628</v>
      </c>
    </row>
    <row r="90" spans="1:27" ht="40" customHeight="1" x14ac:dyDescent="0.2">
      <c r="A90" s="9">
        <v>2</v>
      </c>
      <c r="B90" s="10" t="s">
        <v>670</v>
      </c>
      <c r="C90" s="12"/>
      <c r="D90" s="12"/>
      <c r="E90" s="10" t="s">
        <v>540</v>
      </c>
      <c r="F90" s="9"/>
      <c r="G90" s="10" t="s">
        <v>58</v>
      </c>
      <c r="H90" s="9"/>
      <c r="I90" s="3" t="s">
        <v>433</v>
      </c>
      <c r="J90" s="10" t="s">
        <v>368</v>
      </c>
      <c r="K90" s="10" t="s">
        <v>81</v>
      </c>
      <c r="L90" s="10" t="s">
        <v>68</v>
      </c>
      <c r="M90" s="10">
        <v>4</v>
      </c>
      <c r="N90" s="10" t="s">
        <v>80</v>
      </c>
      <c r="O90" s="10">
        <v>38.4</v>
      </c>
      <c r="P90" s="10">
        <f t="shared" si="18"/>
        <v>1536</v>
      </c>
      <c r="Q90" s="50">
        <f t="shared" si="19"/>
        <v>1449</v>
      </c>
      <c r="R90" s="43">
        <f t="shared" si="10"/>
        <v>37.734375</v>
      </c>
      <c r="S90" s="10" t="s">
        <v>67</v>
      </c>
      <c r="T90" s="31"/>
      <c r="U90" s="47">
        <f>5600+7000+1250</f>
        <v>13850</v>
      </c>
      <c r="V90" s="9" t="s">
        <v>244</v>
      </c>
      <c r="W90" s="43">
        <f t="shared" si="11"/>
        <v>9.5583160800552101</v>
      </c>
      <c r="X90" s="10">
        <v>3</v>
      </c>
      <c r="Y90" s="47">
        <f t="shared" si="12"/>
        <v>360.67708333333337</v>
      </c>
      <c r="Z90" s="43" t="s">
        <v>72</v>
      </c>
      <c r="AA90" s="31" t="s">
        <v>628</v>
      </c>
    </row>
    <row r="91" spans="1:27" ht="40" customHeight="1" x14ac:dyDescent="0.2">
      <c r="A91" s="9">
        <v>2</v>
      </c>
      <c r="B91" s="10" t="s">
        <v>670</v>
      </c>
      <c r="C91" s="12"/>
      <c r="D91" s="12"/>
      <c r="E91" s="10" t="s">
        <v>540</v>
      </c>
      <c r="F91" s="9"/>
      <c r="G91" s="10" t="s">
        <v>58</v>
      </c>
      <c r="H91" s="9"/>
      <c r="I91" s="3" t="s">
        <v>70</v>
      </c>
      <c r="J91" s="10" t="s">
        <v>369</v>
      </c>
      <c r="K91" s="10" t="s">
        <v>79</v>
      </c>
      <c r="L91" s="10" t="s">
        <v>78</v>
      </c>
      <c r="M91" s="10">
        <v>7</v>
      </c>
      <c r="N91" s="10" t="s">
        <v>77</v>
      </c>
      <c r="O91" s="10">
        <v>69.3</v>
      </c>
      <c r="P91" s="10">
        <f t="shared" si="18"/>
        <v>2688</v>
      </c>
      <c r="Q91" s="50">
        <f>((32-2*0.15)*(12-2*0.15))*M91</f>
        <v>2596.23</v>
      </c>
      <c r="R91" s="43">
        <f t="shared" si="10"/>
        <v>37.463636363636368</v>
      </c>
      <c r="S91" s="10" t="s">
        <v>65</v>
      </c>
      <c r="T91" s="31"/>
      <c r="U91" s="47">
        <f>696000+926400+313920+145920+875520+259200+145920+91200+172800</f>
        <v>3626880</v>
      </c>
      <c r="V91" s="9" t="s">
        <v>244</v>
      </c>
      <c r="W91" s="43">
        <f t="shared" si="11"/>
        <v>1396.9794663800974</v>
      </c>
      <c r="X91" s="10">
        <v>4</v>
      </c>
      <c r="Y91" s="47">
        <f t="shared" si="12"/>
        <v>52335.930735930735</v>
      </c>
      <c r="Z91" s="43" t="s">
        <v>72</v>
      </c>
      <c r="AA91" s="31" t="s">
        <v>628</v>
      </c>
    </row>
    <row r="92" spans="1:27" ht="40" customHeight="1" x14ac:dyDescent="0.2">
      <c r="A92" s="9">
        <v>2</v>
      </c>
      <c r="B92" s="10" t="s">
        <v>670</v>
      </c>
      <c r="C92" s="12"/>
      <c r="D92" s="12"/>
      <c r="E92" s="10" t="s">
        <v>540</v>
      </c>
      <c r="F92" s="9"/>
      <c r="G92" s="10" t="s">
        <v>58</v>
      </c>
      <c r="H92" s="9"/>
      <c r="I92" s="3" t="s">
        <v>70</v>
      </c>
      <c r="J92" s="10" t="s">
        <v>370</v>
      </c>
      <c r="K92" s="10" t="s">
        <v>76</v>
      </c>
      <c r="L92" s="10" t="s">
        <v>75</v>
      </c>
      <c r="M92" s="10">
        <v>10</v>
      </c>
      <c r="N92" s="10">
        <v>60</v>
      </c>
      <c r="O92" s="10">
        <v>120</v>
      </c>
      <c r="P92" s="10">
        <f t="shared" ref="P92:P96" si="20">(30*15)*M92</f>
        <v>4500</v>
      </c>
      <c r="Q92" s="50">
        <f>((30-2*0.25)*(15-2*0.25))*M92</f>
        <v>4277.5</v>
      </c>
      <c r="R92" s="43">
        <f t="shared" ref="R92:R96" si="21">Q92/O92</f>
        <v>35.645833333333336</v>
      </c>
      <c r="S92" s="10" t="s">
        <v>65</v>
      </c>
      <c r="T92" s="31"/>
      <c r="U92" s="47">
        <f>1200000+864000+388800+172800+1036800+288000+172800+108000+230400</f>
        <v>4461600</v>
      </c>
      <c r="V92" s="9" t="s">
        <v>244</v>
      </c>
      <c r="W92" s="43">
        <f t="shared" ref="W92:W96" si="22">U92/Q92</f>
        <v>1043.0391583869082</v>
      </c>
      <c r="X92" s="10">
        <v>4</v>
      </c>
      <c r="Y92" s="47">
        <f t="shared" ref="Y92:Y96" si="23">U92/O92</f>
        <v>37180</v>
      </c>
      <c r="Z92" s="43" t="s">
        <v>72</v>
      </c>
      <c r="AA92" s="31" t="s">
        <v>628</v>
      </c>
    </row>
    <row r="93" spans="1:27" ht="40" customHeight="1" x14ac:dyDescent="0.2">
      <c r="A93" s="9">
        <v>2</v>
      </c>
      <c r="B93" s="10" t="s">
        <v>670</v>
      </c>
      <c r="C93" s="12"/>
      <c r="D93" s="12"/>
      <c r="E93" s="9" t="s">
        <v>540</v>
      </c>
      <c r="F93" s="9"/>
      <c r="G93" s="10" t="s">
        <v>58</v>
      </c>
      <c r="H93" s="9"/>
      <c r="I93" s="3" t="s">
        <v>70</v>
      </c>
      <c r="J93" s="10" t="s">
        <v>371</v>
      </c>
      <c r="K93" s="10" t="s">
        <v>74</v>
      </c>
      <c r="L93" s="10" t="s">
        <v>73</v>
      </c>
      <c r="M93" s="10">
        <v>10</v>
      </c>
      <c r="N93" s="10">
        <v>90</v>
      </c>
      <c r="O93" s="10">
        <v>120</v>
      </c>
      <c r="P93" s="10">
        <f t="shared" si="20"/>
        <v>4500</v>
      </c>
      <c r="Q93" s="50">
        <f t="shared" ref="Q93:Q96" si="24">((30-2*0.3)*(15-2*0.3))*M93</f>
        <v>4233.6000000000004</v>
      </c>
      <c r="R93" s="43">
        <f t="shared" si="21"/>
        <v>35.28</v>
      </c>
      <c r="S93" s="10" t="s">
        <v>65</v>
      </c>
      <c r="T93" s="31"/>
      <c r="U93" s="47">
        <f>172800+1555200+259200+145920+91200+230400</f>
        <v>2454720</v>
      </c>
      <c r="V93" s="9" t="s">
        <v>244</v>
      </c>
      <c r="W93" s="43">
        <f t="shared" si="22"/>
        <v>579.81859410430832</v>
      </c>
      <c r="X93" s="10">
        <v>4</v>
      </c>
      <c r="Y93" s="47">
        <f t="shared" si="23"/>
        <v>20456</v>
      </c>
      <c r="Z93" s="43" t="s">
        <v>72</v>
      </c>
      <c r="AA93" s="31" t="s">
        <v>628</v>
      </c>
    </row>
    <row r="94" spans="1:27" ht="40" customHeight="1" x14ac:dyDescent="0.2">
      <c r="A94" s="9">
        <v>2</v>
      </c>
      <c r="B94" s="10" t="s">
        <v>670</v>
      </c>
      <c r="C94" s="12"/>
      <c r="D94" s="12"/>
      <c r="E94" s="9" t="s">
        <v>540</v>
      </c>
      <c r="F94" s="9"/>
      <c r="G94" s="10" t="s">
        <v>58</v>
      </c>
      <c r="H94" s="9"/>
      <c r="I94" s="3" t="s">
        <v>70</v>
      </c>
      <c r="J94" s="10" t="s">
        <v>371</v>
      </c>
      <c r="K94" s="10" t="s">
        <v>74</v>
      </c>
      <c r="L94" s="10" t="s">
        <v>73</v>
      </c>
      <c r="M94" s="10">
        <v>10</v>
      </c>
      <c r="N94" s="10">
        <v>90</v>
      </c>
      <c r="O94" s="10">
        <v>120</v>
      </c>
      <c r="P94" s="10">
        <f t="shared" si="20"/>
        <v>4500</v>
      </c>
      <c r="Q94" s="50">
        <f t="shared" si="24"/>
        <v>4233.6000000000004</v>
      </c>
      <c r="R94" s="43">
        <f t="shared" si="21"/>
        <v>35.28</v>
      </c>
      <c r="S94" s="10" t="s">
        <v>67</v>
      </c>
      <c r="T94" s="31"/>
      <c r="U94" s="47">
        <v>10800</v>
      </c>
      <c r="V94" s="9" t="s">
        <v>244</v>
      </c>
      <c r="W94" s="43">
        <f t="shared" si="22"/>
        <v>2.5510204081632653</v>
      </c>
      <c r="X94" s="10">
        <v>4</v>
      </c>
      <c r="Y94" s="47">
        <f t="shared" si="23"/>
        <v>90</v>
      </c>
      <c r="Z94" s="43" t="s">
        <v>66</v>
      </c>
      <c r="AA94" s="31" t="s">
        <v>628</v>
      </c>
    </row>
    <row r="95" spans="1:27" ht="40" customHeight="1" x14ac:dyDescent="0.2">
      <c r="A95" s="9">
        <v>2</v>
      </c>
      <c r="B95" s="10" t="s">
        <v>670</v>
      </c>
      <c r="C95" s="12"/>
      <c r="D95" s="12"/>
      <c r="E95" s="9" t="s">
        <v>540</v>
      </c>
      <c r="F95" s="9"/>
      <c r="G95" s="10" t="s">
        <v>58</v>
      </c>
      <c r="H95" s="9"/>
      <c r="I95" s="3" t="s">
        <v>70</v>
      </c>
      <c r="J95" s="10" t="s">
        <v>372</v>
      </c>
      <c r="K95" s="10" t="s">
        <v>69</v>
      </c>
      <c r="L95" s="10" t="s">
        <v>68</v>
      </c>
      <c r="M95" s="10">
        <v>10</v>
      </c>
      <c r="N95" s="10">
        <v>3.1</v>
      </c>
      <c r="O95" s="10">
        <v>120</v>
      </c>
      <c r="P95" s="10">
        <f t="shared" si="20"/>
        <v>4500</v>
      </c>
      <c r="Q95" s="50">
        <f t="shared" si="24"/>
        <v>4233.6000000000004</v>
      </c>
      <c r="R95" s="43">
        <f t="shared" si="21"/>
        <v>35.28</v>
      </c>
      <c r="S95" s="10" t="s">
        <v>65</v>
      </c>
      <c r="T95" s="31"/>
      <c r="U95" s="47">
        <f>172800+1555200+259200+145920+91200+230400</f>
        <v>2454720</v>
      </c>
      <c r="V95" s="9" t="s">
        <v>244</v>
      </c>
      <c r="W95" s="43">
        <f t="shared" si="22"/>
        <v>579.81859410430832</v>
      </c>
      <c r="X95" s="10">
        <v>4</v>
      </c>
      <c r="Y95" s="47">
        <f t="shared" si="23"/>
        <v>20456</v>
      </c>
      <c r="Z95" s="43" t="s">
        <v>66</v>
      </c>
      <c r="AA95" s="31" t="s">
        <v>628</v>
      </c>
    </row>
    <row r="96" spans="1:27" ht="40" customHeight="1" x14ac:dyDescent="0.2">
      <c r="A96" s="9">
        <v>2</v>
      </c>
      <c r="B96" s="10" t="s">
        <v>670</v>
      </c>
      <c r="C96" s="12"/>
      <c r="D96" s="12"/>
      <c r="E96" s="9" t="s">
        <v>540</v>
      </c>
      <c r="F96" s="9"/>
      <c r="G96" s="10" t="s">
        <v>58</v>
      </c>
      <c r="H96" s="9"/>
      <c r="I96" s="3" t="s">
        <v>70</v>
      </c>
      <c r="J96" s="10" t="s">
        <v>372</v>
      </c>
      <c r="K96" s="10" t="s">
        <v>69</v>
      </c>
      <c r="L96" s="10" t="s">
        <v>68</v>
      </c>
      <c r="M96" s="10">
        <v>10</v>
      </c>
      <c r="N96" s="10">
        <v>3.1</v>
      </c>
      <c r="O96" s="10">
        <v>120</v>
      </c>
      <c r="P96" s="10">
        <f t="shared" si="20"/>
        <v>4500</v>
      </c>
      <c r="Q96" s="50">
        <f t="shared" si="24"/>
        <v>4233.6000000000004</v>
      </c>
      <c r="R96" s="43">
        <f t="shared" si="21"/>
        <v>35.28</v>
      </c>
      <c r="S96" s="10" t="s">
        <v>67</v>
      </c>
      <c r="T96" s="31"/>
      <c r="U96" s="47">
        <v>10800</v>
      </c>
      <c r="V96" s="9" t="s">
        <v>244</v>
      </c>
      <c r="W96" s="43">
        <f t="shared" si="22"/>
        <v>2.5510204081632653</v>
      </c>
      <c r="X96" s="10">
        <v>4</v>
      </c>
      <c r="Y96" s="47">
        <f t="shared" si="23"/>
        <v>90</v>
      </c>
      <c r="Z96" s="43" t="s">
        <v>64</v>
      </c>
      <c r="AA96" s="31" t="s">
        <v>628</v>
      </c>
    </row>
  </sheetData>
  <phoneticPr fontId="18" type="noConversion"/>
  <pageMargins left="0.7" right="0.7" top="0.75" bottom="0.75" header="0.3" footer="0.3"/>
  <pageSetup paperSize="9" orientation="portrait" horizontalDpi="0"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rgb="FF92D050"/>
  </sheetPr>
  <dimension ref="A1:AC7"/>
  <sheetViews>
    <sheetView zoomScaleNormal="100" workbookViewId="0"/>
  </sheetViews>
  <sheetFormatPr baseColWidth="10" defaultColWidth="9.1640625" defaultRowHeight="15" x14ac:dyDescent="0.2"/>
  <cols>
    <col min="1" max="1" width="3.6640625" style="11" customWidth="1"/>
    <col min="2" max="2" width="14.5" style="11" customWidth="1"/>
    <col min="3" max="3" width="38.33203125" style="10" customWidth="1"/>
    <col min="4" max="4" width="20.6640625" style="10" customWidth="1"/>
    <col min="5" max="6" width="25" style="11" customWidth="1"/>
    <col min="7" max="7" width="9.1640625" style="11"/>
    <col min="8" max="8" width="20.1640625" style="11" customWidth="1"/>
    <col min="9" max="9" width="27.6640625" style="11" customWidth="1"/>
    <col min="10" max="10" width="16" style="11" customWidth="1"/>
    <col min="11" max="11" width="34.33203125" style="11" customWidth="1"/>
    <col min="12" max="13" width="22.5" style="11" customWidth="1"/>
    <col min="14" max="14" width="23" style="11" customWidth="1"/>
    <col min="15" max="15" width="17.6640625" style="11" customWidth="1"/>
    <col min="16" max="16" width="13.5" style="11" customWidth="1"/>
    <col min="17" max="18" width="12.1640625" style="11" customWidth="1"/>
    <col min="19" max="19" width="13.33203125" style="11" customWidth="1"/>
    <col min="20" max="20" width="11.5" style="11" customWidth="1"/>
    <col min="21" max="21" width="11.5" style="11" bestFit="1" customWidth="1"/>
    <col min="22" max="22" width="9.1640625" style="11"/>
    <col min="23" max="24" width="12.1640625" style="11" customWidth="1"/>
    <col min="25" max="25" width="9.1640625" style="11"/>
    <col min="26" max="26" width="10.1640625" style="11" customWidth="1"/>
    <col min="27" max="27" width="12.1640625" style="11" customWidth="1"/>
    <col min="28" max="28" width="12.6640625" style="11" customWidth="1"/>
    <col min="29" max="29" width="13.83203125" style="5" customWidth="1"/>
    <col min="30" max="16384" width="9.1640625" style="11"/>
  </cols>
  <sheetData>
    <row r="1" spans="1:29"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241</v>
      </c>
      <c r="R1" s="44" t="s">
        <v>414</v>
      </c>
      <c r="S1" s="44" t="s">
        <v>193</v>
      </c>
      <c r="T1" s="44" t="s">
        <v>419</v>
      </c>
      <c r="U1" s="44" t="s">
        <v>519</v>
      </c>
      <c r="V1" s="44" t="s">
        <v>192</v>
      </c>
      <c r="W1" s="44" t="s">
        <v>384</v>
      </c>
      <c r="X1" s="44" t="s">
        <v>416</v>
      </c>
      <c r="Y1" s="44" t="s">
        <v>242</v>
      </c>
      <c r="Z1" s="44" t="s">
        <v>191</v>
      </c>
      <c r="AA1" s="44" t="s">
        <v>894</v>
      </c>
      <c r="AB1" s="44" t="s">
        <v>636</v>
      </c>
      <c r="AC1" s="44" t="s">
        <v>251</v>
      </c>
    </row>
    <row r="2" spans="1:29" ht="40" customHeight="1" x14ac:dyDescent="0.2">
      <c r="A2" s="10">
        <v>1</v>
      </c>
      <c r="B2" s="10" t="s">
        <v>678</v>
      </c>
      <c r="C2" s="10" t="s">
        <v>677</v>
      </c>
      <c r="D2" s="10" t="s">
        <v>815</v>
      </c>
      <c r="E2" s="10" t="s">
        <v>393</v>
      </c>
      <c r="F2" s="10"/>
      <c r="G2" s="10" t="s">
        <v>58</v>
      </c>
      <c r="H2" s="10" t="s">
        <v>394</v>
      </c>
      <c r="I2" s="10" t="s">
        <v>70</v>
      </c>
      <c r="J2" s="10" t="s">
        <v>395</v>
      </c>
      <c r="K2" s="10" t="s">
        <v>396</v>
      </c>
      <c r="L2" s="10"/>
      <c r="M2" s="10">
        <v>13</v>
      </c>
      <c r="N2" s="10">
        <v>25</v>
      </c>
      <c r="O2" s="10" t="s">
        <v>470</v>
      </c>
      <c r="P2" s="10">
        <f>814*N2</f>
        <v>20350</v>
      </c>
      <c r="Q2" s="10">
        <f>260*25</f>
        <v>6500</v>
      </c>
      <c r="R2" s="10">
        <f>Q2/$O$3</f>
        <v>65</v>
      </c>
      <c r="S2" s="10" t="s">
        <v>65</v>
      </c>
      <c r="T2" s="10"/>
      <c r="U2" s="10">
        <f>945600+4032000+16176</f>
        <v>4993776</v>
      </c>
      <c r="V2" s="10" t="s">
        <v>244</v>
      </c>
      <c r="W2" s="43">
        <f t="shared" ref="W2:W7" si="0">U2/Q2</f>
        <v>768.27323076923074</v>
      </c>
      <c r="X2" s="10">
        <v>4</v>
      </c>
      <c r="Y2" s="43">
        <f>U2/(4*25)</f>
        <v>49937.760000000002</v>
      </c>
      <c r="Z2" s="10" t="s">
        <v>248</v>
      </c>
      <c r="AA2" s="10"/>
      <c r="AB2" s="10"/>
      <c r="AC2" s="11">
        <v>260</v>
      </c>
    </row>
    <row r="3" spans="1:29" ht="40" customHeight="1" x14ac:dyDescent="0.2">
      <c r="A3" s="10">
        <v>1</v>
      </c>
      <c r="B3" s="10" t="s">
        <v>676</v>
      </c>
      <c r="E3" s="10" t="s">
        <v>393</v>
      </c>
      <c r="F3" s="10"/>
      <c r="G3" s="10" t="s">
        <v>58</v>
      </c>
      <c r="H3" s="10" t="s">
        <v>394</v>
      </c>
      <c r="I3" s="10" t="s">
        <v>70</v>
      </c>
      <c r="J3" s="10" t="s">
        <v>395</v>
      </c>
      <c r="K3" s="10"/>
      <c r="L3" s="10"/>
      <c r="M3" s="10">
        <v>13</v>
      </c>
      <c r="N3" s="10">
        <v>25</v>
      </c>
      <c r="O3" s="10">
        <f>4*N2</f>
        <v>100</v>
      </c>
      <c r="P3" s="10"/>
      <c r="Q3" s="10">
        <f>260*25</f>
        <v>6500</v>
      </c>
      <c r="R3" s="10">
        <f>Q3/$O$3</f>
        <v>65</v>
      </c>
      <c r="S3" s="10" t="s">
        <v>30</v>
      </c>
      <c r="T3" s="10"/>
      <c r="U3" s="10">
        <f>37914+219600+6679</f>
        <v>264193</v>
      </c>
      <c r="V3" s="10" t="s">
        <v>244</v>
      </c>
      <c r="W3" s="43">
        <f>U3/Q3</f>
        <v>40.645076923076921</v>
      </c>
      <c r="X3" s="10">
        <v>4</v>
      </c>
      <c r="Y3" s="43">
        <f>U3/(4*25)</f>
        <v>2641.93</v>
      </c>
      <c r="Z3" s="10"/>
      <c r="AA3" s="10"/>
      <c r="AB3" s="10"/>
      <c r="AC3" s="11"/>
    </row>
    <row r="4" spans="1:29" ht="40" customHeight="1" x14ac:dyDescent="0.2">
      <c r="A4" s="10">
        <v>1</v>
      </c>
      <c r="B4" s="10" t="s">
        <v>676</v>
      </c>
      <c r="E4" s="10" t="s">
        <v>393</v>
      </c>
      <c r="F4" s="10"/>
      <c r="G4" s="10" t="s">
        <v>58</v>
      </c>
      <c r="H4" s="10" t="s">
        <v>394</v>
      </c>
      <c r="I4" s="10" t="s">
        <v>70</v>
      </c>
      <c r="J4" s="10" t="s">
        <v>395</v>
      </c>
      <c r="K4" s="10"/>
      <c r="L4" s="10"/>
      <c r="M4" s="10">
        <v>13</v>
      </c>
      <c r="N4" s="10">
        <v>25</v>
      </c>
      <c r="O4" s="10">
        <v>100</v>
      </c>
      <c r="P4" s="10"/>
      <c r="Q4" s="10">
        <f>260*25</f>
        <v>6500</v>
      </c>
      <c r="R4" s="10">
        <f>Q4/$O$3</f>
        <v>65</v>
      </c>
      <c r="S4" s="10" t="s">
        <v>67</v>
      </c>
      <c r="T4" s="10"/>
      <c r="U4" s="10">
        <v>52515</v>
      </c>
      <c r="V4" s="10" t="s">
        <v>244</v>
      </c>
      <c r="W4" s="43">
        <f t="shared" si="0"/>
        <v>8.0792307692307688</v>
      </c>
      <c r="X4" s="10">
        <v>4</v>
      </c>
      <c r="Y4" s="43">
        <f>U4/(4*25)</f>
        <v>525.15</v>
      </c>
      <c r="Z4" s="10"/>
      <c r="AA4" s="10"/>
      <c r="AB4" s="10"/>
      <c r="AC4" s="11"/>
    </row>
    <row r="5" spans="1:29" ht="40" customHeight="1" x14ac:dyDescent="0.2">
      <c r="A5" s="10">
        <v>1</v>
      </c>
      <c r="B5" s="10" t="s">
        <v>676</v>
      </c>
      <c r="E5" s="10" t="s">
        <v>393</v>
      </c>
      <c r="F5" s="10"/>
      <c r="G5" s="10" t="s">
        <v>215</v>
      </c>
      <c r="H5" s="10" t="s">
        <v>394</v>
      </c>
      <c r="I5" s="10" t="s">
        <v>439</v>
      </c>
      <c r="J5" s="10" t="s">
        <v>398</v>
      </c>
      <c r="K5" s="10" t="s">
        <v>397</v>
      </c>
      <c r="L5" s="10"/>
      <c r="M5" s="10">
        <v>3</v>
      </c>
      <c r="N5" s="10">
        <v>10</v>
      </c>
      <c r="O5" s="10" t="s">
        <v>469</v>
      </c>
      <c r="P5" s="10">
        <f>570*N5</f>
        <v>5700</v>
      </c>
      <c r="Q5" s="10">
        <f>110*N5</f>
        <v>1100</v>
      </c>
      <c r="R5" s="10">
        <f>Q5/$O$6</f>
        <v>22</v>
      </c>
      <c r="S5" s="10" t="s">
        <v>65</v>
      </c>
      <c r="T5" s="10"/>
      <c r="U5" s="10">
        <f>283200+1202400+172800</f>
        <v>1658400</v>
      </c>
      <c r="V5" s="10" t="s">
        <v>244</v>
      </c>
      <c r="W5" s="43">
        <f t="shared" si="0"/>
        <v>1507.6363636363637</v>
      </c>
      <c r="X5" s="10">
        <v>3</v>
      </c>
      <c r="Y5" s="43">
        <f>U5/(5*10)</f>
        <v>33168</v>
      </c>
      <c r="Z5" s="10"/>
      <c r="AA5" s="10"/>
      <c r="AB5" s="10"/>
      <c r="AC5" s="11">
        <v>110</v>
      </c>
    </row>
    <row r="6" spans="1:29" ht="40" customHeight="1" x14ac:dyDescent="0.2">
      <c r="A6" s="10">
        <v>1</v>
      </c>
      <c r="B6" s="10" t="s">
        <v>676</v>
      </c>
      <c r="E6" s="10" t="s">
        <v>393</v>
      </c>
      <c r="F6" s="10"/>
      <c r="G6" s="10" t="s">
        <v>215</v>
      </c>
      <c r="H6" s="10" t="s">
        <v>394</v>
      </c>
      <c r="I6" s="10" t="s">
        <v>439</v>
      </c>
      <c r="J6" s="10" t="s">
        <v>398</v>
      </c>
      <c r="K6" s="10"/>
      <c r="L6" s="10"/>
      <c r="M6" s="10">
        <v>3</v>
      </c>
      <c r="N6" s="10">
        <v>10</v>
      </c>
      <c r="O6" s="10">
        <f>5*N6</f>
        <v>50</v>
      </c>
      <c r="P6" s="10"/>
      <c r="Q6" s="10">
        <f>110*N6</f>
        <v>1100</v>
      </c>
      <c r="R6" s="10">
        <f>Q6/$O$6</f>
        <v>22</v>
      </c>
      <c r="S6" s="10" t="s">
        <v>30</v>
      </c>
      <c r="T6" s="10"/>
      <c r="U6" s="10">
        <f>12200+63014+7839</f>
        <v>83053</v>
      </c>
      <c r="V6" s="10" t="s">
        <v>244</v>
      </c>
      <c r="W6" s="43">
        <f t="shared" si="0"/>
        <v>75.50272727272727</v>
      </c>
      <c r="X6" s="10">
        <v>3</v>
      </c>
      <c r="Y6" s="43">
        <f>U6/(5*10)</f>
        <v>1661.06</v>
      </c>
      <c r="Z6" s="10"/>
      <c r="AA6" s="10"/>
      <c r="AB6" s="10"/>
      <c r="AC6" s="11"/>
    </row>
    <row r="7" spans="1:29" ht="40" customHeight="1" x14ac:dyDescent="0.2">
      <c r="A7" s="10">
        <v>1</v>
      </c>
      <c r="B7" s="10" t="s">
        <v>676</v>
      </c>
      <c r="E7" s="10" t="s">
        <v>393</v>
      </c>
      <c r="F7" s="10"/>
      <c r="G7" s="10" t="s">
        <v>215</v>
      </c>
      <c r="H7" s="10" t="s">
        <v>394</v>
      </c>
      <c r="I7" s="10" t="s">
        <v>439</v>
      </c>
      <c r="J7" s="10" t="s">
        <v>398</v>
      </c>
      <c r="K7" s="10"/>
      <c r="L7" s="10"/>
      <c r="M7" s="10">
        <v>3</v>
      </c>
      <c r="N7" s="10">
        <v>10</v>
      </c>
      <c r="O7" s="10">
        <v>50</v>
      </c>
      <c r="P7" s="10"/>
      <c r="Q7" s="10">
        <f>110*N7</f>
        <v>1100</v>
      </c>
      <c r="R7" s="10">
        <f>Q7/$O$6</f>
        <v>22</v>
      </c>
      <c r="S7" s="10" t="s">
        <v>67</v>
      </c>
      <c r="T7" s="10"/>
      <c r="U7" s="10">
        <v>10530</v>
      </c>
      <c r="V7" s="10" t="s">
        <v>244</v>
      </c>
      <c r="W7" s="43">
        <f t="shared" si="0"/>
        <v>9.5727272727272723</v>
      </c>
      <c r="X7" s="10">
        <v>3</v>
      </c>
      <c r="Y7" s="43">
        <f>U7/(5*10)</f>
        <v>210.6</v>
      </c>
      <c r="Z7" s="10"/>
      <c r="AA7" s="10"/>
      <c r="AB7" s="10"/>
      <c r="AC7" s="11"/>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rgb="FFFF0000"/>
  </sheetPr>
  <dimension ref="A1:AA1"/>
  <sheetViews>
    <sheetView zoomScaleNormal="100" workbookViewId="0"/>
  </sheetViews>
  <sheetFormatPr baseColWidth="10" defaultColWidth="8.83203125" defaultRowHeight="15" x14ac:dyDescent="0.2"/>
  <cols>
    <col min="1" max="1" width="4.5" customWidth="1"/>
    <col min="2" max="2" width="10.6640625" customWidth="1"/>
    <col min="3" max="4" width="13" customWidth="1"/>
    <col min="5" max="6" width="25" customWidth="1"/>
    <col min="8" max="8" width="16.33203125" customWidth="1"/>
    <col min="9" max="9" width="27.6640625" customWidth="1"/>
    <col min="10" max="10" width="16" customWidth="1"/>
    <col min="11" max="11" width="12.5" customWidth="1"/>
    <col min="12" max="13" width="22.5" customWidth="1"/>
    <col min="14" max="14" width="23" customWidth="1"/>
    <col min="15" max="15" width="13.33203125" customWidth="1"/>
    <col min="16" max="16" width="13.5" customWidth="1"/>
    <col min="17" max="17" width="12.1640625" customWidth="1"/>
    <col min="18" max="18" width="13.33203125" customWidth="1"/>
    <col min="19" max="19" width="11.5" customWidth="1"/>
    <col min="21" max="21" width="12.6640625" customWidth="1"/>
    <col min="24" max="24" width="10.1640625" customWidth="1"/>
  </cols>
  <sheetData>
    <row r="1" spans="1:27"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6" t="s">
        <v>195</v>
      </c>
      <c r="P1" s="44" t="s">
        <v>194</v>
      </c>
      <c r="Q1" s="44" t="s">
        <v>413</v>
      </c>
      <c r="R1" s="44" t="s">
        <v>414</v>
      </c>
      <c r="S1" s="44" t="s">
        <v>193</v>
      </c>
      <c r="T1" s="44" t="s">
        <v>419</v>
      </c>
      <c r="U1" s="44" t="s">
        <v>519</v>
      </c>
      <c r="V1" s="44" t="s">
        <v>192</v>
      </c>
      <c r="W1" s="44" t="s">
        <v>384</v>
      </c>
      <c r="X1" s="44" t="s">
        <v>416</v>
      </c>
      <c r="Y1" s="44" t="s">
        <v>242</v>
      </c>
      <c r="Z1" s="46" t="s">
        <v>191</v>
      </c>
      <c r="AA1" s="49" t="s">
        <v>190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rgb="FFFF0000"/>
  </sheetPr>
  <dimension ref="A1:AA1"/>
  <sheetViews>
    <sheetView zoomScaleNormal="100" workbookViewId="0"/>
  </sheetViews>
  <sheetFormatPr baseColWidth="10" defaultColWidth="8.83203125" defaultRowHeight="15" x14ac:dyDescent="0.2"/>
  <cols>
    <col min="1" max="1" width="4.6640625" customWidth="1"/>
    <col min="2" max="2" width="10.6640625" customWidth="1"/>
    <col min="3" max="4" width="13" customWidth="1"/>
    <col min="5" max="6" width="25" customWidth="1"/>
    <col min="8" max="8" width="16.33203125" customWidth="1"/>
    <col min="9" max="9" width="27.6640625" customWidth="1"/>
    <col min="10" max="10" width="16" customWidth="1"/>
    <col min="11" max="11" width="12.5" customWidth="1"/>
    <col min="12" max="13" width="22.5" customWidth="1"/>
    <col min="14" max="14" width="23" customWidth="1"/>
    <col min="15" max="15" width="13.33203125" customWidth="1"/>
    <col min="16" max="16" width="13.5" customWidth="1"/>
    <col min="17" max="17" width="12.1640625" customWidth="1"/>
    <col min="18" max="18" width="13.33203125" customWidth="1"/>
    <col min="19" max="19" width="11.5" customWidth="1"/>
    <col min="21" max="21" width="11.1640625" customWidth="1"/>
    <col min="24" max="24" width="10.1640625" customWidth="1"/>
  </cols>
  <sheetData>
    <row r="1" spans="1:27"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6" t="s">
        <v>195</v>
      </c>
      <c r="P1" s="44" t="s">
        <v>194</v>
      </c>
      <c r="Q1" s="44" t="s">
        <v>413</v>
      </c>
      <c r="R1" s="44" t="s">
        <v>414</v>
      </c>
      <c r="S1" s="44" t="s">
        <v>193</v>
      </c>
      <c r="T1" s="44" t="s">
        <v>419</v>
      </c>
      <c r="U1" s="44" t="s">
        <v>519</v>
      </c>
      <c r="V1" s="44" t="s">
        <v>192</v>
      </c>
      <c r="W1" s="44" t="s">
        <v>384</v>
      </c>
      <c r="X1" s="44" t="s">
        <v>416</v>
      </c>
      <c r="Y1" s="44" t="s">
        <v>242</v>
      </c>
      <c r="Z1" s="44" t="s">
        <v>191</v>
      </c>
      <c r="AA1" s="49" t="s">
        <v>190</v>
      </c>
    </row>
  </sheetData>
  <pageMargins left="0.7" right="0.7" top="0.75" bottom="0.75" header="0.3" footer="0.3"/>
  <pageSetup paperSize="9" orientation="portrait" horizontalDpi="0"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rgb="FFFF0000"/>
  </sheetPr>
  <dimension ref="A1:AA1"/>
  <sheetViews>
    <sheetView zoomScaleNormal="100" workbookViewId="0"/>
  </sheetViews>
  <sheetFormatPr baseColWidth="10" defaultColWidth="8.83203125" defaultRowHeight="15" x14ac:dyDescent="0.2"/>
  <cols>
    <col min="1" max="1" width="4.6640625" customWidth="1"/>
    <col min="2" max="2" width="10.6640625" customWidth="1"/>
    <col min="3" max="4" width="13" customWidth="1"/>
    <col min="5" max="6" width="25" customWidth="1"/>
    <col min="8" max="8" width="16.33203125" customWidth="1"/>
    <col min="9" max="9" width="27.6640625" customWidth="1"/>
    <col min="10" max="10" width="16" customWidth="1"/>
    <col min="11" max="11" width="12.5" customWidth="1"/>
    <col min="12" max="13" width="22.5" customWidth="1"/>
    <col min="14" max="14" width="23" customWidth="1"/>
    <col min="15" max="15" width="13.33203125" customWidth="1"/>
    <col min="16" max="16" width="13.5" customWidth="1"/>
    <col min="17" max="17" width="12.1640625" customWidth="1"/>
    <col min="18" max="18" width="13.33203125" customWidth="1"/>
    <col min="19" max="19" width="11.5" customWidth="1"/>
    <col min="21" max="21" width="11.1640625" customWidth="1"/>
    <col min="24" max="24" width="10.1640625" customWidth="1"/>
  </cols>
  <sheetData>
    <row r="1" spans="1:27"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6" t="s">
        <v>195</v>
      </c>
      <c r="P1" s="44" t="s">
        <v>194</v>
      </c>
      <c r="Q1" s="44" t="s">
        <v>413</v>
      </c>
      <c r="R1" s="44" t="s">
        <v>414</v>
      </c>
      <c r="S1" s="44" t="s">
        <v>193</v>
      </c>
      <c r="T1" s="44" t="s">
        <v>419</v>
      </c>
      <c r="U1" s="44" t="s">
        <v>519</v>
      </c>
      <c r="V1" s="44" t="s">
        <v>192</v>
      </c>
      <c r="W1" s="44" t="s">
        <v>384</v>
      </c>
      <c r="X1" s="44" t="s">
        <v>416</v>
      </c>
      <c r="Y1" s="44" t="s">
        <v>242</v>
      </c>
      <c r="Z1" s="44" t="s">
        <v>191</v>
      </c>
      <c r="AA1" s="44" t="s">
        <v>190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I36"/>
  <sheetViews>
    <sheetView topLeftCell="A4" zoomScaleNormal="100" workbookViewId="0">
      <selection activeCell="B14" sqref="B14"/>
    </sheetView>
  </sheetViews>
  <sheetFormatPr baseColWidth="10" defaultColWidth="8.83203125" defaultRowHeight="15" x14ac:dyDescent="0.2"/>
  <cols>
    <col min="1" max="1" width="7.33203125" customWidth="1"/>
    <col min="2" max="2" width="12.83203125" customWidth="1"/>
    <col min="3" max="3" width="43.1640625" customWidth="1"/>
    <col min="4" max="4" width="20.1640625" customWidth="1"/>
    <col min="5" max="5" width="17" customWidth="1"/>
    <col min="6" max="6" width="22" customWidth="1"/>
    <col min="7" max="7" width="20.5" customWidth="1"/>
    <col min="8" max="8" width="13.5" customWidth="1"/>
    <col min="9" max="9" width="12.6640625" customWidth="1"/>
  </cols>
  <sheetData>
    <row r="2" spans="1:9" ht="24" customHeight="1" x14ac:dyDescent="0.2">
      <c r="B2" s="73" t="s">
        <v>856</v>
      </c>
    </row>
    <row r="3" spans="1:9" ht="32.25" customHeight="1" x14ac:dyDescent="0.2">
      <c r="A3" s="4"/>
      <c r="B3" s="8" t="s">
        <v>291</v>
      </c>
      <c r="C3" s="11" t="s">
        <v>234</v>
      </c>
      <c r="D3" s="11" t="s">
        <v>609</v>
      </c>
      <c r="E3" s="11" t="s">
        <v>610</v>
      </c>
      <c r="F3" s="11" t="s">
        <v>607</v>
      </c>
      <c r="G3" s="11" t="s">
        <v>608</v>
      </c>
      <c r="H3" s="11" t="s">
        <v>237</v>
      </c>
      <c r="I3" s="11" t="s">
        <v>215</v>
      </c>
    </row>
    <row r="4" spans="1:9" ht="26.25" customHeight="1" x14ac:dyDescent="0.2">
      <c r="A4" s="29"/>
      <c r="B4" s="23"/>
      <c r="C4" s="22" t="s">
        <v>8</v>
      </c>
      <c r="D4" s="19" t="s">
        <v>232</v>
      </c>
      <c r="E4" s="25"/>
      <c r="F4" s="19"/>
      <c r="G4" s="19" t="s">
        <v>232</v>
      </c>
      <c r="H4" s="19" t="s">
        <v>232</v>
      </c>
      <c r="I4" s="24"/>
    </row>
    <row r="5" spans="1:9" ht="25" customHeight="1" x14ac:dyDescent="0.2">
      <c r="A5" s="29"/>
      <c r="B5" s="39"/>
      <c r="C5" s="22" t="s">
        <v>10</v>
      </c>
      <c r="D5" s="19" t="s">
        <v>232</v>
      </c>
      <c r="E5" s="25"/>
      <c r="F5" s="19" t="s">
        <v>232</v>
      </c>
      <c r="G5" s="19" t="s">
        <v>232</v>
      </c>
      <c r="H5" s="19" t="s">
        <v>232</v>
      </c>
      <c r="I5" s="24"/>
    </row>
    <row r="6" spans="1:9" ht="25" customHeight="1" x14ac:dyDescent="0.2">
      <c r="A6" s="29"/>
      <c r="B6" s="38"/>
      <c r="C6" s="27" t="s">
        <v>11</v>
      </c>
      <c r="D6" s="19"/>
      <c r="E6" s="25"/>
      <c r="F6" s="19"/>
      <c r="G6" s="19"/>
      <c r="H6" s="19"/>
      <c r="I6" s="24"/>
    </row>
    <row r="7" spans="1:9" ht="25" customHeight="1" x14ac:dyDescent="0.2">
      <c r="A7" s="29"/>
      <c r="B7" s="38"/>
      <c r="C7" s="75" t="s">
        <v>12</v>
      </c>
      <c r="D7" s="19" t="s">
        <v>232</v>
      </c>
      <c r="E7" s="25" t="s">
        <v>232</v>
      </c>
      <c r="F7" s="19"/>
      <c r="G7" s="19"/>
      <c r="H7" s="19"/>
      <c r="I7" s="24"/>
    </row>
    <row r="8" spans="1:9" ht="25" customHeight="1" x14ac:dyDescent="0.2">
      <c r="A8" s="29"/>
      <c r="B8" s="39"/>
      <c r="C8" s="20" t="s">
        <v>9</v>
      </c>
      <c r="D8" s="14" t="s">
        <v>232</v>
      </c>
      <c r="E8" s="15"/>
      <c r="F8" s="14" t="s">
        <v>232</v>
      </c>
      <c r="G8" s="14" t="s">
        <v>232</v>
      </c>
      <c r="H8" s="14" t="s">
        <v>232</v>
      </c>
      <c r="I8" s="13"/>
    </row>
    <row r="9" spans="1:9" ht="25" customHeight="1" x14ac:dyDescent="0.2">
      <c r="A9" s="29"/>
      <c r="B9" s="39"/>
      <c r="C9" s="26" t="s">
        <v>272</v>
      </c>
      <c r="D9" s="19" t="s">
        <v>232</v>
      </c>
      <c r="E9" s="19" t="s">
        <v>232</v>
      </c>
      <c r="F9" s="19" t="s">
        <v>232</v>
      </c>
      <c r="G9" s="19"/>
      <c r="H9" s="19" t="s">
        <v>232</v>
      </c>
      <c r="I9" s="24"/>
    </row>
    <row r="10" spans="1:9" ht="25" customHeight="1" x14ac:dyDescent="0.2">
      <c r="A10" s="29"/>
      <c r="B10" s="38"/>
      <c r="C10" s="27" t="s">
        <v>14</v>
      </c>
      <c r="D10" s="19"/>
      <c r="E10" s="25"/>
      <c r="F10" s="19"/>
      <c r="G10" s="19"/>
      <c r="H10" s="19"/>
      <c r="I10" s="24"/>
    </row>
    <row r="11" spans="1:9" ht="25" customHeight="1" x14ac:dyDescent="0.2">
      <c r="A11" s="29"/>
      <c r="B11" s="28"/>
      <c r="C11" s="22" t="s">
        <v>615</v>
      </c>
      <c r="D11" s="19" t="s">
        <v>232</v>
      </c>
      <c r="E11" s="25"/>
      <c r="F11" s="19" t="s">
        <v>232</v>
      </c>
      <c r="G11" s="19"/>
      <c r="H11" s="19" t="s">
        <v>232</v>
      </c>
      <c r="I11" s="24"/>
    </row>
    <row r="12" spans="1:9" ht="25" customHeight="1" x14ac:dyDescent="0.2">
      <c r="A12" s="29"/>
      <c r="B12" s="38"/>
      <c r="C12" s="27" t="s">
        <v>236</v>
      </c>
      <c r="D12" s="19"/>
      <c r="E12" s="25"/>
      <c r="F12" s="19"/>
      <c r="G12" s="19"/>
      <c r="H12" s="19"/>
      <c r="I12" s="24"/>
    </row>
    <row r="13" spans="1:9" ht="25" customHeight="1" x14ac:dyDescent="0.2">
      <c r="A13" s="29"/>
      <c r="B13" s="37"/>
      <c r="C13" s="22" t="s">
        <v>239</v>
      </c>
      <c r="D13" s="19" t="s">
        <v>232</v>
      </c>
      <c r="E13" s="25"/>
      <c r="F13" s="19"/>
      <c r="G13" s="19" t="s">
        <v>232</v>
      </c>
      <c r="H13" s="19" t="s">
        <v>232</v>
      </c>
      <c r="I13" s="24" t="s">
        <v>232</v>
      </c>
    </row>
    <row r="14" spans="1:9" ht="25" customHeight="1" x14ac:dyDescent="0.2">
      <c r="A14" s="29"/>
      <c r="B14" s="39"/>
      <c r="C14" s="22" t="s">
        <v>230</v>
      </c>
      <c r="D14" s="19" t="s">
        <v>232</v>
      </c>
      <c r="E14" s="25" t="s">
        <v>232</v>
      </c>
      <c r="F14" s="19" t="s">
        <v>232</v>
      </c>
      <c r="G14" s="19" t="s">
        <v>232</v>
      </c>
      <c r="H14" s="19" t="s">
        <v>232</v>
      </c>
      <c r="I14" s="24" t="s">
        <v>232</v>
      </c>
    </row>
    <row r="15" spans="1:9" ht="25" customHeight="1" x14ac:dyDescent="0.2">
      <c r="A15" s="29"/>
      <c r="B15" s="39"/>
      <c r="C15" s="22" t="s">
        <v>231</v>
      </c>
      <c r="D15" s="19" t="s">
        <v>232</v>
      </c>
      <c r="E15" s="25"/>
      <c r="F15" s="19" t="s">
        <v>232</v>
      </c>
      <c r="G15" s="19" t="s">
        <v>232</v>
      </c>
      <c r="H15" s="19" t="s">
        <v>232</v>
      </c>
      <c r="I15" s="24"/>
    </row>
    <row r="16" spans="1:9" ht="25" customHeight="1" x14ac:dyDescent="0.2">
      <c r="A16" s="29"/>
      <c r="B16" s="28"/>
      <c r="C16" s="22" t="s">
        <v>15</v>
      </c>
      <c r="D16" s="19"/>
      <c r="E16" s="25"/>
      <c r="F16" s="19" t="s">
        <v>232</v>
      </c>
      <c r="G16" s="19" t="s">
        <v>232</v>
      </c>
      <c r="H16" s="19" t="s">
        <v>232</v>
      </c>
      <c r="I16" s="24" t="s">
        <v>232</v>
      </c>
    </row>
    <row r="17" spans="1:9" ht="25" customHeight="1" x14ac:dyDescent="0.2">
      <c r="A17" s="29"/>
      <c r="B17" s="38"/>
      <c r="C17" s="27" t="s">
        <v>16</v>
      </c>
      <c r="D17" s="19"/>
      <c r="E17" s="25"/>
      <c r="F17" s="19"/>
      <c r="G17" s="19"/>
      <c r="H17" s="19"/>
      <c r="I17" s="24"/>
    </row>
    <row r="18" spans="1:9" ht="25" customHeight="1" x14ac:dyDescent="0.2">
      <c r="A18" s="29"/>
      <c r="B18" s="38"/>
      <c r="C18" s="27" t="s">
        <v>504</v>
      </c>
      <c r="D18" s="19"/>
      <c r="E18" s="25"/>
      <c r="F18" s="19"/>
      <c r="G18" s="19"/>
      <c r="H18" s="19"/>
      <c r="I18" s="24"/>
    </row>
    <row r="19" spans="1:9" ht="25" customHeight="1" x14ac:dyDescent="0.2">
      <c r="A19" s="29"/>
      <c r="B19" s="38"/>
      <c r="C19" s="27" t="s">
        <v>27</v>
      </c>
      <c r="D19" s="24"/>
      <c r="E19" s="25"/>
      <c r="F19" s="19"/>
      <c r="G19" s="19"/>
      <c r="H19" s="19"/>
      <c r="I19" s="24"/>
    </row>
    <row r="20" spans="1:9" ht="25" customHeight="1" x14ac:dyDescent="0.2">
      <c r="A20" s="4"/>
      <c r="B20" s="28"/>
      <c r="C20" s="26" t="s">
        <v>238</v>
      </c>
      <c r="D20" s="24" t="s">
        <v>232</v>
      </c>
      <c r="E20" s="25"/>
      <c r="F20" s="19" t="s">
        <v>232</v>
      </c>
      <c r="G20" s="19"/>
      <c r="H20" s="19" t="s">
        <v>232</v>
      </c>
      <c r="I20" s="24"/>
    </row>
    <row r="21" spans="1:9" ht="25" customHeight="1" x14ac:dyDescent="0.2">
      <c r="A21" s="29"/>
      <c r="B21" s="39"/>
      <c r="C21" s="22" t="s">
        <v>25</v>
      </c>
      <c r="D21" s="24" t="s">
        <v>232</v>
      </c>
      <c r="E21" s="25"/>
      <c r="F21" s="19" t="s">
        <v>232</v>
      </c>
      <c r="G21" s="19" t="s">
        <v>232</v>
      </c>
      <c r="H21" s="19" t="s">
        <v>232</v>
      </c>
      <c r="I21" s="24"/>
    </row>
    <row r="22" spans="1:9" ht="25" customHeight="1" x14ac:dyDescent="0.2">
      <c r="A22" s="29"/>
      <c r="B22" s="40"/>
      <c r="C22" s="20" t="s">
        <v>24</v>
      </c>
      <c r="D22" s="13"/>
      <c r="E22" s="15"/>
      <c r="F22" s="14" t="s">
        <v>232</v>
      </c>
      <c r="G22" s="14" t="s">
        <v>232</v>
      </c>
      <c r="H22" s="14" t="s">
        <v>232</v>
      </c>
      <c r="I22" s="13"/>
    </row>
    <row r="23" spans="1:9" ht="25" customHeight="1" x14ac:dyDescent="0.2">
      <c r="A23" s="29"/>
      <c r="B23" s="39"/>
      <c r="C23" s="22" t="s">
        <v>23</v>
      </c>
      <c r="D23" s="24" t="s">
        <v>232</v>
      </c>
      <c r="E23" s="25"/>
      <c r="F23" s="19" t="s">
        <v>232</v>
      </c>
      <c r="G23" s="19" t="s">
        <v>232</v>
      </c>
      <c r="H23" s="19" t="s">
        <v>232</v>
      </c>
      <c r="I23" s="24" t="s">
        <v>232</v>
      </c>
    </row>
    <row r="24" spans="1:9" ht="25" customHeight="1" x14ac:dyDescent="0.2">
      <c r="A24" s="29"/>
      <c r="B24" s="28"/>
      <c r="C24" s="26" t="s">
        <v>616</v>
      </c>
      <c r="D24" s="24"/>
      <c r="E24" s="25" t="s">
        <v>232</v>
      </c>
      <c r="F24" s="19" t="s">
        <v>232</v>
      </c>
      <c r="G24" s="19"/>
      <c r="H24" s="19" t="s">
        <v>232</v>
      </c>
      <c r="I24" s="24"/>
    </row>
    <row r="25" spans="1:9" ht="25" customHeight="1" x14ac:dyDescent="0.2">
      <c r="A25" s="29"/>
      <c r="B25" s="28"/>
      <c r="C25" s="22" t="s">
        <v>18</v>
      </c>
      <c r="D25" s="24" t="s">
        <v>232</v>
      </c>
      <c r="E25" s="25"/>
      <c r="F25" s="19"/>
      <c r="G25" s="19" t="s">
        <v>232</v>
      </c>
      <c r="H25" s="19" t="s">
        <v>232</v>
      </c>
      <c r="I25" s="24"/>
    </row>
    <row r="26" spans="1:9" ht="25" customHeight="1" x14ac:dyDescent="0.2">
      <c r="A26" s="29"/>
      <c r="B26" s="37"/>
      <c r="C26" s="22" t="s">
        <v>22</v>
      </c>
      <c r="D26" s="24" t="s">
        <v>232</v>
      </c>
      <c r="E26" s="25"/>
      <c r="F26" s="19"/>
      <c r="G26" s="19" t="s">
        <v>232</v>
      </c>
      <c r="H26" s="19" t="s">
        <v>232</v>
      </c>
      <c r="I26" s="24"/>
    </row>
    <row r="27" spans="1:9" ht="25" customHeight="1" x14ac:dyDescent="0.2">
      <c r="A27" s="29"/>
      <c r="B27" s="41"/>
      <c r="C27" s="20" t="s">
        <v>233</v>
      </c>
      <c r="D27" s="13" t="s">
        <v>232</v>
      </c>
      <c r="E27" s="15" t="s">
        <v>232</v>
      </c>
      <c r="F27" s="14" t="s">
        <v>232</v>
      </c>
      <c r="G27" s="14" t="s">
        <v>232</v>
      </c>
      <c r="H27" s="14" t="s">
        <v>232</v>
      </c>
      <c r="I27" s="13"/>
    </row>
    <row r="28" spans="1:9" ht="25" customHeight="1" x14ac:dyDescent="0.2">
      <c r="A28" s="29"/>
      <c r="B28" s="37"/>
      <c r="C28" s="20" t="s">
        <v>606</v>
      </c>
      <c r="D28" s="24" t="s">
        <v>232</v>
      </c>
      <c r="E28" s="25"/>
      <c r="F28" s="19"/>
      <c r="G28" s="19" t="s">
        <v>232</v>
      </c>
      <c r="H28" s="19" t="s">
        <v>232</v>
      </c>
      <c r="I28" s="67"/>
    </row>
    <row r="29" spans="1:9" ht="25" customHeight="1" x14ac:dyDescent="0.2">
      <c r="A29" s="29"/>
      <c r="B29" s="38"/>
      <c r="C29" s="21" t="s">
        <v>19</v>
      </c>
      <c r="D29" s="13"/>
      <c r="E29" s="17"/>
      <c r="F29" s="16"/>
      <c r="G29" s="16"/>
      <c r="H29" s="16"/>
      <c r="I29" s="18"/>
    </row>
    <row r="30" spans="1:9" x14ac:dyDescent="0.2">
      <c r="B30" s="51"/>
      <c r="C30" s="51"/>
    </row>
    <row r="31" spans="1:9" x14ac:dyDescent="0.2">
      <c r="B31" s="76"/>
      <c r="C31" s="76"/>
    </row>
    <row r="32" spans="1:9" ht="16" customHeight="1" x14ac:dyDescent="0.2">
      <c r="A32" s="53"/>
      <c r="B32" s="77" t="s">
        <v>787</v>
      </c>
      <c r="C32" s="78"/>
    </row>
    <row r="33" spans="1:3" x14ac:dyDescent="0.2">
      <c r="A33" s="53"/>
      <c r="B33" s="38"/>
      <c r="C33" s="54" t="s">
        <v>611</v>
      </c>
    </row>
    <row r="34" spans="1:3" x14ac:dyDescent="0.2">
      <c r="A34" s="53"/>
      <c r="B34" s="37"/>
      <c r="C34" s="56" t="s">
        <v>612</v>
      </c>
    </row>
    <row r="35" spans="1:3" x14ac:dyDescent="0.2">
      <c r="A35" s="53"/>
      <c r="B35" s="28"/>
      <c r="C35" s="55" t="s">
        <v>613</v>
      </c>
    </row>
    <row r="36" spans="1:3" x14ac:dyDescent="0.2">
      <c r="A36" s="53"/>
      <c r="B36" s="39"/>
      <c r="C36" s="57" t="s">
        <v>614</v>
      </c>
    </row>
  </sheetData>
  <mergeCells count="2">
    <mergeCell ref="B31:C31"/>
    <mergeCell ref="B32:C32"/>
  </mergeCells>
  <pageMargins left="0.7" right="0.7" top="0.75" bottom="0.75" header="0.3" footer="0.3"/>
  <pageSetup paperSize="9" orientation="portrait" horizontalDpi="0" verticalDpi="0" r:id="rId1"/>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rgb="FF92D050"/>
  </sheetPr>
  <dimension ref="A1:AC13"/>
  <sheetViews>
    <sheetView zoomScaleNormal="100" workbookViewId="0"/>
  </sheetViews>
  <sheetFormatPr baseColWidth="10" defaultColWidth="9.1640625" defaultRowHeight="15" x14ac:dyDescent="0.2"/>
  <cols>
    <col min="1" max="1" width="4.5" style="11" customWidth="1"/>
    <col min="2" max="2" width="14.6640625" style="11" customWidth="1"/>
    <col min="3" max="3" width="32.1640625" style="11" customWidth="1"/>
    <col min="4" max="4" width="20.5" style="11" customWidth="1"/>
    <col min="5" max="6" width="28.5" style="10" customWidth="1"/>
    <col min="7" max="7" width="9.1640625" style="10"/>
    <col min="8" max="8" width="16.33203125" style="11" customWidth="1"/>
    <col min="9" max="9" width="27.6640625" style="11" customWidth="1"/>
    <col min="10" max="10" width="16" style="11" customWidth="1"/>
    <col min="11" max="11" width="47" style="11" customWidth="1"/>
    <col min="12" max="13" width="22.5" style="11" customWidth="1"/>
    <col min="14" max="14" width="23" style="11" customWidth="1"/>
    <col min="15" max="15" width="13.33203125" style="11" customWidth="1"/>
    <col min="16" max="16" width="13.5" style="11" customWidth="1"/>
    <col min="17" max="18" width="12.1640625" style="11" customWidth="1"/>
    <col min="19" max="19" width="13.33203125" style="11" customWidth="1"/>
    <col min="20" max="22" width="11.5" style="11" customWidth="1"/>
    <col min="23" max="23" width="12.83203125" style="30" customWidth="1"/>
    <col min="24" max="25" width="9.1640625" style="11"/>
    <col min="26" max="26" width="15.6640625" style="11" bestFit="1" customWidth="1"/>
    <col min="27" max="27" width="10.1640625" style="11" customWidth="1"/>
    <col min="28" max="28" width="30.6640625" style="10" customWidth="1"/>
    <col min="29" max="29" width="22.33203125" style="11" customWidth="1"/>
    <col min="30" max="16384" width="9.1640625" style="11"/>
  </cols>
  <sheetData>
    <row r="1" spans="1:29" ht="53.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241</v>
      </c>
      <c r="R1" s="44" t="s">
        <v>414</v>
      </c>
      <c r="S1" s="44" t="s">
        <v>193</v>
      </c>
      <c r="T1" s="44" t="s">
        <v>419</v>
      </c>
      <c r="U1" s="44" t="s">
        <v>519</v>
      </c>
      <c r="V1" s="44" t="s">
        <v>192</v>
      </c>
      <c r="W1" s="44" t="s">
        <v>384</v>
      </c>
      <c r="X1" s="44" t="s">
        <v>416</v>
      </c>
      <c r="Y1" s="44" t="s">
        <v>192</v>
      </c>
      <c r="Z1" s="44" t="s">
        <v>242</v>
      </c>
      <c r="AA1" s="44" t="s">
        <v>191</v>
      </c>
      <c r="AB1" s="44" t="s">
        <v>894</v>
      </c>
      <c r="AC1" s="44" t="s">
        <v>636</v>
      </c>
    </row>
    <row r="2" spans="1:29" ht="40" customHeight="1" x14ac:dyDescent="0.2">
      <c r="A2" s="10">
        <v>1</v>
      </c>
      <c r="B2" s="10" t="s">
        <v>680</v>
      </c>
      <c r="C2" s="10" t="s">
        <v>399</v>
      </c>
      <c r="D2" s="10" t="s">
        <v>816</v>
      </c>
      <c r="E2" s="10" t="s">
        <v>553</v>
      </c>
      <c r="F2" s="10" t="s">
        <v>554</v>
      </c>
      <c r="G2" s="10" t="s">
        <v>58</v>
      </c>
      <c r="H2" s="10"/>
      <c r="I2" s="10" t="s">
        <v>439</v>
      </c>
      <c r="J2" s="10" t="s">
        <v>400</v>
      </c>
      <c r="K2" s="10" t="s">
        <v>401</v>
      </c>
      <c r="L2" s="10" t="s">
        <v>818</v>
      </c>
      <c r="M2" s="10">
        <v>4</v>
      </c>
      <c r="N2" s="10">
        <v>8</v>
      </c>
      <c r="O2" s="10">
        <f>4*N2</f>
        <v>32</v>
      </c>
      <c r="P2" s="10"/>
      <c r="Q2" s="10">
        <v>904</v>
      </c>
      <c r="R2" s="10">
        <f t="shared" ref="R2:R8" si="0">Q2/O2</f>
        <v>28.25</v>
      </c>
      <c r="S2" s="10" t="s">
        <v>65</v>
      </c>
      <c r="T2" s="9">
        <v>2320</v>
      </c>
      <c r="U2" s="43">
        <f>240.5+510.1</f>
        <v>750.6</v>
      </c>
      <c r="V2" s="10" t="s">
        <v>1</v>
      </c>
      <c r="W2" s="43">
        <f>T2*U2/Q2</f>
        <v>1926.3185840707965</v>
      </c>
      <c r="X2" s="10">
        <v>3</v>
      </c>
      <c r="Y2" s="10" t="s">
        <v>244</v>
      </c>
      <c r="Z2" s="43">
        <f t="shared" ref="Z2:Z13" si="1">U2/O2</f>
        <v>23.456250000000001</v>
      </c>
      <c r="AA2" s="10" t="s">
        <v>248</v>
      </c>
      <c r="AB2" s="10" t="s">
        <v>403</v>
      </c>
      <c r="AC2" s="11" t="s">
        <v>402</v>
      </c>
    </row>
    <row r="3" spans="1:29" ht="40" customHeight="1" x14ac:dyDescent="0.2">
      <c r="A3" s="10">
        <v>1</v>
      </c>
      <c r="B3" s="10" t="s">
        <v>679</v>
      </c>
      <c r="C3" s="10"/>
      <c r="D3" s="10"/>
      <c r="E3" s="10" t="s">
        <v>553</v>
      </c>
      <c r="G3" s="10" t="s">
        <v>58</v>
      </c>
      <c r="H3" s="10"/>
      <c r="I3" s="10" t="s">
        <v>439</v>
      </c>
      <c r="J3" s="10" t="s">
        <v>400</v>
      </c>
      <c r="K3" s="10"/>
      <c r="L3" s="10" t="s">
        <v>819</v>
      </c>
      <c r="M3" s="10">
        <v>4</v>
      </c>
      <c r="N3" s="10">
        <v>8</v>
      </c>
      <c r="O3" s="10">
        <f>4*N3</f>
        <v>32</v>
      </c>
      <c r="P3" s="10"/>
      <c r="Q3" s="10">
        <f>113*N3</f>
        <v>904</v>
      </c>
      <c r="R3" s="10">
        <f t="shared" si="0"/>
        <v>28.25</v>
      </c>
      <c r="S3" s="10" t="s">
        <v>30</v>
      </c>
      <c r="T3" s="10">
        <v>7850</v>
      </c>
      <c r="U3" s="43">
        <v>38.6</v>
      </c>
      <c r="V3" s="10" t="s">
        <v>1</v>
      </c>
      <c r="W3" s="43">
        <f>T3*U3/Q3</f>
        <v>335.18805309734512</v>
      </c>
      <c r="X3" s="10">
        <v>3</v>
      </c>
      <c r="Y3" s="10" t="s">
        <v>244</v>
      </c>
      <c r="Z3" s="43">
        <f t="shared" si="1"/>
        <v>1.20625</v>
      </c>
      <c r="AA3" s="10" t="s">
        <v>248</v>
      </c>
    </row>
    <row r="4" spans="1:29" ht="40" customHeight="1" x14ac:dyDescent="0.2">
      <c r="A4" s="10">
        <v>2</v>
      </c>
      <c r="B4" s="10" t="s">
        <v>681</v>
      </c>
      <c r="C4" s="10" t="s">
        <v>817</v>
      </c>
      <c r="D4" s="10"/>
      <c r="E4" s="10" t="s">
        <v>556</v>
      </c>
      <c r="G4" s="10" t="s">
        <v>58</v>
      </c>
      <c r="H4" s="10"/>
      <c r="I4" s="10" t="s">
        <v>389</v>
      </c>
      <c r="J4" s="10" t="s">
        <v>400</v>
      </c>
      <c r="K4" s="10"/>
      <c r="L4" s="10">
        <v>2013</v>
      </c>
      <c r="M4" s="10">
        <v>2</v>
      </c>
      <c r="N4" s="10">
        <v>1</v>
      </c>
      <c r="O4" s="10">
        <f>4*N4</f>
        <v>4</v>
      </c>
      <c r="P4" s="48">
        <v>367.3</v>
      </c>
      <c r="Q4" s="10">
        <f t="shared" ref="Q4:Q13" si="2">P4*0.9</f>
        <v>330.57</v>
      </c>
      <c r="R4" s="10">
        <f t="shared" si="0"/>
        <v>82.642499999999998</v>
      </c>
      <c r="S4" s="10" t="s">
        <v>65</v>
      </c>
      <c r="T4" s="10"/>
      <c r="U4" s="43">
        <v>1012340</v>
      </c>
      <c r="V4" s="10" t="s">
        <v>244</v>
      </c>
      <c r="W4" s="43">
        <f>U4/Q4</f>
        <v>3062.4073569894426</v>
      </c>
      <c r="X4" s="10">
        <v>1</v>
      </c>
      <c r="Y4" s="10" t="s">
        <v>244</v>
      </c>
      <c r="Z4" s="43">
        <f t="shared" si="1"/>
        <v>253085</v>
      </c>
      <c r="AA4" s="10" t="s">
        <v>248</v>
      </c>
      <c r="AB4" s="10" t="s">
        <v>557</v>
      </c>
    </row>
    <row r="5" spans="1:29" ht="40" customHeight="1" x14ac:dyDescent="0.2">
      <c r="A5" s="10">
        <v>2</v>
      </c>
      <c r="B5" s="10" t="s">
        <v>555</v>
      </c>
      <c r="C5" s="10"/>
      <c r="D5" s="10"/>
      <c r="E5" s="10" t="s">
        <v>556</v>
      </c>
      <c r="G5" s="10" t="s">
        <v>58</v>
      </c>
      <c r="H5" s="10"/>
      <c r="I5" s="10" t="s">
        <v>389</v>
      </c>
      <c r="J5" s="10" t="s">
        <v>400</v>
      </c>
      <c r="K5" s="10"/>
      <c r="L5" s="10">
        <v>2013</v>
      </c>
      <c r="M5" s="10">
        <v>2</v>
      </c>
      <c r="N5" s="10">
        <v>1</v>
      </c>
      <c r="O5" s="10">
        <v>4</v>
      </c>
      <c r="P5" s="48">
        <v>367.3</v>
      </c>
      <c r="Q5" s="10">
        <f t="shared" si="2"/>
        <v>330.57</v>
      </c>
      <c r="R5" s="10">
        <f t="shared" si="0"/>
        <v>82.642499999999998</v>
      </c>
      <c r="S5" s="10" t="s">
        <v>30</v>
      </c>
      <c r="T5" s="10"/>
      <c r="U5" s="43">
        <f>32173+1728</f>
        <v>33901</v>
      </c>
      <c r="V5" s="10" t="s">
        <v>244</v>
      </c>
      <c r="W5" s="43">
        <f>U5/Q5</f>
        <v>102.55316574401792</v>
      </c>
      <c r="X5" s="10">
        <v>1</v>
      </c>
      <c r="Y5" s="10" t="s">
        <v>244</v>
      </c>
      <c r="Z5" s="43">
        <f t="shared" si="1"/>
        <v>8475.25</v>
      </c>
      <c r="AA5" s="10" t="s">
        <v>248</v>
      </c>
      <c r="AB5" s="10" t="s">
        <v>558</v>
      </c>
    </row>
    <row r="6" spans="1:29" ht="40" customHeight="1" x14ac:dyDescent="0.2">
      <c r="A6" s="10">
        <v>2</v>
      </c>
      <c r="B6" s="10" t="s">
        <v>555</v>
      </c>
      <c r="C6" s="10"/>
      <c r="D6" s="10"/>
      <c r="E6" s="10" t="s">
        <v>556</v>
      </c>
      <c r="G6" s="10" t="s">
        <v>58</v>
      </c>
      <c r="H6" s="10"/>
      <c r="I6" s="10" t="s">
        <v>389</v>
      </c>
      <c r="J6" s="10" t="s">
        <v>400</v>
      </c>
      <c r="K6" s="10"/>
      <c r="L6" s="10">
        <v>2013</v>
      </c>
      <c r="M6" s="10">
        <v>2</v>
      </c>
      <c r="N6" s="10">
        <v>1</v>
      </c>
      <c r="O6" s="10">
        <v>4</v>
      </c>
      <c r="P6" s="48">
        <v>367.3</v>
      </c>
      <c r="Q6" s="10">
        <f t="shared" si="2"/>
        <v>330.57</v>
      </c>
      <c r="R6" s="10">
        <f t="shared" si="0"/>
        <v>82.642499999999998</v>
      </c>
      <c r="S6" s="10" t="s">
        <v>67</v>
      </c>
      <c r="T6" s="10"/>
      <c r="U6" s="43">
        <v>3928</v>
      </c>
      <c r="V6" s="10" t="s">
        <v>244</v>
      </c>
      <c r="W6" s="43">
        <f>U6/Q6</f>
        <v>11.882505974528843</v>
      </c>
      <c r="X6" s="10">
        <v>1</v>
      </c>
      <c r="Y6" s="10" t="s">
        <v>244</v>
      </c>
      <c r="Z6" s="43">
        <f t="shared" si="1"/>
        <v>982</v>
      </c>
      <c r="AA6" s="10" t="s">
        <v>248</v>
      </c>
    </row>
    <row r="7" spans="1:29" ht="40" customHeight="1" x14ac:dyDescent="0.2">
      <c r="A7" s="10">
        <v>2</v>
      </c>
      <c r="B7" s="10" t="s">
        <v>555</v>
      </c>
      <c r="C7" s="10"/>
      <c r="D7" s="10"/>
      <c r="E7" s="10" t="s">
        <v>556</v>
      </c>
      <c r="G7" s="10" t="s">
        <v>58</v>
      </c>
      <c r="H7" s="10"/>
      <c r="I7" s="10" t="s">
        <v>389</v>
      </c>
      <c r="J7" s="10" t="s">
        <v>400</v>
      </c>
      <c r="K7" s="10"/>
      <c r="L7" s="10">
        <v>2013</v>
      </c>
      <c r="M7" s="10">
        <v>2</v>
      </c>
      <c r="N7" s="10">
        <v>1</v>
      </c>
      <c r="O7" s="10">
        <v>4</v>
      </c>
      <c r="P7" s="48">
        <v>367.3</v>
      </c>
      <c r="Q7" s="10">
        <f t="shared" si="2"/>
        <v>330.57</v>
      </c>
      <c r="R7" s="10">
        <f t="shared" si="0"/>
        <v>82.642499999999998</v>
      </c>
      <c r="S7" s="10" t="s">
        <v>290</v>
      </c>
      <c r="T7" s="10"/>
      <c r="U7" s="43">
        <v>361</v>
      </c>
      <c r="V7" s="10" t="s">
        <v>244</v>
      </c>
      <c r="W7" s="43">
        <f>U7/Q7</f>
        <v>1.0920531203678494</v>
      </c>
      <c r="X7" s="10">
        <v>1</v>
      </c>
      <c r="Y7" s="10" t="s">
        <v>244</v>
      </c>
      <c r="Z7" s="43">
        <f t="shared" si="1"/>
        <v>90.25</v>
      </c>
      <c r="AA7" s="10" t="s">
        <v>248</v>
      </c>
    </row>
    <row r="8" spans="1:29" ht="40" customHeight="1" x14ac:dyDescent="0.2">
      <c r="A8" s="10">
        <v>2</v>
      </c>
      <c r="B8" s="10" t="s">
        <v>555</v>
      </c>
      <c r="C8" s="10"/>
      <c r="D8" s="10"/>
      <c r="E8" s="10" t="s">
        <v>556</v>
      </c>
      <c r="G8" s="10" t="s">
        <v>58</v>
      </c>
      <c r="H8" s="10"/>
      <c r="I8" s="10" t="s">
        <v>389</v>
      </c>
      <c r="J8" s="10" t="s">
        <v>400</v>
      </c>
      <c r="K8" s="10"/>
      <c r="L8" s="10">
        <v>2013</v>
      </c>
      <c r="M8" s="10">
        <v>2</v>
      </c>
      <c r="N8" s="10">
        <v>1</v>
      </c>
      <c r="O8" s="10">
        <v>4</v>
      </c>
      <c r="P8" s="48">
        <v>367.3</v>
      </c>
      <c r="Q8" s="10">
        <f t="shared" si="2"/>
        <v>330.57</v>
      </c>
      <c r="R8" s="10">
        <f t="shared" si="0"/>
        <v>82.642499999999998</v>
      </c>
      <c r="S8" s="10" t="s">
        <v>435</v>
      </c>
      <c r="T8" s="10"/>
      <c r="U8" s="43">
        <v>900</v>
      </c>
      <c r="V8" s="10" t="s">
        <v>244</v>
      </c>
      <c r="W8" s="43">
        <f>U8/Q8</f>
        <v>2.7225701061802341</v>
      </c>
      <c r="X8" s="10">
        <v>1</v>
      </c>
      <c r="Y8" s="10" t="s">
        <v>244</v>
      </c>
      <c r="Z8" s="43">
        <f t="shared" si="1"/>
        <v>225</v>
      </c>
      <c r="AA8" s="10" t="s">
        <v>248</v>
      </c>
    </row>
    <row r="9" spans="1:29" ht="40" customHeight="1" x14ac:dyDescent="0.2">
      <c r="A9" s="10">
        <v>3</v>
      </c>
      <c r="B9" s="10" t="s">
        <v>682</v>
      </c>
      <c r="C9" s="10" t="s">
        <v>644</v>
      </c>
      <c r="D9" s="10"/>
      <c r="E9" s="10" t="s">
        <v>562</v>
      </c>
      <c r="G9" s="10" t="s">
        <v>58</v>
      </c>
      <c r="H9" s="10"/>
      <c r="I9" s="10" t="s">
        <v>389</v>
      </c>
      <c r="J9" s="10" t="s">
        <v>561</v>
      </c>
      <c r="K9" s="10" t="s">
        <v>565</v>
      </c>
      <c r="L9" s="10"/>
      <c r="M9" s="10">
        <v>1</v>
      </c>
      <c r="N9" s="10">
        <v>1</v>
      </c>
      <c r="O9" s="10">
        <v>4</v>
      </c>
      <c r="P9" s="10">
        <v>144</v>
      </c>
      <c r="Q9" s="10">
        <f t="shared" si="2"/>
        <v>129.6</v>
      </c>
      <c r="R9" s="10">
        <f>Q9/O9</f>
        <v>32.4</v>
      </c>
      <c r="S9" s="10" t="s">
        <v>65</v>
      </c>
      <c r="T9" s="9">
        <v>2320</v>
      </c>
      <c r="U9" s="43">
        <v>43.6</v>
      </c>
      <c r="V9" s="10" t="s">
        <v>1</v>
      </c>
      <c r="W9" s="43">
        <f>(U9*T9)/Q9</f>
        <v>780.49382716049388</v>
      </c>
      <c r="X9" s="10">
        <v>1</v>
      </c>
      <c r="Y9" s="10" t="s">
        <v>244</v>
      </c>
      <c r="Z9" s="43">
        <f t="shared" si="1"/>
        <v>10.9</v>
      </c>
      <c r="AA9" s="10" t="s">
        <v>248</v>
      </c>
    </row>
    <row r="10" spans="1:29" ht="40" customHeight="1" x14ac:dyDescent="0.2">
      <c r="A10" s="10">
        <v>3</v>
      </c>
      <c r="B10" s="10" t="s">
        <v>563</v>
      </c>
      <c r="C10" s="10"/>
      <c r="D10" s="10"/>
      <c r="E10" s="10" t="s">
        <v>562</v>
      </c>
      <c r="G10" s="10" t="s">
        <v>58</v>
      </c>
      <c r="H10" s="10"/>
      <c r="I10" s="10" t="s">
        <v>389</v>
      </c>
      <c r="J10" s="10" t="s">
        <v>561</v>
      </c>
      <c r="K10" s="10"/>
      <c r="L10" s="10"/>
      <c r="M10" s="10">
        <v>1</v>
      </c>
      <c r="N10" s="10">
        <v>1</v>
      </c>
      <c r="O10" s="10">
        <v>4</v>
      </c>
      <c r="P10" s="10">
        <v>144</v>
      </c>
      <c r="Q10" s="10">
        <f t="shared" si="2"/>
        <v>129.6</v>
      </c>
      <c r="R10" s="10">
        <f>Q10/O10</f>
        <v>32.4</v>
      </c>
      <c r="S10" s="10" t="s">
        <v>290</v>
      </c>
      <c r="T10" s="10"/>
      <c r="U10" s="43">
        <v>72</v>
      </c>
      <c r="V10" s="10" t="s">
        <v>244</v>
      </c>
      <c r="W10" s="43">
        <f>U10/Q10</f>
        <v>0.55555555555555558</v>
      </c>
      <c r="X10" s="10">
        <v>1</v>
      </c>
      <c r="Y10" s="10" t="s">
        <v>244</v>
      </c>
      <c r="Z10" s="43">
        <f t="shared" si="1"/>
        <v>18</v>
      </c>
      <c r="AA10" s="10" t="s">
        <v>248</v>
      </c>
    </row>
    <row r="11" spans="1:29" ht="40" customHeight="1" x14ac:dyDescent="0.2">
      <c r="A11" s="10">
        <v>3</v>
      </c>
      <c r="B11" s="10" t="s">
        <v>563</v>
      </c>
      <c r="C11" s="10"/>
      <c r="D11" s="10"/>
      <c r="E11" s="10" t="s">
        <v>562</v>
      </c>
      <c r="G11" s="10" t="s">
        <v>58</v>
      </c>
      <c r="H11" s="10"/>
      <c r="I11" s="10" t="s">
        <v>389</v>
      </c>
      <c r="J11" s="10" t="s">
        <v>564</v>
      </c>
      <c r="K11" s="10" t="s">
        <v>566</v>
      </c>
      <c r="L11" s="10"/>
      <c r="M11" s="10">
        <v>1</v>
      </c>
      <c r="N11" s="10">
        <v>1</v>
      </c>
      <c r="O11" s="10">
        <v>4</v>
      </c>
      <c r="P11" s="10">
        <v>144</v>
      </c>
      <c r="Q11" s="10">
        <f t="shared" si="2"/>
        <v>129.6</v>
      </c>
      <c r="R11" s="10">
        <f>Q11/O11</f>
        <v>32.4</v>
      </c>
      <c r="S11" s="10" t="s">
        <v>71</v>
      </c>
      <c r="T11" s="10">
        <v>1600</v>
      </c>
      <c r="U11" s="43">
        <f>3.1+1.68+3.6</f>
        <v>8.3800000000000008</v>
      </c>
      <c r="V11" s="10" t="s">
        <v>1</v>
      </c>
      <c r="W11" s="43">
        <f>(T11*U11)/Q11</f>
        <v>103.45679012345681</v>
      </c>
      <c r="X11" s="10">
        <v>1</v>
      </c>
      <c r="Y11" s="10" t="s">
        <v>244</v>
      </c>
      <c r="Z11" s="43">
        <f t="shared" si="1"/>
        <v>2.0950000000000002</v>
      </c>
      <c r="AA11" s="10" t="s">
        <v>248</v>
      </c>
    </row>
    <row r="12" spans="1:29" ht="40" customHeight="1" x14ac:dyDescent="0.2">
      <c r="A12" s="10">
        <v>3</v>
      </c>
      <c r="B12" s="10" t="s">
        <v>563</v>
      </c>
      <c r="C12" s="10"/>
      <c r="D12" s="10"/>
      <c r="E12" s="10" t="s">
        <v>562</v>
      </c>
      <c r="G12" s="10" t="s">
        <v>58</v>
      </c>
      <c r="H12" s="10"/>
      <c r="I12" s="10" t="s">
        <v>389</v>
      </c>
      <c r="J12" s="10" t="s">
        <v>564</v>
      </c>
      <c r="K12" s="10"/>
      <c r="L12" s="10"/>
      <c r="M12" s="10">
        <v>1</v>
      </c>
      <c r="N12" s="10">
        <v>1</v>
      </c>
      <c r="O12" s="10">
        <v>4</v>
      </c>
      <c r="P12" s="10">
        <v>144</v>
      </c>
      <c r="Q12" s="10">
        <f t="shared" si="2"/>
        <v>129.6</v>
      </c>
      <c r="R12" s="10">
        <f>Q12/O12</f>
        <v>32.4</v>
      </c>
      <c r="S12" s="10" t="s">
        <v>65</v>
      </c>
      <c r="T12" s="9">
        <v>2320</v>
      </c>
      <c r="U12" s="43">
        <f>12.5+48</f>
        <v>60.5</v>
      </c>
      <c r="V12" s="10" t="s">
        <v>1</v>
      </c>
      <c r="W12" s="43">
        <f>(T12*U12)/Q12</f>
        <v>1083.0246913580247</v>
      </c>
      <c r="X12" s="10">
        <v>1</v>
      </c>
      <c r="Y12" s="10" t="s">
        <v>244</v>
      </c>
      <c r="Z12" s="43">
        <f t="shared" si="1"/>
        <v>15.125</v>
      </c>
      <c r="AA12" s="10" t="s">
        <v>248</v>
      </c>
    </row>
    <row r="13" spans="1:29" ht="40" customHeight="1" x14ac:dyDescent="0.2">
      <c r="A13" s="10">
        <v>3</v>
      </c>
      <c r="B13" s="10" t="s">
        <v>563</v>
      </c>
      <c r="C13" s="10"/>
      <c r="D13" s="10"/>
      <c r="E13" s="10" t="s">
        <v>562</v>
      </c>
      <c r="G13" s="10" t="s">
        <v>58</v>
      </c>
      <c r="H13" s="10"/>
      <c r="I13" s="10" t="s">
        <v>389</v>
      </c>
      <c r="J13" s="10" t="s">
        <v>564</v>
      </c>
      <c r="K13" s="10"/>
      <c r="L13" s="10"/>
      <c r="M13" s="10">
        <v>1</v>
      </c>
      <c r="N13" s="10">
        <v>1</v>
      </c>
      <c r="O13" s="10">
        <v>4</v>
      </c>
      <c r="P13" s="10">
        <v>144</v>
      </c>
      <c r="Q13" s="10">
        <f t="shared" si="2"/>
        <v>129.6</v>
      </c>
      <c r="R13" s="10">
        <f>Q13/O13</f>
        <v>32.4</v>
      </c>
      <c r="S13" s="10" t="s">
        <v>290</v>
      </c>
      <c r="T13" s="10"/>
      <c r="U13" s="43">
        <v>72</v>
      </c>
      <c r="V13" s="10" t="s">
        <v>244</v>
      </c>
      <c r="W13" s="43">
        <f>U13/Q13</f>
        <v>0.55555555555555558</v>
      </c>
      <c r="X13" s="10">
        <v>1</v>
      </c>
      <c r="Y13" s="10" t="s">
        <v>244</v>
      </c>
      <c r="Z13" s="43">
        <f t="shared" si="1"/>
        <v>18</v>
      </c>
      <c r="AA13" s="10" t="s">
        <v>248</v>
      </c>
    </row>
  </sheetData>
  <pageMargins left="0.7" right="0.7" top="0.75" bottom="0.75" header="0.3" footer="0.3"/>
  <pageSetup paperSize="9" orientation="portrait" horizontalDpi="0"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rgb="FF92D050"/>
  </sheetPr>
  <dimension ref="A1:AB56"/>
  <sheetViews>
    <sheetView zoomScaleNormal="100" workbookViewId="0">
      <selection activeCell="Q1" sqref="A1:Q1"/>
    </sheetView>
  </sheetViews>
  <sheetFormatPr baseColWidth="10" defaultColWidth="9.1640625" defaultRowHeight="15" x14ac:dyDescent="0.2"/>
  <cols>
    <col min="1" max="1" width="4.5" style="11" customWidth="1"/>
    <col min="2" max="2" width="13.5" style="10" customWidth="1"/>
    <col min="3" max="3" width="29.5" style="10" customWidth="1"/>
    <col min="4" max="4" width="18.33203125" style="10" customWidth="1"/>
    <col min="5" max="6" width="25" style="11" customWidth="1"/>
    <col min="7" max="7" width="9.1640625" style="11"/>
    <col min="8" max="8" width="22.6640625" style="11" customWidth="1"/>
    <col min="9" max="9" width="27.6640625" style="11" customWidth="1"/>
    <col min="10" max="10" width="16" style="11" customWidth="1"/>
    <col min="11" max="11" width="31" style="10" customWidth="1"/>
    <col min="12" max="13" width="22.5" style="11" customWidth="1"/>
    <col min="14" max="14" width="23" style="11" customWidth="1"/>
    <col min="15" max="15" width="13.33203125" style="11" customWidth="1"/>
    <col min="16" max="16" width="13.5" style="11" customWidth="1"/>
    <col min="17" max="17" width="12.1640625" style="30" customWidth="1"/>
    <col min="18" max="18" width="12.1640625" style="11" customWidth="1"/>
    <col min="19" max="19" width="13.33203125" style="11" customWidth="1"/>
    <col min="20" max="20" width="11.5" style="11" customWidth="1"/>
    <col min="21" max="21" width="12.1640625" style="11" customWidth="1"/>
    <col min="22" max="22" width="10.6640625" style="11" customWidth="1"/>
    <col min="23" max="23" width="14.1640625" style="30" customWidth="1"/>
    <col min="24" max="24" width="13.5" style="11" customWidth="1"/>
    <col min="25" max="25" width="11.5" style="11" bestFit="1" customWidth="1"/>
    <col min="26" max="26" width="10.1640625" style="11" customWidth="1"/>
    <col min="27" max="27" width="39.1640625" style="10" customWidth="1"/>
    <col min="28" max="28" width="27.33203125" style="11" customWidth="1"/>
    <col min="29" max="16384" width="9.1640625" style="11"/>
  </cols>
  <sheetData>
    <row r="1" spans="1:28"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241</v>
      </c>
      <c r="R1" s="44" t="s">
        <v>414</v>
      </c>
      <c r="S1" s="44" t="s">
        <v>193</v>
      </c>
      <c r="T1" s="44" t="s">
        <v>419</v>
      </c>
      <c r="U1" s="44" t="s">
        <v>519</v>
      </c>
      <c r="V1" s="44" t="s">
        <v>192</v>
      </c>
      <c r="W1" s="44" t="s">
        <v>384</v>
      </c>
      <c r="X1" s="44" t="s">
        <v>416</v>
      </c>
      <c r="Y1" s="44" t="s">
        <v>242</v>
      </c>
      <c r="Z1" s="44" t="s">
        <v>191</v>
      </c>
      <c r="AA1" s="44" t="s">
        <v>894</v>
      </c>
      <c r="AB1" s="44" t="s">
        <v>636</v>
      </c>
    </row>
    <row r="2" spans="1:28" ht="40" customHeight="1" x14ac:dyDescent="0.2">
      <c r="A2" s="10">
        <v>1</v>
      </c>
      <c r="B2" s="10" t="s">
        <v>684</v>
      </c>
      <c r="C2" s="10" t="s">
        <v>638</v>
      </c>
      <c r="D2" s="10" t="s">
        <v>820</v>
      </c>
      <c r="E2" s="10" t="s">
        <v>560</v>
      </c>
      <c r="F2" s="10" t="s">
        <v>404</v>
      </c>
      <c r="G2" s="10" t="s">
        <v>58</v>
      </c>
      <c r="H2" s="10"/>
      <c r="I2" s="10" t="s">
        <v>438</v>
      </c>
      <c r="J2" s="10"/>
      <c r="L2" s="10"/>
      <c r="M2" s="10">
        <v>7</v>
      </c>
      <c r="N2" s="10">
        <v>96</v>
      </c>
      <c r="O2" s="10">
        <f>4*N2</f>
        <v>384</v>
      </c>
      <c r="P2" s="10"/>
      <c r="Q2" s="43">
        <f>112.15*N2</f>
        <v>10766.400000000001</v>
      </c>
      <c r="R2" s="43">
        <f>Q2/O2</f>
        <v>28.037500000000005</v>
      </c>
      <c r="S2" s="10" t="s">
        <v>65</v>
      </c>
      <c r="T2" s="10"/>
      <c r="U2" s="43">
        <f>17219981.7+1444680</f>
        <v>18664661.699999999</v>
      </c>
      <c r="V2" s="10" t="s">
        <v>244</v>
      </c>
      <c r="W2" s="43">
        <f>U2/Q2</f>
        <v>1733.6028477485509</v>
      </c>
      <c r="X2" s="10">
        <v>4</v>
      </c>
      <c r="Y2" s="43">
        <f t="shared" ref="Y2:Y18" si="0">U2/O2</f>
        <v>48605.889843749996</v>
      </c>
      <c r="Z2" s="10"/>
      <c r="AA2" s="10" t="s">
        <v>450</v>
      </c>
    </row>
    <row r="3" spans="1:28" ht="40" customHeight="1" x14ac:dyDescent="0.2">
      <c r="A3" s="10">
        <v>1</v>
      </c>
      <c r="B3" s="10" t="s">
        <v>683</v>
      </c>
      <c r="E3" s="10" t="s">
        <v>560</v>
      </c>
      <c r="F3" s="10"/>
      <c r="G3" s="10" t="s">
        <v>58</v>
      </c>
      <c r="H3" s="10"/>
      <c r="I3" s="10" t="s">
        <v>438</v>
      </c>
      <c r="J3" s="10"/>
      <c r="L3" s="10"/>
      <c r="M3" s="10">
        <v>7</v>
      </c>
      <c r="N3" s="10">
        <v>96</v>
      </c>
      <c r="O3" s="10">
        <f>4*N3</f>
        <v>384</v>
      </c>
      <c r="P3" s="10"/>
      <c r="Q3" s="43">
        <f>112.15*N3</f>
        <v>10766.400000000001</v>
      </c>
      <c r="R3" s="43">
        <f>Q3/O3</f>
        <v>28.037500000000005</v>
      </c>
      <c r="S3" s="10" t="s">
        <v>30</v>
      </c>
      <c r="T3" s="10"/>
      <c r="U3" s="43">
        <f>1182395.5+25321+41438+9450+593.9+8731.9+296.5+19599.6+17120.2</f>
        <v>1304946.5999999999</v>
      </c>
      <c r="V3" s="10" t="s">
        <v>244</v>
      </c>
      <c r="W3" s="43">
        <f>U3/Q3</f>
        <v>121.20547258136422</v>
      </c>
      <c r="X3" s="10">
        <v>4</v>
      </c>
      <c r="Y3" s="43">
        <f t="shared" si="0"/>
        <v>3398.2984374999996</v>
      </c>
      <c r="Z3" s="10"/>
    </row>
    <row r="4" spans="1:28" ht="40" customHeight="1" x14ac:dyDescent="0.2">
      <c r="A4" s="10">
        <v>2</v>
      </c>
      <c r="B4" s="10" t="s">
        <v>686</v>
      </c>
      <c r="C4" s="10" t="s">
        <v>821</v>
      </c>
      <c r="D4" s="10" t="s">
        <v>822</v>
      </c>
      <c r="E4" s="10" t="s">
        <v>406</v>
      </c>
      <c r="F4" s="10"/>
      <c r="G4" s="10" t="s">
        <v>58</v>
      </c>
      <c r="H4" s="10" t="s">
        <v>408</v>
      </c>
      <c r="I4" s="10" t="s">
        <v>389</v>
      </c>
      <c r="J4" s="10" t="s">
        <v>407</v>
      </c>
      <c r="L4" s="10"/>
      <c r="M4" s="10">
        <v>1</v>
      </c>
      <c r="N4" s="10">
        <v>1</v>
      </c>
      <c r="O4" s="10">
        <f t="shared" ref="O4:O23" si="1">4*N4</f>
        <v>4</v>
      </c>
      <c r="P4" s="10"/>
      <c r="Q4" s="43">
        <f t="shared" ref="Q4:Q23" si="2">AVERAGE(20,60)*N4</f>
        <v>40</v>
      </c>
      <c r="R4" s="10">
        <f t="shared" ref="R4:R23" si="3">Q4/O4</f>
        <v>10</v>
      </c>
      <c r="S4" s="10" t="s">
        <v>30</v>
      </c>
      <c r="T4" s="10"/>
      <c r="U4" s="43">
        <f t="shared" ref="U4:U23" si="4">W4*Q4</f>
        <v>640</v>
      </c>
      <c r="V4" s="10" t="s">
        <v>244</v>
      </c>
      <c r="W4" s="43">
        <v>16</v>
      </c>
      <c r="X4" s="10">
        <v>1</v>
      </c>
      <c r="Y4" s="43">
        <f t="shared" si="0"/>
        <v>160</v>
      </c>
      <c r="Z4" s="10"/>
      <c r="AA4" s="10" t="s">
        <v>449</v>
      </c>
      <c r="AB4" s="10" t="s">
        <v>409</v>
      </c>
    </row>
    <row r="5" spans="1:28" ht="40" customHeight="1" x14ac:dyDescent="0.2">
      <c r="A5" s="10">
        <v>2</v>
      </c>
      <c r="B5" s="10" t="s">
        <v>685</v>
      </c>
      <c r="E5" s="10" t="s">
        <v>406</v>
      </c>
      <c r="F5" s="10"/>
      <c r="G5" s="10" t="s">
        <v>58</v>
      </c>
      <c r="H5" s="10"/>
      <c r="I5" s="10" t="s">
        <v>389</v>
      </c>
      <c r="J5" s="10" t="s">
        <v>407</v>
      </c>
      <c r="L5" s="10"/>
      <c r="M5" s="10">
        <v>1</v>
      </c>
      <c r="N5" s="10">
        <v>2</v>
      </c>
      <c r="O5" s="10">
        <f t="shared" si="1"/>
        <v>8</v>
      </c>
      <c r="P5" s="10"/>
      <c r="Q5" s="43">
        <f t="shared" si="2"/>
        <v>80</v>
      </c>
      <c r="R5" s="10">
        <f t="shared" si="3"/>
        <v>10</v>
      </c>
      <c r="S5" s="10" t="s">
        <v>30</v>
      </c>
      <c r="T5" s="10"/>
      <c r="U5" s="43">
        <f t="shared" si="4"/>
        <v>1208</v>
      </c>
      <c r="V5" s="10" t="s">
        <v>244</v>
      </c>
      <c r="W5" s="43">
        <v>15.1</v>
      </c>
      <c r="X5" s="10">
        <v>1</v>
      </c>
      <c r="Y5" s="43">
        <f t="shared" si="0"/>
        <v>151</v>
      </c>
      <c r="Z5" s="10"/>
      <c r="AA5" s="10" t="s">
        <v>405</v>
      </c>
      <c r="AB5" s="10" t="s">
        <v>448</v>
      </c>
    </row>
    <row r="6" spans="1:28" ht="40" customHeight="1" x14ac:dyDescent="0.2">
      <c r="A6" s="10">
        <v>2</v>
      </c>
      <c r="B6" s="10" t="s">
        <v>685</v>
      </c>
      <c r="E6" s="10" t="s">
        <v>406</v>
      </c>
      <c r="F6" s="10"/>
      <c r="G6" s="10" t="s">
        <v>58</v>
      </c>
      <c r="H6" s="10"/>
      <c r="I6" s="10" t="s">
        <v>389</v>
      </c>
      <c r="J6" s="10" t="s">
        <v>407</v>
      </c>
      <c r="L6" s="10"/>
      <c r="M6" s="10">
        <v>1</v>
      </c>
      <c r="N6" s="10">
        <v>3</v>
      </c>
      <c r="O6" s="10">
        <f t="shared" si="1"/>
        <v>12</v>
      </c>
      <c r="P6" s="10"/>
      <c r="Q6" s="43">
        <f t="shared" si="2"/>
        <v>120</v>
      </c>
      <c r="R6" s="10">
        <f t="shared" si="3"/>
        <v>10</v>
      </c>
      <c r="S6" s="10" t="s">
        <v>30</v>
      </c>
      <c r="T6" s="10"/>
      <c r="U6" s="43">
        <f t="shared" si="4"/>
        <v>2532</v>
      </c>
      <c r="V6" s="10" t="s">
        <v>244</v>
      </c>
      <c r="W6" s="43">
        <v>21.1</v>
      </c>
      <c r="X6" s="10">
        <v>1</v>
      </c>
      <c r="Y6" s="43">
        <f t="shared" si="0"/>
        <v>211</v>
      </c>
      <c r="Z6" s="10"/>
    </row>
    <row r="7" spans="1:28" ht="40" customHeight="1" x14ac:dyDescent="0.2">
      <c r="A7" s="10">
        <v>2</v>
      </c>
      <c r="B7" s="10" t="s">
        <v>685</v>
      </c>
      <c r="E7" s="10" t="s">
        <v>406</v>
      </c>
      <c r="F7" s="10"/>
      <c r="G7" s="10" t="s">
        <v>58</v>
      </c>
      <c r="H7" s="10"/>
      <c r="I7" s="10" t="s">
        <v>433</v>
      </c>
      <c r="J7" s="10" t="s">
        <v>407</v>
      </c>
      <c r="L7" s="10"/>
      <c r="M7" s="10">
        <v>1</v>
      </c>
      <c r="N7" s="10">
        <v>4</v>
      </c>
      <c r="O7" s="10">
        <f t="shared" si="1"/>
        <v>16</v>
      </c>
      <c r="P7" s="10"/>
      <c r="Q7" s="43">
        <f t="shared" si="2"/>
        <v>160</v>
      </c>
      <c r="R7" s="10">
        <f t="shared" si="3"/>
        <v>10</v>
      </c>
      <c r="S7" s="10" t="s">
        <v>30</v>
      </c>
      <c r="T7" s="10"/>
      <c r="U7" s="43">
        <f t="shared" si="4"/>
        <v>3344</v>
      </c>
      <c r="V7" s="10" t="s">
        <v>244</v>
      </c>
      <c r="W7" s="43">
        <v>20.9</v>
      </c>
      <c r="X7" s="10">
        <v>3</v>
      </c>
      <c r="Y7" s="43">
        <f t="shared" si="0"/>
        <v>209</v>
      </c>
      <c r="Z7" s="10"/>
    </row>
    <row r="8" spans="1:28" ht="40" customHeight="1" x14ac:dyDescent="0.2">
      <c r="A8" s="10">
        <v>2</v>
      </c>
      <c r="B8" s="10" t="s">
        <v>685</v>
      </c>
      <c r="E8" s="10" t="s">
        <v>406</v>
      </c>
      <c r="F8" s="10"/>
      <c r="G8" s="10" t="s">
        <v>58</v>
      </c>
      <c r="H8" s="10"/>
      <c r="I8" s="10" t="s">
        <v>389</v>
      </c>
      <c r="J8" s="10" t="s">
        <v>407</v>
      </c>
      <c r="L8" s="10"/>
      <c r="M8" s="10"/>
      <c r="N8" s="10">
        <v>1</v>
      </c>
      <c r="O8" s="10">
        <f t="shared" si="1"/>
        <v>4</v>
      </c>
      <c r="P8" s="10"/>
      <c r="Q8" s="43">
        <f t="shared" si="2"/>
        <v>40</v>
      </c>
      <c r="R8" s="10">
        <f t="shared" si="3"/>
        <v>10</v>
      </c>
      <c r="S8" s="10" t="s">
        <v>65</v>
      </c>
      <c r="T8" s="10"/>
      <c r="U8" s="43">
        <f t="shared" si="4"/>
        <v>55200</v>
      </c>
      <c r="V8" s="10" t="s">
        <v>244</v>
      </c>
      <c r="W8" s="43">
        <f>60*23</f>
        <v>1380</v>
      </c>
      <c r="X8" s="10">
        <v>1</v>
      </c>
      <c r="Y8" s="43">
        <f t="shared" si="0"/>
        <v>13800</v>
      </c>
      <c r="Z8" s="10"/>
      <c r="AA8" s="34" t="s">
        <v>447</v>
      </c>
    </row>
    <row r="9" spans="1:28" ht="40" customHeight="1" x14ac:dyDescent="0.2">
      <c r="A9" s="10">
        <v>2</v>
      </c>
      <c r="B9" s="10" t="s">
        <v>685</v>
      </c>
      <c r="E9" s="10" t="s">
        <v>406</v>
      </c>
      <c r="F9" s="10"/>
      <c r="G9" s="10" t="s">
        <v>58</v>
      </c>
      <c r="H9" s="10"/>
      <c r="I9" s="10" t="s">
        <v>389</v>
      </c>
      <c r="J9" s="10" t="s">
        <v>407</v>
      </c>
      <c r="L9" s="10"/>
      <c r="M9" s="10"/>
      <c r="N9" s="10">
        <v>1</v>
      </c>
      <c r="O9" s="10">
        <f t="shared" si="1"/>
        <v>4</v>
      </c>
      <c r="P9" s="10"/>
      <c r="Q9" s="43">
        <f t="shared" si="2"/>
        <v>40</v>
      </c>
      <c r="R9" s="10">
        <f t="shared" si="3"/>
        <v>10</v>
      </c>
      <c r="S9" s="10" t="s">
        <v>30</v>
      </c>
      <c r="T9" s="10"/>
      <c r="U9" s="43">
        <f t="shared" si="4"/>
        <v>640</v>
      </c>
      <c r="V9" s="10" t="s">
        <v>244</v>
      </c>
      <c r="W9" s="43">
        <v>16</v>
      </c>
      <c r="X9" s="10">
        <v>1</v>
      </c>
      <c r="Y9" s="43">
        <f t="shared" si="0"/>
        <v>160</v>
      </c>
      <c r="Z9" s="10"/>
      <c r="AA9" s="10" t="s">
        <v>446</v>
      </c>
    </row>
    <row r="10" spans="1:28" ht="40" customHeight="1" x14ac:dyDescent="0.2">
      <c r="A10" s="10">
        <v>2</v>
      </c>
      <c r="B10" s="10" t="s">
        <v>685</v>
      </c>
      <c r="E10" s="10" t="s">
        <v>406</v>
      </c>
      <c r="F10" s="10"/>
      <c r="G10" s="10" t="s">
        <v>58</v>
      </c>
      <c r="H10" s="10"/>
      <c r="I10" s="10" t="s">
        <v>389</v>
      </c>
      <c r="J10" s="10" t="s">
        <v>407</v>
      </c>
      <c r="L10" s="10"/>
      <c r="M10" s="10"/>
      <c r="N10" s="10">
        <v>2</v>
      </c>
      <c r="O10" s="10">
        <f t="shared" si="1"/>
        <v>8</v>
      </c>
      <c r="P10" s="10"/>
      <c r="Q10" s="43">
        <f t="shared" si="2"/>
        <v>80</v>
      </c>
      <c r="R10" s="10">
        <f t="shared" si="3"/>
        <v>10</v>
      </c>
      <c r="S10" s="10" t="s">
        <v>65</v>
      </c>
      <c r="T10" s="10"/>
      <c r="U10" s="43">
        <f t="shared" si="4"/>
        <v>82984</v>
      </c>
      <c r="V10" s="10" t="s">
        <v>244</v>
      </c>
      <c r="W10" s="43">
        <f>45.1*23</f>
        <v>1037.3</v>
      </c>
      <c r="X10" s="10">
        <v>1</v>
      </c>
      <c r="Y10" s="43">
        <f t="shared" si="0"/>
        <v>10373</v>
      </c>
      <c r="Z10" s="10"/>
    </row>
    <row r="11" spans="1:28" ht="40" customHeight="1" x14ac:dyDescent="0.2">
      <c r="A11" s="10">
        <v>2</v>
      </c>
      <c r="B11" s="10" t="s">
        <v>685</v>
      </c>
      <c r="E11" s="10" t="s">
        <v>406</v>
      </c>
      <c r="F11" s="10"/>
      <c r="G11" s="10" t="s">
        <v>58</v>
      </c>
      <c r="H11" s="10"/>
      <c r="I11" s="10" t="s">
        <v>389</v>
      </c>
      <c r="J11" s="10" t="s">
        <v>407</v>
      </c>
      <c r="L11" s="10"/>
      <c r="M11" s="10"/>
      <c r="N11" s="10">
        <v>2</v>
      </c>
      <c r="O11" s="10">
        <f t="shared" si="1"/>
        <v>8</v>
      </c>
      <c r="P11" s="10"/>
      <c r="Q11" s="43">
        <f t="shared" si="2"/>
        <v>80</v>
      </c>
      <c r="R11" s="10">
        <f t="shared" si="3"/>
        <v>10</v>
      </c>
      <c r="S11" s="10" t="s">
        <v>30</v>
      </c>
      <c r="T11" s="10"/>
      <c r="U11" s="43">
        <f t="shared" si="4"/>
        <v>1216</v>
      </c>
      <c r="V11" s="10" t="s">
        <v>244</v>
      </c>
      <c r="W11" s="43">
        <v>15.2</v>
      </c>
      <c r="X11" s="10">
        <v>1</v>
      </c>
      <c r="Y11" s="43">
        <f t="shared" si="0"/>
        <v>152</v>
      </c>
      <c r="Z11" s="10"/>
    </row>
    <row r="12" spans="1:28" ht="40" customHeight="1" x14ac:dyDescent="0.2">
      <c r="A12" s="10">
        <v>2</v>
      </c>
      <c r="B12" s="10" t="s">
        <v>685</v>
      </c>
      <c r="E12" s="10" t="s">
        <v>406</v>
      </c>
      <c r="F12" s="10"/>
      <c r="G12" s="10" t="s">
        <v>58</v>
      </c>
      <c r="H12" s="10"/>
      <c r="I12" s="10" t="s">
        <v>389</v>
      </c>
      <c r="J12" s="10" t="s">
        <v>407</v>
      </c>
      <c r="L12" s="10"/>
      <c r="M12" s="10"/>
      <c r="N12" s="10">
        <v>3</v>
      </c>
      <c r="O12" s="10">
        <f t="shared" si="1"/>
        <v>12</v>
      </c>
      <c r="P12" s="10"/>
      <c r="Q12" s="43">
        <f t="shared" si="2"/>
        <v>120</v>
      </c>
      <c r="R12" s="10">
        <f t="shared" si="3"/>
        <v>10</v>
      </c>
      <c r="S12" s="10" t="s">
        <v>65</v>
      </c>
      <c r="T12" s="10"/>
      <c r="U12" s="43">
        <f t="shared" si="4"/>
        <v>120888</v>
      </c>
      <c r="V12" s="10" t="s">
        <v>244</v>
      </c>
      <c r="W12" s="43">
        <f>43.8*23</f>
        <v>1007.4</v>
      </c>
      <c r="X12" s="10">
        <v>1</v>
      </c>
      <c r="Y12" s="43">
        <f t="shared" si="0"/>
        <v>10074</v>
      </c>
      <c r="Z12" s="10"/>
    </row>
    <row r="13" spans="1:28" ht="40" customHeight="1" x14ac:dyDescent="0.2">
      <c r="A13" s="10">
        <v>2</v>
      </c>
      <c r="B13" s="10" t="s">
        <v>685</v>
      </c>
      <c r="E13" s="10" t="s">
        <v>406</v>
      </c>
      <c r="F13" s="10"/>
      <c r="G13" s="10" t="s">
        <v>58</v>
      </c>
      <c r="H13" s="10"/>
      <c r="I13" s="10" t="s">
        <v>389</v>
      </c>
      <c r="J13" s="10" t="s">
        <v>407</v>
      </c>
      <c r="L13" s="10"/>
      <c r="M13" s="10"/>
      <c r="N13" s="10">
        <v>3</v>
      </c>
      <c r="O13" s="10">
        <f t="shared" si="1"/>
        <v>12</v>
      </c>
      <c r="P13" s="10"/>
      <c r="Q13" s="43">
        <f t="shared" si="2"/>
        <v>120</v>
      </c>
      <c r="R13" s="10">
        <f t="shared" si="3"/>
        <v>10</v>
      </c>
      <c r="S13" s="10" t="s">
        <v>30</v>
      </c>
      <c r="T13" s="10"/>
      <c r="U13" s="43">
        <f t="shared" si="4"/>
        <v>2568</v>
      </c>
      <c r="V13" s="10" t="s">
        <v>244</v>
      </c>
      <c r="W13" s="43">
        <v>21.4</v>
      </c>
      <c r="X13" s="10">
        <v>1</v>
      </c>
      <c r="Y13" s="43">
        <f t="shared" si="0"/>
        <v>214</v>
      </c>
      <c r="Z13" s="10"/>
    </row>
    <row r="14" spans="1:28" ht="40" customHeight="1" x14ac:dyDescent="0.2">
      <c r="A14" s="10">
        <v>2</v>
      </c>
      <c r="B14" s="10" t="s">
        <v>685</v>
      </c>
      <c r="E14" s="10" t="s">
        <v>406</v>
      </c>
      <c r="F14" s="10"/>
      <c r="G14" s="10" t="s">
        <v>58</v>
      </c>
      <c r="H14" s="10"/>
      <c r="I14" s="10" t="s">
        <v>433</v>
      </c>
      <c r="J14" s="10" t="s">
        <v>407</v>
      </c>
      <c r="L14" s="10"/>
      <c r="M14" s="10"/>
      <c r="N14" s="10">
        <v>4</v>
      </c>
      <c r="O14" s="10">
        <f t="shared" si="1"/>
        <v>16</v>
      </c>
      <c r="P14" s="10"/>
      <c r="Q14" s="43">
        <f t="shared" si="2"/>
        <v>160</v>
      </c>
      <c r="R14" s="10">
        <f t="shared" si="3"/>
        <v>10</v>
      </c>
      <c r="S14" s="10" t="s">
        <v>65</v>
      </c>
      <c r="T14" s="10"/>
      <c r="U14" s="43">
        <f t="shared" si="4"/>
        <v>147200</v>
      </c>
      <c r="V14" s="10" t="s">
        <v>244</v>
      </c>
      <c r="W14" s="43">
        <f>40*23</f>
        <v>920</v>
      </c>
      <c r="X14" s="10">
        <v>3</v>
      </c>
      <c r="Y14" s="43">
        <f t="shared" si="0"/>
        <v>9200</v>
      </c>
      <c r="Z14" s="10"/>
    </row>
    <row r="15" spans="1:28" ht="40" customHeight="1" x14ac:dyDescent="0.2">
      <c r="A15" s="10">
        <v>2</v>
      </c>
      <c r="B15" s="10" t="s">
        <v>685</v>
      </c>
      <c r="E15" s="10" t="s">
        <v>406</v>
      </c>
      <c r="F15" s="10"/>
      <c r="G15" s="10" t="s">
        <v>58</v>
      </c>
      <c r="H15" s="10"/>
      <c r="I15" s="10" t="s">
        <v>433</v>
      </c>
      <c r="J15" s="10" t="s">
        <v>407</v>
      </c>
      <c r="L15" s="10"/>
      <c r="M15" s="10"/>
      <c r="N15" s="10">
        <v>4</v>
      </c>
      <c r="O15" s="10">
        <f t="shared" si="1"/>
        <v>16</v>
      </c>
      <c r="P15" s="10"/>
      <c r="Q15" s="43">
        <f t="shared" si="2"/>
        <v>160</v>
      </c>
      <c r="R15" s="10">
        <f t="shared" si="3"/>
        <v>10</v>
      </c>
      <c r="S15" s="10" t="s">
        <v>30</v>
      </c>
      <c r="T15" s="10"/>
      <c r="U15" s="43">
        <f t="shared" si="4"/>
        <v>3392</v>
      </c>
      <c r="V15" s="10" t="s">
        <v>244</v>
      </c>
      <c r="W15" s="43">
        <v>21.2</v>
      </c>
      <c r="X15" s="10">
        <v>3</v>
      </c>
      <c r="Y15" s="43">
        <f t="shared" si="0"/>
        <v>212</v>
      </c>
      <c r="Z15" s="10"/>
    </row>
    <row r="16" spans="1:28" ht="40" customHeight="1" x14ac:dyDescent="0.2">
      <c r="A16" s="10">
        <v>2</v>
      </c>
      <c r="B16" s="10" t="s">
        <v>685</v>
      </c>
      <c r="E16" s="10" t="s">
        <v>406</v>
      </c>
      <c r="F16" s="10"/>
      <c r="G16" s="10" t="s">
        <v>58</v>
      </c>
      <c r="H16" s="10"/>
      <c r="I16" s="10" t="s">
        <v>389</v>
      </c>
      <c r="J16" s="10" t="s">
        <v>407</v>
      </c>
      <c r="L16" s="10"/>
      <c r="M16" s="10"/>
      <c r="N16" s="10">
        <v>1</v>
      </c>
      <c r="O16" s="10">
        <f t="shared" si="1"/>
        <v>4</v>
      </c>
      <c r="P16" s="10"/>
      <c r="Q16" s="43">
        <f t="shared" si="2"/>
        <v>40</v>
      </c>
      <c r="R16" s="10">
        <f t="shared" si="3"/>
        <v>10</v>
      </c>
      <c r="S16" s="10" t="s">
        <v>65</v>
      </c>
      <c r="T16" s="10"/>
      <c r="U16" s="43">
        <f t="shared" si="4"/>
        <v>16800</v>
      </c>
      <c r="V16" s="10" t="s">
        <v>244</v>
      </c>
      <c r="W16" s="43">
        <f>60*7</f>
        <v>420</v>
      </c>
      <c r="X16" s="10">
        <v>1</v>
      </c>
      <c r="Y16" s="43">
        <f t="shared" si="0"/>
        <v>4200</v>
      </c>
      <c r="Z16" s="10"/>
      <c r="AA16" s="10" t="s">
        <v>445</v>
      </c>
    </row>
    <row r="17" spans="1:27" ht="40" customHeight="1" x14ac:dyDescent="0.2">
      <c r="A17" s="10">
        <v>2</v>
      </c>
      <c r="B17" s="10" t="s">
        <v>685</v>
      </c>
      <c r="E17" s="10" t="s">
        <v>406</v>
      </c>
      <c r="F17" s="10"/>
      <c r="G17" s="10" t="s">
        <v>58</v>
      </c>
      <c r="H17" s="10"/>
      <c r="I17" s="10" t="s">
        <v>389</v>
      </c>
      <c r="J17" s="10" t="s">
        <v>407</v>
      </c>
      <c r="L17" s="10"/>
      <c r="M17" s="10"/>
      <c r="N17" s="10">
        <v>1</v>
      </c>
      <c r="O17" s="10">
        <f t="shared" si="1"/>
        <v>4</v>
      </c>
      <c r="P17" s="10"/>
      <c r="Q17" s="43">
        <f t="shared" si="2"/>
        <v>40</v>
      </c>
      <c r="R17" s="10">
        <f t="shared" si="3"/>
        <v>10</v>
      </c>
      <c r="S17" s="10" t="s">
        <v>30</v>
      </c>
      <c r="T17" s="10"/>
      <c r="U17" s="43">
        <f t="shared" si="4"/>
        <v>640</v>
      </c>
      <c r="V17" s="10" t="s">
        <v>244</v>
      </c>
      <c r="W17" s="43">
        <v>16</v>
      </c>
      <c r="X17" s="10">
        <v>1</v>
      </c>
      <c r="Y17" s="43">
        <f t="shared" si="0"/>
        <v>160</v>
      </c>
      <c r="Z17" s="10"/>
    </row>
    <row r="18" spans="1:27" ht="40" customHeight="1" x14ac:dyDescent="0.2">
      <c r="A18" s="10">
        <v>2</v>
      </c>
      <c r="B18" s="10" t="s">
        <v>685</v>
      </c>
      <c r="E18" s="10" t="s">
        <v>406</v>
      </c>
      <c r="F18" s="10"/>
      <c r="G18" s="10" t="s">
        <v>58</v>
      </c>
      <c r="H18" s="10"/>
      <c r="I18" s="10" t="s">
        <v>389</v>
      </c>
      <c r="J18" s="10" t="s">
        <v>407</v>
      </c>
      <c r="L18" s="10"/>
      <c r="M18" s="10"/>
      <c r="N18" s="10">
        <v>2</v>
      </c>
      <c r="O18" s="10">
        <f t="shared" si="1"/>
        <v>8</v>
      </c>
      <c r="P18" s="10"/>
      <c r="Q18" s="43">
        <f t="shared" si="2"/>
        <v>80</v>
      </c>
      <c r="R18" s="10">
        <f t="shared" si="3"/>
        <v>10</v>
      </c>
      <c r="S18" s="10" t="s">
        <v>65</v>
      </c>
      <c r="T18" s="10"/>
      <c r="U18" s="43">
        <f t="shared" si="4"/>
        <v>25256</v>
      </c>
      <c r="V18" s="10" t="s">
        <v>244</v>
      </c>
      <c r="W18" s="43">
        <f>45.1*7</f>
        <v>315.7</v>
      </c>
      <c r="X18" s="10">
        <v>1</v>
      </c>
      <c r="Y18" s="43">
        <f t="shared" si="0"/>
        <v>3157</v>
      </c>
      <c r="Z18" s="10"/>
    </row>
    <row r="19" spans="1:27" ht="40" customHeight="1" x14ac:dyDescent="0.2">
      <c r="A19" s="10">
        <v>2</v>
      </c>
      <c r="B19" s="10" t="s">
        <v>685</v>
      </c>
      <c r="E19" s="10" t="s">
        <v>406</v>
      </c>
      <c r="F19" s="10"/>
      <c r="G19" s="10" t="s">
        <v>58</v>
      </c>
      <c r="H19" s="10"/>
      <c r="I19" s="10" t="s">
        <v>389</v>
      </c>
      <c r="J19" s="10" t="s">
        <v>407</v>
      </c>
      <c r="L19" s="10"/>
      <c r="M19" s="10"/>
      <c r="N19" s="10">
        <v>2</v>
      </c>
      <c r="O19" s="10">
        <f t="shared" si="1"/>
        <v>8</v>
      </c>
      <c r="P19" s="10"/>
      <c r="Q19" s="43">
        <f t="shared" si="2"/>
        <v>80</v>
      </c>
      <c r="R19" s="10">
        <f t="shared" si="3"/>
        <v>10</v>
      </c>
      <c r="S19" s="10" t="s">
        <v>30</v>
      </c>
      <c r="T19" s="10"/>
      <c r="U19" s="43">
        <f t="shared" si="4"/>
        <v>1216</v>
      </c>
      <c r="V19" s="10" t="s">
        <v>244</v>
      </c>
      <c r="W19" s="43">
        <v>15.2</v>
      </c>
      <c r="X19" s="10">
        <v>1</v>
      </c>
      <c r="Y19" s="43">
        <f t="shared" ref="Y19:Y37" si="5">U19/O19</f>
        <v>152</v>
      </c>
      <c r="Z19" s="10"/>
    </row>
    <row r="20" spans="1:27" ht="40" customHeight="1" x14ac:dyDescent="0.2">
      <c r="A20" s="10">
        <v>2</v>
      </c>
      <c r="B20" s="10" t="s">
        <v>685</v>
      </c>
      <c r="E20" s="10" t="s">
        <v>406</v>
      </c>
      <c r="F20" s="10"/>
      <c r="G20" s="10" t="s">
        <v>58</v>
      </c>
      <c r="H20" s="10"/>
      <c r="I20" s="10" t="s">
        <v>389</v>
      </c>
      <c r="J20" s="10" t="s">
        <v>407</v>
      </c>
      <c r="L20" s="10"/>
      <c r="M20" s="10"/>
      <c r="N20" s="10">
        <v>3</v>
      </c>
      <c r="O20" s="10">
        <f t="shared" si="1"/>
        <v>12</v>
      </c>
      <c r="P20" s="10"/>
      <c r="Q20" s="43">
        <f t="shared" si="2"/>
        <v>120</v>
      </c>
      <c r="R20" s="10">
        <f t="shared" si="3"/>
        <v>10</v>
      </c>
      <c r="S20" s="10" t="s">
        <v>65</v>
      </c>
      <c r="T20" s="10"/>
      <c r="U20" s="43">
        <f t="shared" si="4"/>
        <v>36791.999999999993</v>
      </c>
      <c r="V20" s="10" t="s">
        <v>244</v>
      </c>
      <c r="W20" s="43">
        <f>43.8*7</f>
        <v>306.59999999999997</v>
      </c>
      <c r="X20" s="10">
        <v>1</v>
      </c>
      <c r="Y20" s="43">
        <f t="shared" si="5"/>
        <v>3065.9999999999995</v>
      </c>
      <c r="Z20" s="10"/>
    </row>
    <row r="21" spans="1:27" ht="40" customHeight="1" x14ac:dyDescent="0.2">
      <c r="A21" s="10">
        <v>2</v>
      </c>
      <c r="B21" s="10" t="s">
        <v>685</v>
      </c>
      <c r="E21" s="10" t="s">
        <v>406</v>
      </c>
      <c r="F21" s="10"/>
      <c r="G21" s="10" t="s">
        <v>58</v>
      </c>
      <c r="H21" s="10"/>
      <c r="I21" s="10" t="s">
        <v>389</v>
      </c>
      <c r="J21" s="10" t="s">
        <v>407</v>
      </c>
      <c r="L21" s="10"/>
      <c r="M21" s="10"/>
      <c r="N21" s="10">
        <v>3</v>
      </c>
      <c r="O21" s="10">
        <f t="shared" si="1"/>
        <v>12</v>
      </c>
      <c r="P21" s="10"/>
      <c r="Q21" s="43">
        <f t="shared" si="2"/>
        <v>120</v>
      </c>
      <c r="R21" s="10">
        <f t="shared" si="3"/>
        <v>10</v>
      </c>
      <c r="S21" s="10" t="s">
        <v>30</v>
      </c>
      <c r="T21" s="10"/>
      <c r="U21" s="43">
        <f t="shared" si="4"/>
        <v>2568</v>
      </c>
      <c r="V21" s="10" t="s">
        <v>244</v>
      </c>
      <c r="W21" s="43">
        <v>21.4</v>
      </c>
      <c r="X21" s="10">
        <v>1</v>
      </c>
      <c r="Y21" s="43">
        <f t="shared" si="5"/>
        <v>214</v>
      </c>
      <c r="Z21" s="10"/>
    </row>
    <row r="22" spans="1:27" ht="40" customHeight="1" x14ac:dyDescent="0.2">
      <c r="A22" s="10">
        <v>2</v>
      </c>
      <c r="B22" s="10" t="s">
        <v>685</v>
      </c>
      <c r="E22" s="10" t="s">
        <v>406</v>
      </c>
      <c r="F22" s="10"/>
      <c r="G22" s="10" t="s">
        <v>58</v>
      </c>
      <c r="H22" s="10"/>
      <c r="I22" s="10" t="s">
        <v>439</v>
      </c>
      <c r="J22" s="10" t="s">
        <v>407</v>
      </c>
      <c r="L22" s="10"/>
      <c r="M22" s="10"/>
      <c r="N22" s="10">
        <v>4</v>
      </c>
      <c r="O22" s="10">
        <f t="shared" si="1"/>
        <v>16</v>
      </c>
      <c r="P22" s="10"/>
      <c r="Q22" s="43">
        <f t="shared" si="2"/>
        <v>160</v>
      </c>
      <c r="R22" s="10">
        <f t="shared" si="3"/>
        <v>10</v>
      </c>
      <c r="S22" s="10" t="s">
        <v>65</v>
      </c>
      <c r="T22" s="10"/>
      <c r="U22" s="43">
        <f t="shared" si="4"/>
        <v>44800</v>
      </c>
      <c r="V22" s="10" t="s">
        <v>244</v>
      </c>
      <c r="W22" s="43">
        <f>40*7</f>
        <v>280</v>
      </c>
      <c r="X22" s="10">
        <v>3</v>
      </c>
      <c r="Y22" s="43">
        <f t="shared" si="5"/>
        <v>2800</v>
      </c>
      <c r="Z22" s="10"/>
    </row>
    <row r="23" spans="1:27" ht="40" customHeight="1" x14ac:dyDescent="0.2">
      <c r="A23" s="10">
        <v>2</v>
      </c>
      <c r="B23" s="10" t="s">
        <v>685</v>
      </c>
      <c r="E23" s="10" t="s">
        <v>406</v>
      </c>
      <c r="F23" s="10"/>
      <c r="G23" s="10" t="s">
        <v>58</v>
      </c>
      <c r="H23" s="10"/>
      <c r="I23" s="10" t="s">
        <v>439</v>
      </c>
      <c r="J23" s="10" t="s">
        <v>407</v>
      </c>
      <c r="L23" s="10"/>
      <c r="M23" s="10"/>
      <c r="N23" s="10">
        <v>4</v>
      </c>
      <c r="O23" s="10">
        <f t="shared" si="1"/>
        <v>16</v>
      </c>
      <c r="P23" s="10"/>
      <c r="Q23" s="43">
        <f t="shared" si="2"/>
        <v>160</v>
      </c>
      <c r="R23" s="10">
        <f t="shared" si="3"/>
        <v>10</v>
      </c>
      <c r="S23" s="10" t="s">
        <v>30</v>
      </c>
      <c r="T23" s="10"/>
      <c r="U23" s="43">
        <f t="shared" si="4"/>
        <v>3392</v>
      </c>
      <c r="V23" s="10" t="s">
        <v>244</v>
      </c>
      <c r="W23" s="43">
        <v>21.2</v>
      </c>
      <c r="X23" s="10">
        <v>3</v>
      </c>
      <c r="Y23" s="43">
        <f t="shared" si="5"/>
        <v>212</v>
      </c>
      <c r="Z23" s="10"/>
    </row>
    <row r="24" spans="1:27" ht="40" customHeight="1" x14ac:dyDescent="0.2">
      <c r="A24" s="10">
        <v>2</v>
      </c>
      <c r="B24" s="10" t="s">
        <v>685</v>
      </c>
      <c r="E24" s="10" t="s">
        <v>406</v>
      </c>
      <c r="F24" s="10"/>
      <c r="G24" s="10" t="s">
        <v>58</v>
      </c>
      <c r="H24" s="10"/>
      <c r="I24" s="10" t="s">
        <v>389</v>
      </c>
      <c r="J24" s="10" t="s">
        <v>407</v>
      </c>
      <c r="L24" s="10"/>
      <c r="M24" s="10"/>
      <c r="N24" s="10">
        <v>1</v>
      </c>
      <c r="O24" s="10">
        <f t="shared" ref="O24:O41" si="6">4*N24</f>
        <v>4</v>
      </c>
      <c r="P24" s="10"/>
      <c r="Q24" s="43">
        <f t="shared" ref="Q24:Q43" si="7">AVERAGE(20,60)*N24</f>
        <v>40</v>
      </c>
      <c r="R24" s="10">
        <f t="shared" ref="R24:R41" si="8">Q24/O24</f>
        <v>10</v>
      </c>
      <c r="S24" s="10" t="s">
        <v>30</v>
      </c>
      <c r="T24" s="10"/>
      <c r="U24" s="43">
        <f t="shared" ref="U24:U43" si="9">W24*Q24</f>
        <v>640</v>
      </c>
      <c r="V24" s="10" t="s">
        <v>244</v>
      </c>
      <c r="W24" s="43">
        <v>16</v>
      </c>
      <c r="X24" s="10">
        <v>1</v>
      </c>
      <c r="Y24" s="43">
        <f t="shared" si="5"/>
        <v>160</v>
      </c>
      <c r="Z24" s="10"/>
    </row>
    <row r="25" spans="1:27" ht="40" customHeight="1" x14ac:dyDescent="0.2">
      <c r="A25" s="10">
        <v>2</v>
      </c>
      <c r="B25" s="10" t="s">
        <v>685</v>
      </c>
      <c r="E25" s="10" t="s">
        <v>406</v>
      </c>
      <c r="F25" s="10"/>
      <c r="G25" s="10" t="s">
        <v>58</v>
      </c>
      <c r="H25" s="10"/>
      <c r="I25" s="10" t="s">
        <v>389</v>
      </c>
      <c r="J25" s="10" t="s">
        <v>407</v>
      </c>
      <c r="L25" s="10"/>
      <c r="M25" s="10"/>
      <c r="N25" s="10">
        <v>2</v>
      </c>
      <c r="O25" s="10">
        <f t="shared" si="6"/>
        <v>8</v>
      </c>
      <c r="P25" s="10"/>
      <c r="Q25" s="43">
        <f t="shared" si="7"/>
        <v>80</v>
      </c>
      <c r="R25" s="10">
        <f t="shared" si="8"/>
        <v>10</v>
      </c>
      <c r="S25" s="10" t="s">
        <v>30</v>
      </c>
      <c r="T25" s="10"/>
      <c r="U25" s="43">
        <f t="shared" si="9"/>
        <v>1216</v>
      </c>
      <c r="V25" s="10" t="s">
        <v>244</v>
      </c>
      <c r="W25" s="43">
        <v>15.2</v>
      </c>
      <c r="X25" s="10">
        <v>1</v>
      </c>
      <c r="Y25" s="43">
        <f t="shared" si="5"/>
        <v>152</v>
      </c>
      <c r="Z25" s="10"/>
    </row>
    <row r="26" spans="1:27" ht="40" customHeight="1" x14ac:dyDescent="0.2">
      <c r="A26" s="10">
        <v>2</v>
      </c>
      <c r="B26" s="10" t="s">
        <v>685</v>
      </c>
      <c r="E26" s="10" t="s">
        <v>406</v>
      </c>
      <c r="F26" s="10"/>
      <c r="G26" s="10" t="s">
        <v>58</v>
      </c>
      <c r="H26" s="10"/>
      <c r="I26" s="10" t="s">
        <v>389</v>
      </c>
      <c r="J26" s="10" t="s">
        <v>407</v>
      </c>
      <c r="L26" s="10"/>
      <c r="M26" s="10"/>
      <c r="N26" s="10">
        <v>3</v>
      </c>
      <c r="O26" s="10">
        <f t="shared" si="6"/>
        <v>12</v>
      </c>
      <c r="P26" s="10"/>
      <c r="Q26" s="43">
        <f t="shared" si="7"/>
        <v>120</v>
      </c>
      <c r="R26" s="10">
        <f t="shared" si="8"/>
        <v>10</v>
      </c>
      <c r="S26" s="10" t="s">
        <v>30</v>
      </c>
      <c r="T26" s="10"/>
      <c r="U26" s="43">
        <f t="shared" si="9"/>
        <v>2568</v>
      </c>
      <c r="V26" s="10" t="s">
        <v>244</v>
      </c>
      <c r="W26" s="43">
        <v>21.4</v>
      </c>
      <c r="X26" s="10">
        <v>1</v>
      </c>
      <c r="Y26" s="43">
        <f t="shared" si="5"/>
        <v>214</v>
      </c>
      <c r="Z26" s="10"/>
    </row>
    <row r="27" spans="1:27" ht="40" customHeight="1" x14ac:dyDescent="0.2">
      <c r="A27" s="10">
        <v>2</v>
      </c>
      <c r="B27" s="10" t="s">
        <v>685</v>
      </c>
      <c r="E27" s="10" t="s">
        <v>406</v>
      </c>
      <c r="F27" s="10"/>
      <c r="G27" s="10" t="s">
        <v>58</v>
      </c>
      <c r="H27" s="10"/>
      <c r="I27" s="10" t="s">
        <v>433</v>
      </c>
      <c r="J27" s="10" t="s">
        <v>407</v>
      </c>
      <c r="L27" s="10"/>
      <c r="M27" s="10"/>
      <c r="N27" s="10">
        <v>4</v>
      </c>
      <c r="O27" s="10">
        <f t="shared" si="6"/>
        <v>16</v>
      </c>
      <c r="P27" s="10"/>
      <c r="Q27" s="43">
        <f t="shared" si="7"/>
        <v>160</v>
      </c>
      <c r="R27" s="10">
        <f t="shared" si="8"/>
        <v>10</v>
      </c>
      <c r="S27" s="10" t="s">
        <v>30</v>
      </c>
      <c r="T27" s="10"/>
      <c r="U27" s="43">
        <f t="shared" si="9"/>
        <v>3392</v>
      </c>
      <c r="V27" s="10" t="s">
        <v>244</v>
      </c>
      <c r="W27" s="43">
        <v>21.2</v>
      </c>
      <c r="X27" s="10">
        <v>3</v>
      </c>
      <c r="Y27" s="43">
        <f t="shared" si="5"/>
        <v>212</v>
      </c>
      <c r="Z27" s="10"/>
    </row>
    <row r="28" spans="1:27" ht="40" customHeight="1" x14ac:dyDescent="0.2">
      <c r="A28" s="10">
        <v>2</v>
      </c>
      <c r="B28" s="10" t="s">
        <v>685</v>
      </c>
      <c r="E28" s="10" t="s">
        <v>406</v>
      </c>
      <c r="F28" s="10"/>
      <c r="G28" s="10" t="s">
        <v>58</v>
      </c>
      <c r="H28" s="10"/>
      <c r="I28" s="10" t="s">
        <v>389</v>
      </c>
      <c r="J28" s="10" t="s">
        <v>407</v>
      </c>
      <c r="L28" s="10"/>
      <c r="M28" s="10"/>
      <c r="N28" s="10">
        <v>1</v>
      </c>
      <c r="O28" s="10">
        <f t="shared" si="6"/>
        <v>4</v>
      </c>
      <c r="P28" s="10"/>
      <c r="Q28" s="43">
        <f t="shared" si="7"/>
        <v>40</v>
      </c>
      <c r="R28" s="10">
        <f t="shared" si="8"/>
        <v>10</v>
      </c>
      <c r="S28" s="10" t="s">
        <v>65</v>
      </c>
      <c r="T28" s="10"/>
      <c r="U28" s="43">
        <f t="shared" si="9"/>
        <v>109200</v>
      </c>
      <c r="V28" s="10" t="s">
        <v>244</v>
      </c>
      <c r="W28" s="43">
        <f>105*26</f>
        <v>2730</v>
      </c>
      <c r="X28" s="10">
        <v>1</v>
      </c>
      <c r="Y28" s="43">
        <f t="shared" si="5"/>
        <v>27300</v>
      </c>
      <c r="Z28" s="10"/>
      <c r="AA28" s="10" t="s">
        <v>895</v>
      </c>
    </row>
    <row r="29" spans="1:27" ht="40" customHeight="1" x14ac:dyDescent="0.2">
      <c r="A29" s="10">
        <v>2</v>
      </c>
      <c r="B29" s="10" t="s">
        <v>685</v>
      </c>
      <c r="E29" s="10" t="s">
        <v>406</v>
      </c>
      <c r="F29" s="10"/>
      <c r="G29" s="10" t="s">
        <v>58</v>
      </c>
      <c r="H29" s="10"/>
      <c r="I29" s="10" t="s">
        <v>389</v>
      </c>
      <c r="J29" s="10" t="s">
        <v>407</v>
      </c>
      <c r="L29" s="10"/>
      <c r="M29" s="10"/>
      <c r="N29" s="10">
        <v>1</v>
      </c>
      <c r="O29" s="10">
        <f t="shared" si="6"/>
        <v>4</v>
      </c>
      <c r="P29" s="10"/>
      <c r="Q29" s="43">
        <f t="shared" si="7"/>
        <v>40</v>
      </c>
      <c r="R29" s="10">
        <f t="shared" si="8"/>
        <v>10</v>
      </c>
      <c r="S29" s="10" t="s">
        <v>30</v>
      </c>
      <c r="T29" s="10"/>
      <c r="U29" s="43">
        <f t="shared" si="9"/>
        <v>640</v>
      </c>
      <c r="V29" s="10" t="s">
        <v>244</v>
      </c>
      <c r="W29" s="43">
        <v>16</v>
      </c>
      <c r="X29" s="10">
        <v>1</v>
      </c>
      <c r="Y29" s="43">
        <f t="shared" si="5"/>
        <v>160</v>
      </c>
      <c r="Z29" s="10"/>
    </row>
    <row r="30" spans="1:27" ht="40" customHeight="1" x14ac:dyDescent="0.2">
      <c r="A30" s="10">
        <v>2</v>
      </c>
      <c r="B30" s="10" t="s">
        <v>685</v>
      </c>
      <c r="E30" s="10" t="s">
        <v>406</v>
      </c>
      <c r="F30" s="10"/>
      <c r="G30" s="10" t="s">
        <v>58</v>
      </c>
      <c r="H30" s="10"/>
      <c r="I30" s="10" t="s">
        <v>389</v>
      </c>
      <c r="J30" s="10" t="s">
        <v>407</v>
      </c>
      <c r="L30" s="10"/>
      <c r="M30" s="10"/>
      <c r="N30" s="10">
        <v>2</v>
      </c>
      <c r="O30" s="10">
        <f t="shared" si="6"/>
        <v>8</v>
      </c>
      <c r="P30" s="10"/>
      <c r="Q30" s="43">
        <f t="shared" si="7"/>
        <v>80</v>
      </c>
      <c r="R30" s="10">
        <f t="shared" si="8"/>
        <v>10</v>
      </c>
      <c r="S30" s="10" t="s">
        <v>65</v>
      </c>
      <c r="T30" s="10"/>
      <c r="U30" s="43">
        <f t="shared" si="9"/>
        <v>164112</v>
      </c>
      <c r="V30" s="10" t="s">
        <v>244</v>
      </c>
      <c r="W30" s="43">
        <f>78.9*26</f>
        <v>2051.4</v>
      </c>
      <c r="X30" s="10">
        <v>1</v>
      </c>
      <c r="Y30" s="43">
        <f t="shared" si="5"/>
        <v>20514</v>
      </c>
      <c r="Z30" s="10"/>
    </row>
    <row r="31" spans="1:27" ht="40" customHeight="1" x14ac:dyDescent="0.2">
      <c r="A31" s="10">
        <v>2</v>
      </c>
      <c r="B31" s="10" t="s">
        <v>685</v>
      </c>
      <c r="E31" s="10" t="s">
        <v>406</v>
      </c>
      <c r="F31" s="10"/>
      <c r="G31" s="10" t="s">
        <v>58</v>
      </c>
      <c r="H31" s="10"/>
      <c r="I31" s="10" t="s">
        <v>389</v>
      </c>
      <c r="J31" s="10" t="s">
        <v>407</v>
      </c>
      <c r="L31" s="10"/>
      <c r="M31" s="10"/>
      <c r="N31" s="10">
        <v>2</v>
      </c>
      <c r="O31" s="10">
        <f t="shared" si="6"/>
        <v>8</v>
      </c>
      <c r="P31" s="10"/>
      <c r="Q31" s="43">
        <f t="shared" si="7"/>
        <v>80</v>
      </c>
      <c r="R31" s="10">
        <f t="shared" si="8"/>
        <v>10</v>
      </c>
      <c r="S31" s="10" t="s">
        <v>30</v>
      </c>
      <c r="T31" s="10"/>
      <c r="U31" s="43">
        <f t="shared" si="9"/>
        <v>1216</v>
      </c>
      <c r="V31" s="10" t="s">
        <v>244</v>
      </c>
      <c r="W31" s="43">
        <v>15.2</v>
      </c>
      <c r="X31" s="10">
        <v>1</v>
      </c>
      <c r="Y31" s="43">
        <f t="shared" si="5"/>
        <v>152</v>
      </c>
      <c r="Z31" s="10"/>
    </row>
    <row r="32" spans="1:27" ht="40" customHeight="1" x14ac:dyDescent="0.2">
      <c r="A32" s="10">
        <v>2</v>
      </c>
      <c r="B32" s="10" t="s">
        <v>685</v>
      </c>
      <c r="E32" s="10" t="s">
        <v>406</v>
      </c>
      <c r="F32" s="10"/>
      <c r="G32" s="10" t="s">
        <v>58</v>
      </c>
      <c r="H32" s="10"/>
      <c r="I32" s="10" t="s">
        <v>389</v>
      </c>
      <c r="J32" s="10" t="s">
        <v>407</v>
      </c>
      <c r="L32" s="10"/>
      <c r="M32" s="10"/>
      <c r="N32" s="10">
        <v>3</v>
      </c>
      <c r="O32" s="10">
        <f t="shared" si="6"/>
        <v>12</v>
      </c>
      <c r="P32" s="10"/>
      <c r="Q32" s="43">
        <f t="shared" si="7"/>
        <v>120</v>
      </c>
      <c r="R32" s="10">
        <f t="shared" si="8"/>
        <v>10</v>
      </c>
      <c r="S32" s="10" t="s">
        <v>65</v>
      </c>
      <c r="T32" s="10"/>
      <c r="U32" s="43">
        <f t="shared" si="9"/>
        <v>238992</v>
      </c>
      <c r="V32" s="10" t="s">
        <v>244</v>
      </c>
      <c r="W32" s="43">
        <f>76.6*26</f>
        <v>1991.6</v>
      </c>
      <c r="X32" s="10">
        <v>1</v>
      </c>
      <c r="Y32" s="43">
        <f t="shared" si="5"/>
        <v>19916</v>
      </c>
      <c r="Z32" s="10"/>
    </row>
    <row r="33" spans="1:26" ht="40" customHeight="1" x14ac:dyDescent="0.2">
      <c r="A33" s="10">
        <v>2</v>
      </c>
      <c r="B33" s="10" t="s">
        <v>685</v>
      </c>
      <c r="E33" s="10" t="s">
        <v>406</v>
      </c>
      <c r="F33" s="10"/>
      <c r="G33" s="10" t="s">
        <v>58</v>
      </c>
      <c r="H33" s="10"/>
      <c r="I33" s="10" t="s">
        <v>389</v>
      </c>
      <c r="J33" s="10" t="s">
        <v>407</v>
      </c>
      <c r="L33" s="10"/>
      <c r="M33" s="10"/>
      <c r="N33" s="10">
        <v>3</v>
      </c>
      <c r="O33" s="10">
        <f t="shared" si="6"/>
        <v>12</v>
      </c>
      <c r="P33" s="10"/>
      <c r="Q33" s="43">
        <f t="shared" si="7"/>
        <v>120</v>
      </c>
      <c r="R33" s="10">
        <f t="shared" si="8"/>
        <v>10</v>
      </c>
      <c r="S33" s="10" t="s">
        <v>30</v>
      </c>
      <c r="T33" s="10"/>
      <c r="U33" s="43">
        <f t="shared" si="9"/>
        <v>2568</v>
      </c>
      <c r="V33" s="10" t="s">
        <v>244</v>
      </c>
      <c r="W33" s="43">
        <v>21.4</v>
      </c>
      <c r="X33" s="10">
        <v>1</v>
      </c>
      <c r="Y33" s="43">
        <f t="shared" si="5"/>
        <v>214</v>
      </c>
      <c r="Z33" s="10"/>
    </row>
    <row r="34" spans="1:26" ht="40" customHeight="1" x14ac:dyDescent="0.2">
      <c r="A34" s="10">
        <v>2</v>
      </c>
      <c r="B34" s="10" t="s">
        <v>685</v>
      </c>
      <c r="E34" s="10" t="s">
        <v>406</v>
      </c>
      <c r="F34" s="10"/>
      <c r="G34" s="10" t="s">
        <v>58</v>
      </c>
      <c r="H34" s="10"/>
      <c r="I34" s="10" t="s">
        <v>433</v>
      </c>
      <c r="J34" s="10" t="s">
        <v>407</v>
      </c>
      <c r="L34" s="10"/>
      <c r="M34" s="10"/>
      <c r="N34" s="10">
        <v>4</v>
      </c>
      <c r="O34" s="10">
        <f t="shared" si="6"/>
        <v>16</v>
      </c>
      <c r="P34" s="10"/>
      <c r="Q34" s="43">
        <f t="shared" si="7"/>
        <v>160</v>
      </c>
      <c r="R34" s="10">
        <f t="shared" si="8"/>
        <v>10</v>
      </c>
      <c r="S34" s="10" t="s">
        <v>65</v>
      </c>
      <c r="T34" s="10"/>
      <c r="U34" s="43">
        <f t="shared" si="9"/>
        <v>290784</v>
      </c>
      <c r="V34" s="10" t="s">
        <v>244</v>
      </c>
      <c r="W34" s="43">
        <f>69.9*26</f>
        <v>1817.4</v>
      </c>
      <c r="X34" s="10">
        <v>3</v>
      </c>
      <c r="Y34" s="43">
        <f t="shared" si="5"/>
        <v>18174</v>
      </c>
      <c r="Z34" s="10"/>
    </row>
    <row r="35" spans="1:26" ht="40" customHeight="1" x14ac:dyDescent="0.2">
      <c r="A35" s="10">
        <v>2</v>
      </c>
      <c r="B35" s="10" t="s">
        <v>685</v>
      </c>
      <c r="E35" s="10" t="s">
        <v>406</v>
      </c>
      <c r="F35" s="10"/>
      <c r="G35" s="10" t="s">
        <v>58</v>
      </c>
      <c r="H35" s="10"/>
      <c r="I35" s="10" t="s">
        <v>433</v>
      </c>
      <c r="J35" s="10" t="s">
        <v>407</v>
      </c>
      <c r="L35" s="10"/>
      <c r="M35" s="10"/>
      <c r="N35" s="10">
        <v>4</v>
      </c>
      <c r="O35" s="10">
        <f t="shared" si="6"/>
        <v>16</v>
      </c>
      <c r="P35" s="10"/>
      <c r="Q35" s="43">
        <f t="shared" si="7"/>
        <v>160</v>
      </c>
      <c r="R35" s="10">
        <f t="shared" si="8"/>
        <v>10</v>
      </c>
      <c r="S35" s="10" t="s">
        <v>30</v>
      </c>
      <c r="T35" s="10"/>
      <c r="U35" s="43">
        <f t="shared" si="9"/>
        <v>3392</v>
      </c>
      <c r="V35" s="10" t="s">
        <v>244</v>
      </c>
      <c r="W35" s="43">
        <v>21.2</v>
      </c>
      <c r="X35" s="10">
        <v>3</v>
      </c>
      <c r="Y35" s="43">
        <f t="shared" si="5"/>
        <v>212</v>
      </c>
      <c r="Z35" s="10"/>
    </row>
    <row r="36" spans="1:26" ht="40" customHeight="1" x14ac:dyDescent="0.2">
      <c r="A36" s="10">
        <v>2</v>
      </c>
      <c r="B36" s="10" t="s">
        <v>685</v>
      </c>
      <c r="E36" s="10" t="s">
        <v>406</v>
      </c>
      <c r="F36" s="10"/>
      <c r="G36" s="10" t="s">
        <v>58</v>
      </c>
      <c r="H36" s="10"/>
      <c r="I36" s="10" t="s">
        <v>389</v>
      </c>
      <c r="J36" s="10" t="s">
        <v>410</v>
      </c>
      <c r="L36" s="10"/>
      <c r="M36" s="10"/>
      <c r="N36" s="10">
        <v>1</v>
      </c>
      <c r="O36" s="10">
        <f t="shared" si="6"/>
        <v>4</v>
      </c>
      <c r="P36" s="10"/>
      <c r="Q36" s="43">
        <f t="shared" si="7"/>
        <v>40</v>
      </c>
      <c r="R36" s="10">
        <f t="shared" si="8"/>
        <v>10</v>
      </c>
      <c r="S36" s="10" t="s">
        <v>30</v>
      </c>
      <c r="T36" s="10"/>
      <c r="U36" s="43">
        <f t="shared" si="9"/>
        <v>640</v>
      </c>
      <c r="V36" s="10" t="s">
        <v>244</v>
      </c>
      <c r="W36" s="43">
        <v>16</v>
      </c>
      <c r="X36" s="10">
        <v>1</v>
      </c>
      <c r="Y36" s="43">
        <f t="shared" si="5"/>
        <v>160</v>
      </c>
      <c r="Z36" s="10"/>
    </row>
    <row r="37" spans="1:26" ht="40" customHeight="1" x14ac:dyDescent="0.2">
      <c r="A37" s="10">
        <v>2</v>
      </c>
      <c r="B37" s="10" t="s">
        <v>685</v>
      </c>
      <c r="E37" s="10" t="s">
        <v>406</v>
      </c>
      <c r="F37" s="10"/>
      <c r="G37" s="10" t="s">
        <v>58</v>
      </c>
      <c r="H37" s="10"/>
      <c r="I37" s="10" t="s">
        <v>389</v>
      </c>
      <c r="J37" s="10" t="s">
        <v>410</v>
      </c>
      <c r="L37" s="10"/>
      <c r="M37" s="10"/>
      <c r="N37" s="10">
        <v>2</v>
      </c>
      <c r="O37" s="10">
        <f t="shared" si="6"/>
        <v>8</v>
      </c>
      <c r="P37" s="10"/>
      <c r="Q37" s="43">
        <f t="shared" si="7"/>
        <v>80</v>
      </c>
      <c r="R37" s="10">
        <f t="shared" si="8"/>
        <v>10</v>
      </c>
      <c r="S37" s="10" t="s">
        <v>30</v>
      </c>
      <c r="T37" s="10"/>
      <c r="U37" s="43">
        <f t="shared" si="9"/>
        <v>1216</v>
      </c>
      <c r="V37" s="10" t="s">
        <v>244</v>
      </c>
      <c r="W37" s="43">
        <v>15.2</v>
      </c>
      <c r="X37" s="10">
        <v>1</v>
      </c>
      <c r="Y37" s="43">
        <f t="shared" si="5"/>
        <v>152</v>
      </c>
      <c r="Z37" s="10"/>
    </row>
    <row r="38" spans="1:26" ht="40" customHeight="1" x14ac:dyDescent="0.2">
      <c r="A38" s="10">
        <v>2</v>
      </c>
      <c r="B38" s="10" t="s">
        <v>685</v>
      </c>
      <c r="E38" s="10" t="s">
        <v>406</v>
      </c>
      <c r="F38" s="10"/>
      <c r="G38" s="10" t="s">
        <v>58</v>
      </c>
      <c r="H38" s="10"/>
      <c r="I38" s="10" t="s">
        <v>389</v>
      </c>
      <c r="J38" s="10" t="s">
        <v>410</v>
      </c>
      <c r="L38" s="10"/>
      <c r="M38" s="10"/>
      <c r="N38" s="10">
        <v>3</v>
      </c>
      <c r="O38" s="10">
        <f t="shared" si="6"/>
        <v>12</v>
      </c>
      <c r="P38" s="10"/>
      <c r="Q38" s="43">
        <f t="shared" si="7"/>
        <v>120</v>
      </c>
      <c r="R38" s="10">
        <f t="shared" si="8"/>
        <v>10</v>
      </c>
      <c r="S38" s="10" t="s">
        <v>30</v>
      </c>
      <c r="T38" s="10"/>
      <c r="U38" s="43">
        <f t="shared" si="9"/>
        <v>2568</v>
      </c>
      <c r="V38" s="10" t="s">
        <v>244</v>
      </c>
      <c r="W38" s="43">
        <v>21.4</v>
      </c>
      <c r="X38" s="10">
        <v>1</v>
      </c>
      <c r="Y38" s="43">
        <f t="shared" ref="Y38:Y52" si="10">U38/O38</f>
        <v>214</v>
      </c>
      <c r="Z38" s="10"/>
    </row>
    <row r="39" spans="1:26" ht="40" customHeight="1" x14ac:dyDescent="0.2">
      <c r="A39" s="10">
        <v>2</v>
      </c>
      <c r="B39" s="10" t="s">
        <v>685</v>
      </c>
      <c r="E39" s="10" t="s">
        <v>406</v>
      </c>
      <c r="F39" s="10"/>
      <c r="G39" s="10" t="s">
        <v>58</v>
      </c>
      <c r="H39" s="10"/>
      <c r="I39" s="10" t="s">
        <v>439</v>
      </c>
      <c r="J39" s="10" t="s">
        <v>410</v>
      </c>
      <c r="L39" s="10"/>
      <c r="M39" s="10"/>
      <c r="N39" s="10">
        <v>4</v>
      </c>
      <c r="O39" s="10">
        <f t="shared" si="6"/>
        <v>16</v>
      </c>
      <c r="P39" s="10"/>
      <c r="Q39" s="43">
        <f t="shared" si="7"/>
        <v>160</v>
      </c>
      <c r="R39" s="10">
        <f t="shared" si="8"/>
        <v>10</v>
      </c>
      <c r="S39" s="10" t="s">
        <v>30</v>
      </c>
      <c r="T39" s="10"/>
      <c r="U39" s="43">
        <f t="shared" si="9"/>
        <v>3392</v>
      </c>
      <c r="V39" s="10" t="s">
        <v>244</v>
      </c>
      <c r="W39" s="43">
        <v>21.2</v>
      </c>
      <c r="X39" s="10">
        <v>3</v>
      </c>
      <c r="Y39" s="43">
        <f t="shared" si="10"/>
        <v>212</v>
      </c>
      <c r="Z39" s="10"/>
    </row>
    <row r="40" spans="1:26" ht="40" customHeight="1" x14ac:dyDescent="0.2">
      <c r="A40" s="10">
        <v>2</v>
      </c>
      <c r="B40" s="10" t="s">
        <v>685</v>
      </c>
      <c r="E40" s="10" t="s">
        <v>406</v>
      </c>
      <c r="F40" s="10"/>
      <c r="G40" s="10" t="s">
        <v>58</v>
      </c>
      <c r="H40" s="10"/>
      <c r="I40" s="10" t="s">
        <v>426</v>
      </c>
      <c r="J40" s="10" t="s">
        <v>411</v>
      </c>
      <c r="L40" s="10"/>
      <c r="M40" s="10"/>
      <c r="N40" s="10">
        <v>1</v>
      </c>
      <c r="O40" s="10">
        <f t="shared" si="6"/>
        <v>4</v>
      </c>
      <c r="P40" s="10"/>
      <c r="Q40" s="43">
        <f t="shared" si="7"/>
        <v>40</v>
      </c>
      <c r="R40" s="10">
        <f t="shared" si="8"/>
        <v>10</v>
      </c>
      <c r="S40" s="10" t="s">
        <v>30</v>
      </c>
      <c r="T40" s="10"/>
      <c r="U40" s="43">
        <f t="shared" si="9"/>
        <v>640</v>
      </c>
      <c r="V40" s="10" t="s">
        <v>244</v>
      </c>
      <c r="W40" s="43">
        <v>16</v>
      </c>
      <c r="X40" s="10">
        <v>1</v>
      </c>
      <c r="Y40" s="43">
        <f t="shared" si="10"/>
        <v>160</v>
      </c>
      <c r="Z40" s="10"/>
    </row>
    <row r="41" spans="1:26" ht="40" customHeight="1" x14ac:dyDescent="0.2">
      <c r="A41" s="10">
        <v>2</v>
      </c>
      <c r="B41" s="10" t="s">
        <v>685</v>
      </c>
      <c r="E41" s="10" t="s">
        <v>406</v>
      </c>
      <c r="F41" s="10"/>
      <c r="G41" s="10" t="s">
        <v>58</v>
      </c>
      <c r="H41" s="10"/>
      <c r="I41" s="10" t="s">
        <v>426</v>
      </c>
      <c r="J41" s="10" t="s">
        <v>411</v>
      </c>
      <c r="L41" s="10"/>
      <c r="M41" s="10"/>
      <c r="N41" s="10">
        <v>2</v>
      </c>
      <c r="O41" s="10">
        <f t="shared" si="6"/>
        <v>8</v>
      </c>
      <c r="P41" s="10"/>
      <c r="Q41" s="43">
        <f t="shared" si="7"/>
        <v>80</v>
      </c>
      <c r="R41" s="10">
        <f t="shared" si="8"/>
        <v>10</v>
      </c>
      <c r="S41" s="10" t="s">
        <v>30</v>
      </c>
      <c r="T41" s="10"/>
      <c r="U41" s="43">
        <f t="shared" si="9"/>
        <v>1216</v>
      </c>
      <c r="V41" s="10" t="s">
        <v>244</v>
      </c>
      <c r="W41" s="43">
        <v>15.2</v>
      </c>
      <c r="X41" s="10">
        <v>1</v>
      </c>
      <c r="Y41" s="43">
        <f t="shared" si="10"/>
        <v>152</v>
      </c>
      <c r="Z41" s="10"/>
    </row>
    <row r="42" spans="1:26" ht="40" customHeight="1" x14ac:dyDescent="0.2">
      <c r="A42" s="10">
        <v>2</v>
      </c>
      <c r="B42" s="10" t="s">
        <v>685</v>
      </c>
      <c r="E42" s="10" t="s">
        <v>406</v>
      </c>
      <c r="F42" s="10"/>
      <c r="G42" s="10" t="s">
        <v>58</v>
      </c>
      <c r="H42" s="10"/>
      <c r="I42" s="10" t="s">
        <v>426</v>
      </c>
      <c r="J42" s="10" t="s">
        <v>411</v>
      </c>
      <c r="L42" s="10"/>
      <c r="M42" s="10"/>
      <c r="N42" s="10">
        <v>3</v>
      </c>
      <c r="O42" s="10">
        <f t="shared" ref="O42:O46" si="11">4*N42</f>
        <v>12</v>
      </c>
      <c r="P42" s="10"/>
      <c r="Q42" s="43">
        <f t="shared" si="7"/>
        <v>120</v>
      </c>
      <c r="R42" s="10">
        <f t="shared" ref="R42:R49" si="12">Q42/O42</f>
        <v>10</v>
      </c>
      <c r="S42" s="10" t="s">
        <v>30</v>
      </c>
      <c r="T42" s="10"/>
      <c r="U42" s="43">
        <f t="shared" si="9"/>
        <v>2568</v>
      </c>
      <c r="V42" s="10" t="s">
        <v>244</v>
      </c>
      <c r="W42" s="43">
        <v>21.4</v>
      </c>
      <c r="X42" s="10">
        <v>1</v>
      </c>
      <c r="Y42" s="43">
        <f t="shared" si="10"/>
        <v>214</v>
      </c>
      <c r="Z42" s="10"/>
    </row>
    <row r="43" spans="1:26" ht="40" customHeight="1" x14ac:dyDescent="0.2">
      <c r="A43" s="10">
        <v>2</v>
      </c>
      <c r="B43" s="10" t="s">
        <v>685</v>
      </c>
      <c r="E43" s="10" t="s">
        <v>406</v>
      </c>
      <c r="F43" s="10"/>
      <c r="G43" s="10" t="s">
        <v>58</v>
      </c>
      <c r="H43" s="10"/>
      <c r="I43" s="10" t="s">
        <v>439</v>
      </c>
      <c r="J43" s="10" t="s">
        <v>411</v>
      </c>
      <c r="L43" s="10"/>
      <c r="M43" s="10"/>
      <c r="N43" s="10">
        <v>4</v>
      </c>
      <c r="O43" s="10">
        <f t="shared" si="11"/>
        <v>16</v>
      </c>
      <c r="P43" s="10"/>
      <c r="Q43" s="43">
        <f t="shared" si="7"/>
        <v>160</v>
      </c>
      <c r="R43" s="10">
        <f t="shared" si="12"/>
        <v>10</v>
      </c>
      <c r="S43" s="10" t="s">
        <v>30</v>
      </c>
      <c r="T43" s="10"/>
      <c r="U43" s="43">
        <f t="shared" si="9"/>
        <v>3392</v>
      </c>
      <c r="V43" s="10" t="s">
        <v>244</v>
      </c>
      <c r="W43" s="43">
        <v>21.2</v>
      </c>
      <c r="X43" s="10">
        <v>3</v>
      </c>
      <c r="Y43" s="43">
        <f t="shared" si="10"/>
        <v>212</v>
      </c>
      <c r="Z43" s="10"/>
    </row>
    <row r="44" spans="1:26" ht="40" customHeight="1" x14ac:dyDescent="0.2">
      <c r="A44" s="10">
        <v>3</v>
      </c>
      <c r="B44" s="10" t="s">
        <v>688</v>
      </c>
      <c r="C44" s="10" t="s">
        <v>567</v>
      </c>
      <c r="D44" s="10" t="s">
        <v>823</v>
      </c>
      <c r="E44" s="10" t="s">
        <v>568</v>
      </c>
      <c r="F44" s="10"/>
      <c r="G44" s="10" t="s">
        <v>58</v>
      </c>
      <c r="H44" s="10"/>
      <c r="I44" s="10" t="s">
        <v>389</v>
      </c>
      <c r="J44" s="10" t="s">
        <v>559</v>
      </c>
      <c r="L44" s="10"/>
      <c r="M44" s="10">
        <v>2</v>
      </c>
      <c r="N44" s="10">
        <v>1</v>
      </c>
      <c r="O44" s="10">
        <f t="shared" si="11"/>
        <v>4</v>
      </c>
      <c r="P44" s="10">
        <v>146</v>
      </c>
      <c r="Q44" s="43">
        <f>P44*0.9</f>
        <v>131.4</v>
      </c>
      <c r="R44" s="10">
        <f t="shared" si="12"/>
        <v>32.85</v>
      </c>
      <c r="S44" s="10" t="s">
        <v>30</v>
      </c>
      <c r="T44" s="10"/>
      <c r="U44" s="43">
        <f>5680.5+540</f>
        <v>6220.5</v>
      </c>
      <c r="V44" s="10" t="s">
        <v>244</v>
      </c>
      <c r="W44" s="43">
        <f>U44/Q44</f>
        <v>47.340182648401822</v>
      </c>
      <c r="X44" s="10">
        <v>1</v>
      </c>
      <c r="Y44" s="10">
        <f t="shared" si="10"/>
        <v>1555.125</v>
      </c>
      <c r="Z44" s="10"/>
    </row>
    <row r="45" spans="1:26" ht="40" customHeight="1" x14ac:dyDescent="0.2">
      <c r="A45" s="10">
        <v>3</v>
      </c>
      <c r="B45" s="10" t="s">
        <v>687</v>
      </c>
      <c r="E45" s="10" t="s">
        <v>568</v>
      </c>
      <c r="F45" s="10"/>
      <c r="G45" s="10" t="s">
        <v>58</v>
      </c>
      <c r="H45" s="10"/>
      <c r="I45" s="10" t="s">
        <v>389</v>
      </c>
      <c r="J45" s="10" t="s">
        <v>559</v>
      </c>
      <c r="L45" s="10"/>
      <c r="M45" s="10">
        <v>2</v>
      </c>
      <c r="N45" s="10">
        <v>1</v>
      </c>
      <c r="O45" s="10">
        <f t="shared" si="11"/>
        <v>4</v>
      </c>
      <c r="P45" s="10">
        <v>146</v>
      </c>
      <c r="Q45" s="43">
        <f t="shared" ref="Q45:Q49" si="13">P45*0.9</f>
        <v>131.4</v>
      </c>
      <c r="R45" s="10">
        <f t="shared" si="12"/>
        <v>32.85</v>
      </c>
      <c r="S45" s="10" t="s">
        <v>67</v>
      </c>
      <c r="T45" s="10">
        <v>450</v>
      </c>
      <c r="U45" s="43">
        <v>2</v>
      </c>
      <c r="V45" s="10" t="s">
        <v>1</v>
      </c>
      <c r="W45" s="43">
        <f>T45*U45/Q45</f>
        <v>6.8493150684931505</v>
      </c>
      <c r="X45" s="10">
        <v>1</v>
      </c>
      <c r="Y45" s="10">
        <f t="shared" si="10"/>
        <v>0.5</v>
      </c>
      <c r="Z45" s="10"/>
    </row>
    <row r="46" spans="1:26" ht="40" customHeight="1" x14ac:dyDescent="0.2">
      <c r="A46" s="10">
        <v>3</v>
      </c>
      <c r="B46" s="10" t="s">
        <v>687</v>
      </c>
      <c r="E46" s="10" t="s">
        <v>568</v>
      </c>
      <c r="F46" s="10"/>
      <c r="G46" s="10" t="s">
        <v>215</v>
      </c>
      <c r="H46" s="10"/>
      <c r="I46" s="10" t="s">
        <v>389</v>
      </c>
      <c r="J46" s="10" t="s">
        <v>559</v>
      </c>
      <c r="L46" s="10"/>
      <c r="M46" s="10">
        <v>2</v>
      </c>
      <c r="N46" s="10">
        <v>1</v>
      </c>
      <c r="O46" s="10">
        <f t="shared" si="11"/>
        <v>4</v>
      </c>
      <c r="P46" s="10">
        <v>145</v>
      </c>
      <c r="Q46" s="43">
        <f t="shared" si="13"/>
        <v>130.5</v>
      </c>
      <c r="R46" s="43">
        <f t="shared" si="12"/>
        <v>32.625</v>
      </c>
      <c r="S46" s="10" t="s">
        <v>67</v>
      </c>
      <c r="T46" s="10">
        <v>450</v>
      </c>
      <c r="U46" s="43">
        <v>11.6</v>
      </c>
      <c r="V46" s="10" t="s">
        <v>1</v>
      </c>
      <c r="W46" s="43">
        <f>U46*T46/Q46</f>
        <v>40</v>
      </c>
      <c r="X46" s="10">
        <v>1</v>
      </c>
      <c r="Y46" s="10">
        <f t="shared" si="10"/>
        <v>2.9</v>
      </c>
      <c r="Z46" s="10"/>
    </row>
    <row r="47" spans="1:26" ht="40" customHeight="1" x14ac:dyDescent="0.2">
      <c r="A47" s="10">
        <v>4</v>
      </c>
      <c r="B47" s="10" t="s">
        <v>690</v>
      </c>
      <c r="C47" s="10" t="s">
        <v>569</v>
      </c>
      <c r="D47" s="10" t="s">
        <v>824</v>
      </c>
      <c r="E47" s="10" t="s">
        <v>406</v>
      </c>
      <c r="F47" s="10"/>
      <c r="G47" s="10" t="s">
        <v>58</v>
      </c>
      <c r="H47" s="10"/>
      <c r="I47" s="10" t="s">
        <v>389</v>
      </c>
      <c r="J47" s="10" t="s">
        <v>559</v>
      </c>
      <c r="L47" s="10"/>
      <c r="M47" s="10">
        <v>1</v>
      </c>
      <c r="N47" s="10">
        <v>1</v>
      </c>
      <c r="O47" s="10">
        <f t="shared" ref="O47:O52" si="14">4*N47</f>
        <v>4</v>
      </c>
      <c r="P47" s="10">
        <v>85.5</v>
      </c>
      <c r="Q47" s="43">
        <f t="shared" si="13"/>
        <v>76.95</v>
      </c>
      <c r="R47" s="43">
        <f t="shared" si="12"/>
        <v>19.237500000000001</v>
      </c>
      <c r="S47" s="10" t="s">
        <v>30</v>
      </c>
      <c r="T47" s="10"/>
      <c r="U47" s="43">
        <f>4.82*1000</f>
        <v>4820</v>
      </c>
      <c r="V47" s="10" t="s">
        <v>244</v>
      </c>
      <c r="W47" s="43">
        <f>U47/Q47</f>
        <v>62.638076673164392</v>
      </c>
      <c r="X47" s="10">
        <v>1</v>
      </c>
      <c r="Y47" s="10">
        <f t="shared" si="10"/>
        <v>1205</v>
      </c>
      <c r="Z47" s="10" t="s">
        <v>570</v>
      </c>
    </row>
    <row r="48" spans="1:26" ht="40" customHeight="1" x14ac:dyDescent="0.2">
      <c r="A48" s="10">
        <v>4</v>
      </c>
      <c r="B48" s="10" t="s">
        <v>689</v>
      </c>
      <c r="E48" s="10" t="s">
        <v>406</v>
      </c>
      <c r="F48" s="10"/>
      <c r="G48" s="10" t="s">
        <v>58</v>
      </c>
      <c r="H48" s="10"/>
      <c r="I48" s="10" t="s">
        <v>389</v>
      </c>
      <c r="J48" s="10" t="s">
        <v>559</v>
      </c>
      <c r="L48" s="10"/>
      <c r="M48" s="10">
        <v>1</v>
      </c>
      <c r="N48" s="10">
        <v>1</v>
      </c>
      <c r="O48" s="10">
        <f t="shared" si="14"/>
        <v>4</v>
      </c>
      <c r="P48" s="10">
        <v>85.5</v>
      </c>
      <c r="Q48" s="43">
        <f t="shared" si="13"/>
        <v>76.95</v>
      </c>
      <c r="R48" s="43">
        <f t="shared" si="12"/>
        <v>19.237500000000001</v>
      </c>
      <c r="S48" s="10" t="s">
        <v>435</v>
      </c>
      <c r="T48" s="10"/>
      <c r="U48" s="43">
        <f>0.2*1000</f>
        <v>200</v>
      </c>
      <c r="V48" s="10" t="s">
        <v>244</v>
      </c>
      <c r="W48" s="43">
        <f t="shared" ref="W48:W52" si="15">U48/Q48</f>
        <v>2.5990903183885639</v>
      </c>
      <c r="X48" s="10">
        <v>1</v>
      </c>
      <c r="Y48" s="10">
        <f t="shared" si="10"/>
        <v>50</v>
      </c>
      <c r="Z48" s="10"/>
    </row>
    <row r="49" spans="1:27" ht="40" customHeight="1" x14ac:dyDescent="0.2">
      <c r="A49" s="10">
        <v>4</v>
      </c>
      <c r="B49" s="10" t="s">
        <v>689</v>
      </c>
      <c r="E49" s="10" t="s">
        <v>406</v>
      </c>
      <c r="F49" s="10"/>
      <c r="G49" s="10" t="s">
        <v>58</v>
      </c>
      <c r="H49" s="10"/>
      <c r="I49" s="10" t="s">
        <v>389</v>
      </c>
      <c r="J49" s="10" t="s">
        <v>559</v>
      </c>
      <c r="L49" s="10"/>
      <c r="M49" s="10">
        <v>1</v>
      </c>
      <c r="N49" s="10">
        <v>1</v>
      </c>
      <c r="O49" s="10">
        <f t="shared" si="14"/>
        <v>4</v>
      </c>
      <c r="P49" s="10">
        <v>85.5</v>
      </c>
      <c r="Q49" s="43">
        <f t="shared" si="13"/>
        <v>76.95</v>
      </c>
      <c r="R49" s="43">
        <f t="shared" si="12"/>
        <v>19.237500000000001</v>
      </c>
      <c r="S49" s="10" t="s">
        <v>412</v>
      </c>
      <c r="T49" s="10"/>
      <c r="U49" s="43">
        <f>0.295*1000</f>
        <v>295</v>
      </c>
      <c r="V49" s="10" t="s">
        <v>244</v>
      </c>
      <c r="W49" s="43">
        <f t="shared" si="15"/>
        <v>3.8336582196231319</v>
      </c>
      <c r="X49" s="10">
        <v>1</v>
      </c>
      <c r="Y49" s="10">
        <f t="shared" si="10"/>
        <v>73.75</v>
      </c>
      <c r="Z49" s="10"/>
    </row>
    <row r="50" spans="1:27" ht="40" customHeight="1" x14ac:dyDescent="0.2">
      <c r="A50" s="10">
        <v>5</v>
      </c>
      <c r="B50" s="10" t="s">
        <v>692</v>
      </c>
      <c r="C50" s="10" t="s">
        <v>573</v>
      </c>
      <c r="D50" s="10" t="s">
        <v>825</v>
      </c>
      <c r="E50" s="10" t="s">
        <v>572</v>
      </c>
      <c r="F50" s="10" t="s">
        <v>571</v>
      </c>
      <c r="G50" s="10" t="s">
        <v>58</v>
      </c>
      <c r="H50" s="10"/>
      <c r="I50" s="10" t="s">
        <v>389</v>
      </c>
      <c r="J50" s="10"/>
      <c r="L50" s="10"/>
      <c r="M50" s="10">
        <v>1</v>
      </c>
      <c r="N50" s="10">
        <v>1</v>
      </c>
      <c r="O50" s="10">
        <f t="shared" si="14"/>
        <v>4</v>
      </c>
      <c r="P50" s="10">
        <v>120</v>
      </c>
      <c r="Q50" s="43">
        <f>P50*0.9</f>
        <v>108</v>
      </c>
      <c r="R50" s="10">
        <f>Q50/O50</f>
        <v>27</v>
      </c>
      <c r="S50" s="10" t="s">
        <v>65</v>
      </c>
      <c r="T50" s="10"/>
      <c r="U50" s="43">
        <f>4.587*1000</f>
        <v>4587</v>
      </c>
      <c r="V50" s="10" t="s">
        <v>244</v>
      </c>
      <c r="W50" s="43">
        <f t="shared" si="15"/>
        <v>42.472222222222221</v>
      </c>
      <c r="X50" s="10">
        <v>1</v>
      </c>
      <c r="Y50" s="10">
        <f t="shared" si="10"/>
        <v>1146.75</v>
      </c>
      <c r="Z50" s="10"/>
      <c r="AA50" s="10" t="s">
        <v>492</v>
      </c>
    </row>
    <row r="51" spans="1:27" ht="40" customHeight="1" x14ac:dyDescent="0.2">
      <c r="A51" s="10">
        <v>5</v>
      </c>
      <c r="B51" s="10" t="s">
        <v>691</v>
      </c>
      <c r="E51" s="10" t="s">
        <v>572</v>
      </c>
      <c r="F51" s="10"/>
      <c r="G51" s="10" t="s">
        <v>58</v>
      </c>
      <c r="H51" s="10"/>
      <c r="I51" s="10" t="s">
        <v>389</v>
      </c>
      <c r="J51" s="10"/>
      <c r="L51" s="10"/>
      <c r="M51" s="10">
        <v>1</v>
      </c>
      <c r="N51" s="10">
        <v>1</v>
      </c>
      <c r="O51" s="10">
        <f t="shared" si="14"/>
        <v>4</v>
      </c>
      <c r="P51" s="10">
        <v>120</v>
      </c>
      <c r="Q51" s="43">
        <f>P51*0.9</f>
        <v>108</v>
      </c>
      <c r="R51" s="10">
        <f>Q51/O51</f>
        <v>27</v>
      </c>
      <c r="S51" s="10" t="s">
        <v>67</v>
      </c>
      <c r="T51" s="10"/>
      <c r="U51" s="43">
        <f>0.627*1000</f>
        <v>627</v>
      </c>
      <c r="V51" s="10" t="s">
        <v>244</v>
      </c>
      <c r="W51" s="43">
        <f t="shared" si="15"/>
        <v>5.8055555555555554</v>
      </c>
      <c r="X51" s="10">
        <v>1</v>
      </c>
      <c r="Y51" s="10">
        <f t="shared" si="10"/>
        <v>156.75</v>
      </c>
      <c r="Z51" s="10"/>
    </row>
    <row r="52" spans="1:27" ht="40" customHeight="1" x14ac:dyDescent="0.2">
      <c r="A52" s="10">
        <v>5</v>
      </c>
      <c r="B52" s="10" t="s">
        <v>691</v>
      </c>
      <c r="E52" s="10" t="s">
        <v>572</v>
      </c>
      <c r="F52" s="10"/>
      <c r="G52" s="10" t="s">
        <v>58</v>
      </c>
      <c r="H52" s="10"/>
      <c r="I52" s="10" t="s">
        <v>389</v>
      </c>
      <c r="J52" s="10"/>
      <c r="L52" s="10"/>
      <c r="M52" s="10">
        <v>1</v>
      </c>
      <c r="N52" s="10">
        <v>1</v>
      </c>
      <c r="O52" s="10">
        <f t="shared" si="14"/>
        <v>4</v>
      </c>
      <c r="P52" s="10">
        <v>120</v>
      </c>
      <c r="Q52" s="43">
        <f>P52*0.9</f>
        <v>108</v>
      </c>
      <c r="R52" s="10">
        <f>Q52/O52</f>
        <v>27</v>
      </c>
      <c r="S52" s="10" t="s">
        <v>412</v>
      </c>
      <c r="T52" s="10"/>
      <c r="U52" s="43">
        <f>0.022*1000</f>
        <v>22</v>
      </c>
      <c r="V52" s="10" t="s">
        <v>244</v>
      </c>
      <c r="W52" s="43">
        <f t="shared" si="15"/>
        <v>0.20370370370370369</v>
      </c>
      <c r="X52" s="10">
        <v>1</v>
      </c>
      <c r="Y52" s="10">
        <f t="shared" si="10"/>
        <v>5.5</v>
      </c>
      <c r="Z52" s="10"/>
    </row>
    <row r="53" spans="1:27" ht="40" customHeight="1" x14ac:dyDescent="0.2">
      <c r="A53" s="10">
        <v>6</v>
      </c>
      <c r="B53" s="10" t="s">
        <v>888</v>
      </c>
      <c r="C53" s="10" t="s">
        <v>890</v>
      </c>
      <c r="D53" s="10" t="s">
        <v>889</v>
      </c>
      <c r="E53" s="10" t="s">
        <v>406</v>
      </c>
      <c r="F53" s="10"/>
      <c r="G53" s="10" t="s">
        <v>58</v>
      </c>
      <c r="H53" s="10"/>
      <c r="I53" s="10" t="s">
        <v>389</v>
      </c>
      <c r="J53" s="10" t="s">
        <v>261</v>
      </c>
      <c r="L53" s="10"/>
      <c r="M53" s="10">
        <v>1</v>
      </c>
      <c r="N53" s="10"/>
      <c r="O53" s="10"/>
      <c r="P53" s="10"/>
      <c r="Q53" s="43"/>
      <c r="R53" s="10"/>
      <c r="S53" s="10" t="s">
        <v>65</v>
      </c>
      <c r="T53" s="10"/>
      <c r="U53" s="43"/>
      <c r="V53" s="10" t="s">
        <v>0</v>
      </c>
      <c r="W53" s="43">
        <v>790</v>
      </c>
      <c r="X53" s="10">
        <v>1</v>
      </c>
      <c r="Y53" s="10"/>
      <c r="Z53" s="10"/>
    </row>
    <row r="54" spans="1:27" ht="40" customHeight="1" x14ac:dyDescent="0.2">
      <c r="A54" s="10">
        <v>6</v>
      </c>
      <c r="B54" s="10" t="s">
        <v>884</v>
      </c>
      <c r="E54" s="10" t="s">
        <v>406</v>
      </c>
      <c r="F54" s="10"/>
      <c r="G54" s="10" t="s">
        <v>58</v>
      </c>
      <c r="H54" s="10"/>
      <c r="I54" s="10" t="s">
        <v>389</v>
      </c>
      <c r="J54" s="10" t="s">
        <v>261</v>
      </c>
      <c r="L54" s="10"/>
      <c r="M54" s="10">
        <v>2</v>
      </c>
      <c r="N54" s="10"/>
      <c r="O54" s="10"/>
      <c r="P54" s="10"/>
      <c r="Q54" s="43"/>
      <c r="R54" s="10"/>
      <c r="S54" s="10" t="s">
        <v>65</v>
      </c>
      <c r="T54" s="10"/>
      <c r="U54" s="43"/>
      <c r="V54" s="10" t="s">
        <v>0</v>
      </c>
      <c r="W54" s="43">
        <v>814</v>
      </c>
      <c r="X54" s="10">
        <v>1</v>
      </c>
      <c r="Y54" s="10"/>
      <c r="Z54" s="10"/>
    </row>
    <row r="55" spans="1:27" ht="40" customHeight="1" x14ac:dyDescent="0.2">
      <c r="A55" s="10">
        <v>6</v>
      </c>
      <c r="B55" s="10" t="s">
        <v>885</v>
      </c>
      <c r="E55" s="10" t="s">
        <v>406</v>
      </c>
      <c r="F55" s="10"/>
      <c r="G55" s="10" t="s">
        <v>58</v>
      </c>
      <c r="H55" s="10"/>
      <c r="I55" s="10" t="s">
        <v>389</v>
      </c>
      <c r="J55" s="10" t="s">
        <v>261</v>
      </c>
      <c r="L55" s="10"/>
      <c r="M55" s="10">
        <v>2</v>
      </c>
      <c r="N55" s="10"/>
      <c r="O55" s="10"/>
      <c r="P55" s="10"/>
      <c r="Q55" s="43"/>
      <c r="R55" s="10"/>
      <c r="S55" s="10" t="s">
        <v>67</v>
      </c>
      <c r="T55" s="10"/>
      <c r="U55" s="43"/>
      <c r="V55" s="10" t="s">
        <v>0</v>
      </c>
      <c r="W55" s="43">
        <v>17</v>
      </c>
      <c r="X55" s="10">
        <v>1</v>
      </c>
      <c r="Y55" s="10"/>
      <c r="Z55" s="10"/>
    </row>
    <row r="56" spans="1:27" ht="40" customHeight="1" x14ac:dyDescent="0.2">
      <c r="A56" s="10">
        <v>6</v>
      </c>
      <c r="B56" s="10" t="s">
        <v>886</v>
      </c>
      <c r="E56" s="10" t="s">
        <v>406</v>
      </c>
      <c r="F56" s="10"/>
      <c r="G56" s="10" t="s">
        <v>58</v>
      </c>
      <c r="H56" s="10"/>
      <c r="I56" s="10" t="s">
        <v>389</v>
      </c>
      <c r="J56" s="10" t="s">
        <v>878</v>
      </c>
      <c r="L56" s="10"/>
      <c r="M56" s="10">
        <v>3</v>
      </c>
      <c r="N56" s="10"/>
      <c r="O56" s="10"/>
      <c r="P56" s="10"/>
      <c r="Q56" s="43"/>
      <c r="R56" s="10"/>
      <c r="S56" s="10" t="s">
        <v>65</v>
      </c>
      <c r="T56" s="10"/>
      <c r="U56" s="43"/>
      <c r="V56" s="10" t="s">
        <v>0</v>
      </c>
      <c r="W56" s="43">
        <v>1017</v>
      </c>
      <c r="X56" s="10">
        <v>1</v>
      </c>
      <c r="Y56" s="10"/>
      <c r="Z56" s="10"/>
    </row>
  </sheetData>
  <hyperlinks>
    <hyperlink ref="AA8" r:id="rId1" xr:uid="{00000000-0004-0000-1900-000000000000}"/>
    <hyperlink ref="D53" r:id="rId2" xr:uid="{00000000-0004-0000-1900-000001000000}"/>
  </hyperlinks>
  <pageMargins left="0.7" right="0.7" top="0.75" bottom="0.75" header="0.3" footer="0.3"/>
  <ignoredErrors>
    <ignoredError sqref="W45" formula="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rgb="FF92D050"/>
  </sheetPr>
  <dimension ref="A1:AB26"/>
  <sheetViews>
    <sheetView zoomScaleNormal="100" workbookViewId="0"/>
  </sheetViews>
  <sheetFormatPr baseColWidth="10" defaultColWidth="9.1640625" defaultRowHeight="15" x14ac:dyDescent="0.2"/>
  <cols>
    <col min="1" max="1" width="4.6640625" style="11" customWidth="1"/>
    <col min="2" max="2" width="10.6640625" style="11" customWidth="1"/>
    <col min="3" max="3" width="43" style="11" customWidth="1"/>
    <col min="4" max="4" width="22" style="11" customWidth="1"/>
    <col min="5" max="6" width="25" style="11" customWidth="1"/>
    <col min="7" max="7" width="11.5" style="11" customWidth="1"/>
    <col min="8" max="8" width="16.33203125" style="11" customWidth="1"/>
    <col min="9" max="9" width="27.6640625" style="11" customWidth="1"/>
    <col min="10" max="10" width="16" style="11" customWidth="1"/>
    <col min="11" max="11" width="12.5" style="11" customWidth="1"/>
    <col min="12" max="13" width="22.5" style="11" customWidth="1"/>
    <col min="14" max="14" width="23" style="11" customWidth="1"/>
    <col min="15" max="15" width="13.33203125" style="11" customWidth="1"/>
    <col min="16" max="16" width="13.5" style="11" customWidth="1"/>
    <col min="17" max="17" width="12.1640625" style="11" customWidth="1"/>
    <col min="18" max="18" width="13.33203125" style="11" customWidth="1"/>
    <col min="19" max="19" width="13" style="11" customWidth="1"/>
    <col min="20" max="20" width="9.1640625" style="11"/>
    <col min="21" max="21" width="12.1640625" style="11" customWidth="1"/>
    <col min="22" max="22" width="9.1640625" style="11"/>
    <col min="23" max="23" width="12.83203125" style="30" customWidth="1"/>
    <col min="24" max="24" width="10.1640625" style="11" customWidth="1"/>
    <col min="25" max="25" width="10.33203125" style="11" customWidth="1"/>
    <col min="26" max="26" width="9.1640625" style="11"/>
    <col min="27" max="27" width="20.5" style="10" customWidth="1"/>
    <col min="28" max="28" width="11.83203125" style="11" customWidth="1"/>
    <col min="29" max="16384" width="9.1640625" style="11"/>
  </cols>
  <sheetData>
    <row r="1" spans="1:28"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5" t="s">
        <v>195</v>
      </c>
      <c r="P1" s="44" t="s">
        <v>194</v>
      </c>
      <c r="Q1" s="44" t="s">
        <v>413</v>
      </c>
      <c r="R1" s="44" t="s">
        <v>414</v>
      </c>
      <c r="S1" s="44" t="s">
        <v>193</v>
      </c>
      <c r="T1" s="44" t="s">
        <v>419</v>
      </c>
      <c r="U1" s="44" t="s">
        <v>519</v>
      </c>
      <c r="V1" s="44" t="s">
        <v>192</v>
      </c>
      <c r="W1" s="44" t="s">
        <v>495</v>
      </c>
      <c r="X1" s="44" t="s">
        <v>416</v>
      </c>
      <c r="Y1" s="44" t="s">
        <v>242</v>
      </c>
      <c r="Z1" s="44" t="s">
        <v>497</v>
      </c>
      <c r="AA1" s="44" t="s">
        <v>190</v>
      </c>
      <c r="AB1" s="44" t="s">
        <v>190</v>
      </c>
    </row>
    <row r="2" spans="1:28" ht="40" customHeight="1" x14ac:dyDescent="0.2">
      <c r="A2" s="10">
        <v>1</v>
      </c>
      <c r="B2" s="10" t="s">
        <v>694</v>
      </c>
      <c r="C2" s="10" t="s">
        <v>499</v>
      </c>
      <c r="D2" s="10" t="s">
        <v>826</v>
      </c>
      <c r="E2" s="10" t="s">
        <v>498</v>
      </c>
      <c r="F2" s="10"/>
      <c r="G2" s="10" t="s">
        <v>58</v>
      </c>
      <c r="H2" s="10"/>
      <c r="I2" s="10" t="s">
        <v>70</v>
      </c>
      <c r="J2" s="10" t="s">
        <v>500</v>
      </c>
      <c r="K2" s="10" t="s">
        <v>501</v>
      </c>
      <c r="L2" s="10"/>
      <c r="M2" s="10">
        <v>8</v>
      </c>
      <c r="N2" s="10">
        <v>15</v>
      </c>
      <c r="O2" s="10">
        <f>4*N2</f>
        <v>60</v>
      </c>
      <c r="P2" s="43">
        <v>2235.09</v>
      </c>
      <c r="Q2" s="43">
        <f>P2*0.9</f>
        <v>2011.5810000000001</v>
      </c>
      <c r="R2" s="43">
        <f>Q2/O2</f>
        <v>33.526350000000001</v>
      </c>
      <c r="S2" s="10" t="s">
        <v>65</v>
      </c>
      <c r="T2" s="10">
        <v>2320</v>
      </c>
      <c r="U2" s="43">
        <v>1138.3800000000001</v>
      </c>
      <c r="V2" s="10" t="s">
        <v>1</v>
      </c>
      <c r="W2" s="43">
        <f>(U2*T2)/Q2</f>
        <v>1312.9183463156592</v>
      </c>
      <c r="X2" s="10">
        <v>4</v>
      </c>
      <c r="Y2" s="43">
        <f>((U2*T2)+U3)/O2</f>
        <v>44104.36</v>
      </c>
      <c r="Z2" s="10"/>
      <c r="AA2" s="10" t="s">
        <v>502</v>
      </c>
      <c r="AB2" s="10"/>
    </row>
    <row r="3" spans="1:28" ht="40" customHeight="1" x14ac:dyDescent="0.2">
      <c r="A3" s="10">
        <v>1</v>
      </c>
      <c r="B3" s="10" t="s">
        <v>693</v>
      </c>
      <c r="C3" s="10"/>
      <c r="D3" s="10"/>
      <c r="E3" s="10" t="s">
        <v>498</v>
      </c>
      <c r="F3" s="10"/>
      <c r="G3" s="10" t="s">
        <v>58</v>
      </c>
      <c r="H3" s="10"/>
      <c r="I3" s="10" t="s">
        <v>70</v>
      </c>
      <c r="J3" s="10" t="s">
        <v>500</v>
      </c>
      <c r="K3" s="10"/>
      <c r="L3" s="10"/>
      <c r="M3" s="10">
        <v>8</v>
      </c>
      <c r="N3" s="10">
        <v>15</v>
      </c>
      <c r="O3" s="10">
        <f>4*N3</f>
        <v>60</v>
      </c>
      <c r="P3" s="43">
        <v>2235.09</v>
      </c>
      <c r="Q3" s="43">
        <f t="shared" ref="Q3:Q25" si="0">P3*0.9</f>
        <v>2011.5810000000001</v>
      </c>
      <c r="R3" s="43">
        <f t="shared" ref="R3:R26" si="1">Q3/O3</f>
        <v>33.526350000000001</v>
      </c>
      <c r="S3" s="10" t="s">
        <v>65</v>
      </c>
      <c r="T3" s="10"/>
      <c r="U3" s="43">
        <f xml:space="preserve"> 5.22*1000</f>
        <v>5220</v>
      </c>
      <c r="V3" s="10" t="s">
        <v>244</v>
      </c>
      <c r="W3" s="43">
        <f>U3/Q3</f>
        <v>2.5949738041868557</v>
      </c>
      <c r="X3" s="10">
        <v>4</v>
      </c>
      <c r="Y3" s="43">
        <f>((U3*T3)+U4)/O3</f>
        <v>1518.6666666666667</v>
      </c>
      <c r="Z3" s="10"/>
      <c r="AA3" s="10" t="s">
        <v>503</v>
      </c>
      <c r="AB3" s="10"/>
    </row>
    <row r="4" spans="1:28" ht="40" customHeight="1" x14ac:dyDescent="0.2">
      <c r="A4" s="10">
        <v>1</v>
      </c>
      <c r="B4" s="10" t="s">
        <v>693</v>
      </c>
      <c r="C4" s="10"/>
      <c r="D4" s="10"/>
      <c r="E4" s="10" t="s">
        <v>498</v>
      </c>
      <c r="F4" s="10"/>
      <c r="G4" s="10" t="s">
        <v>58</v>
      </c>
      <c r="H4" s="10"/>
      <c r="I4" s="10" t="s">
        <v>70</v>
      </c>
      <c r="J4" s="10" t="s">
        <v>500</v>
      </c>
      <c r="K4" s="10"/>
      <c r="L4" s="10"/>
      <c r="M4" s="10">
        <v>8</v>
      </c>
      <c r="N4" s="10">
        <v>15</v>
      </c>
      <c r="O4" s="10">
        <f>4*N4</f>
        <v>60</v>
      </c>
      <c r="P4" s="43">
        <v>2235.09</v>
      </c>
      <c r="Q4" s="43">
        <f t="shared" si="0"/>
        <v>2011.5810000000001</v>
      </c>
      <c r="R4" s="43">
        <f t="shared" si="1"/>
        <v>33.526350000000001</v>
      </c>
      <c r="S4" s="10" t="s">
        <v>30</v>
      </c>
      <c r="T4" s="10"/>
      <c r="U4" s="43">
        <f xml:space="preserve"> 91.12*1000</f>
        <v>91120</v>
      </c>
      <c r="V4" s="10" t="s">
        <v>244</v>
      </c>
      <c r="W4" s="43">
        <f>U4/Q4</f>
        <v>45.297703647031859</v>
      </c>
      <c r="X4" s="10">
        <v>4</v>
      </c>
      <c r="Y4" s="43">
        <f>U4/O4</f>
        <v>1518.6666666666667</v>
      </c>
      <c r="Z4" s="10"/>
      <c r="AB4" s="10"/>
    </row>
    <row r="5" spans="1:28" ht="40" customHeight="1" x14ac:dyDescent="0.2">
      <c r="A5" s="10">
        <v>1</v>
      </c>
      <c r="B5" s="10" t="s">
        <v>693</v>
      </c>
      <c r="C5" s="10"/>
      <c r="D5" s="10"/>
      <c r="E5" s="10" t="s">
        <v>498</v>
      </c>
      <c r="F5" s="10"/>
      <c r="G5" s="10" t="s">
        <v>58</v>
      </c>
      <c r="H5" s="10"/>
      <c r="I5" s="10" t="s">
        <v>70</v>
      </c>
      <c r="J5" s="10" t="s">
        <v>500</v>
      </c>
      <c r="K5" s="10"/>
      <c r="L5" s="10"/>
      <c r="M5" s="10">
        <v>8</v>
      </c>
      <c r="N5" s="10">
        <v>15</v>
      </c>
      <c r="O5" s="10">
        <f>4*N5</f>
        <v>60</v>
      </c>
      <c r="P5" s="43">
        <v>2235.09</v>
      </c>
      <c r="Q5" s="43">
        <f t="shared" si="0"/>
        <v>2011.5810000000001</v>
      </c>
      <c r="R5" s="43">
        <f t="shared" si="1"/>
        <v>33.526350000000001</v>
      </c>
      <c r="S5" s="10" t="s">
        <v>435</v>
      </c>
      <c r="T5" s="10"/>
      <c r="U5" s="43">
        <f>11.97*1000</f>
        <v>11970</v>
      </c>
      <c r="V5" s="10" t="s">
        <v>244</v>
      </c>
      <c r="W5" s="43">
        <f>U5/Q5</f>
        <v>5.9505433785664108</v>
      </c>
      <c r="X5" s="10">
        <v>4</v>
      </c>
      <c r="Y5" s="43">
        <f>U5/O5</f>
        <v>199.5</v>
      </c>
      <c r="Z5" s="10"/>
      <c r="AB5" s="10"/>
    </row>
    <row r="6" spans="1:28" ht="40" customHeight="1" x14ac:dyDescent="0.2">
      <c r="A6" s="10">
        <v>2</v>
      </c>
      <c r="B6" s="10" t="s">
        <v>696</v>
      </c>
      <c r="C6" s="10" t="s">
        <v>574</v>
      </c>
      <c r="D6" s="10" t="s">
        <v>827</v>
      </c>
      <c r="E6" s="10" t="s">
        <v>498</v>
      </c>
      <c r="F6" s="10" t="s">
        <v>576</v>
      </c>
      <c r="G6" s="10" t="s">
        <v>58</v>
      </c>
      <c r="H6" s="10"/>
      <c r="I6" s="10" t="s">
        <v>433</v>
      </c>
      <c r="J6" s="10" t="s">
        <v>575</v>
      </c>
      <c r="K6" s="10"/>
      <c r="L6" s="10"/>
      <c r="M6" s="10"/>
      <c r="N6" s="10">
        <v>1</v>
      </c>
      <c r="O6" s="10">
        <v>2</v>
      </c>
      <c r="P6" s="43">
        <v>29.9</v>
      </c>
      <c r="Q6" s="43">
        <f t="shared" si="0"/>
        <v>26.91</v>
      </c>
      <c r="R6" s="43">
        <f t="shared" si="1"/>
        <v>13.455</v>
      </c>
      <c r="S6" s="10" t="s">
        <v>65</v>
      </c>
      <c r="T6" s="10"/>
      <c r="U6" s="43">
        <v>58119.3</v>
      </c>
      <c r="V6" s="10" t="s">
        <v>244</v>
      </c>
      <c r="W6" s="43">
        <f>U6/Q6</f>
        <v>2159.7658862876256</v>
      </c>
      <c r="X6" s="10">
        <v>3</v>
      </c>
      <c r="Y6" s="43">
        <f>U6/O6</f>
        <v>29059.65</v>
      </c>
      <c r="Z6" s="10"/>
      <c r="AA6" s="10" t="s">
        <v>577</v>
      </c>
      <c r="AB6" s="10"/>
    </row>
    <row r="7" spans="1:28" ht="40" customHeight="1" x14ac:dyDescent="0.2">
      <c r="A7" s="10">
        <v>2</v>
      </c>
      <c r="B7" s="10" t="s">
        <v>695</v>
      </c>
      <c r="C7" s="10"/>
      <c r="D7" s="10"/>
      <c r="E7" s="10" t="s">
        <v>498</v>
      </c>
      <c r="F7" s="10"/>
      <c r="G7" s="10" t="s">
        <v>58</v>
      </c>
      <c r="H7" s="10"/>
      <c r="I7" s="10" t="s">
        <v>433</v>
      </c>
      <c r="J7" s="10" t="s">
        <v>575</v>
      </c>
      <c r="K7" s="10"/>
      <c r="L7" s="10"/>
      <c r="M7" s="10"/>
      <c r="N7" s="10">
        <v>1</v>
      </c>
      <c r="O7" s="10">
        <v>2</v>
      </c>
      <c r="P7" s="43">
        <v>29.9</v>
      </c>
      <c r="Q7" s="43">
        <f t="shared" si="0"/>
        <v>26.91</v>
      </c>
      <c r="R7" s="43">
        <f t="shared" si="1"/>
        <v>13.455</v>
      </c>
      <c r="S7" s="10" t="s">
        <v>30</v>
      </c>
      <c r="T7" s="10"/>
      <c r="U7" s="43">
        <v>2510.8000000000002</v>
      </c>
      <c r="V7" s="10" t="s">
        <v>244</v>
      </c>
      <c r="W7" s="43">
        <f>U7/Q7</f>
        <v>93.303604607952437</v>
      </c>
      <c r="X7" s="10">
        <v>3</v>
      </c>
      <c r="Y7" s="43">
        <f t="shared" ref="Y7:Y26" si="2">U7/O7</f>
        <v>1255.4000000000001</v>
      </c>
      <c r="Z7" s="10"/>
      <c r="AA7" s="10" t="s">
        <v>502</v>
      </c>
      <c r="AB7" s="10"/>
    </row>
    <row r="8" spans="1:28" ht="40" customHeight="1" x14ac:dyDescent="0.2">
      <c r="A8" s="10">
        <v>2</v>
      </c>
      <c r="B8" s="10" t="s">
        <v>695</v>
      </c>
      <c r="C8" s="10"/>
      <c r="D8" s="10"/>
      <c r="E8" s="10" t="s">
        <v>498</v>
      </c>
      <c r="F8" s="10"/>
      <c r="G8" s="10" t="s">
        <v>58</v>
      </c>
      <c r="H8" s="10"/>
      <c r="I8" s="10" t="s">
        <v>433</v>
      </c>
      <c r="J8" s="10" t="s">
        <v>575</v>
      </c>
      <c r="K8" s="10"/>
      <c r="L8" s="10"/>
      <c r="M8" s="10"/>
      <c r="N8" s="10">
        <v>1</v>
      </c>
      <c r="O8" s="10">
        <v>2</v>
      </c>
      <c r="P8" s="43">
        <v>29.9</v>
      </c>
      <c r="Q8" s="43">
        <f t="shared" si="0"/>
        <v>26.91</v>
      </c>
      <c r="R8" s="43">
        <f t="shared" si="1"/>
        <v>13.455</v>
      </c>
      <c r="S8" s="10" t="s">
        <v>412</v>
      </c>
      <c r="T8" s="10"/>
      <c r="U8" s="43">
        <v>5</v>
      </c>
      <c r="V8" s="10" t="s">
        <v>244</v>
      </c>
      <c r="W8" s="43">
        <f t="shared" ref="W8:W23" si="3">U8/Q8</f>
        <v>0.18580453363062058</v>
      </c>
      <c r="X8" s="10">
        <v>3</v>
      </c>
      <c r="Y8" s="43">
        <f t="shared" si="2"/>
        <v>2.5</v>
      </c>
      <c r="Z8" s="10"/>
      <c r="AB8" s="10"/>
    </row>
    <row r="9" spans="1:28" ht="40" customHeight="1" x14ac:dyDescent="0.2">
      <c r="A9" s="10">
        <v>2</v>
      </c>
      <c r="B9" s="10" t="s">
        <v>695</v>
      </c>
      <c r="C9" s="10"/>
      <c r="D9" s="10"/>
      <c r="E9" s="10" t="s">
        <v>498</v>
      </c>
      <c r="F9" s="10"/>
      <c r="G9" s="10" t="s">
        <v>58</v>
      </c>
      <c r="H9" s="10"/>
      <c r="I9" s="10" t="s">
        <v>433</v>
      </c>
      <c r="J9" s="10" t="s">
        <v>578</v>
      </c>
      <c r="K9" s="10"/>
      <c r="L9" s="10"/>
      <c r="M9" s="10"/>
      <c r="N9" s="10">
        <v>1</v>
      </c>
      <c r="O9" s="10">
        <v>4</v>
      </c>
      <c r="P9" s="43">
        <v>46.2</v>
      </c>
      <c r="Q9" s="43">
        <f t="shared" si="0"/>
        <v>41.580000000000005</v>
      </c>
      <c r="R9" s="43">
        <f t="shared" si="1"/>
        <v>10.395000000000001</v>
      </c>
      <c r="S9" s="10" t="s">
        <v>65</v>
      </c>
      <c r="T9" s="10"/>
      <c r="U9" s="43">
        <v>84169.4</v>
      </c>
      <c r="V9" s="10" t="s">
        <v>244</v>
      </c>
      <c r="W9" s="43">
        <f t="shared" si="3"/>
        <v>2024.2760942760938</v>
      </c>
      <c r="X9" s="10">
        <v>3</v>
      </c>
      <c r="Y9" s="43">
        <f t="shared" si="2"/>
        <v>21042.35</v>
      </c>
      <c r="Z9" s="10"/>
      <c r="AB9" s="10"/>
    </row>
    <row r="10" spans="1:28" ht="40" customHeight="1" x14ac:dyDescent="0.2">
      <c r="A10" s="10">
        <v>2</v>
      </c>
      <c r="B10" s="10" t="s">
        <v>695</v>
      </c>
      <c r="C10" s="10"/>
      <c r="D10" s="10"/>
      <c r="E10" s="10" t="s">
        <v>498</v>
      </c>
      <c r="F10" s="10"/>
      <c r="G10" s="10" t="s">
        <v>58</v>
      </c>
      <c r="H10" s="10"/>
      <c r="I10" s="10" t="s">
        <v>433</v>
      </c>
      <c r="J10" s="10" t="s">
        <v>578</v>
      </c>
      <c r="K10" s="10"/>
      <c r="L10" s="10"/>
      <c r="M10" s="10"/>
      <c r="N10" s="10">
        <v>1</v>
      </c>
      <c r="O10" s="10">
        <v>4</v>
      </c>
      <c r="P10" s="43">
        <v>46.2</v>
      </c>
      <c r="Q10" s="43">
        <f t="shared" si="0"/>
        <v>41.580000000000005</v>
      </c>
      <c r="R10" s="43">
        <f t="shared" si="1"/>
        <v>10.395000000000001</v>
      </c>
      <c r="S10" s="10" t="s">
        <v>30</v>
      </c>
      <c r="T10" s="10"/>
      <c r="U10" s="43">
        <v>4173.1000000000004</v>
      </c>
      <c r="V10" s="10" t="s">
        <v>244</v>
      </c>
      <c r="W10" s="43">
        <f t="shared" si="3"/>
        <v>100.36315536315536</v>
      </c>
      <c r="X10" s="10">
        <v>3</v>
      </c>
      <c r="Y10" s="43">
        <f t="shared" si="2"/>
        <v>1043.2750000000001</v>
      </c>
      <c r="Z10" s="10"/>
      <c r="AB10" s="10"/>
    </row>
    <row r="11" spans="1:28" ht="40" customHeight="1" x14ac:dyDescent="0.2">
      <c r="A11" s="10">
        <v>2</v>
      </c>
      <c r="B11" s="10" t="s">
        <v>695</v>
      </c>
      <c r="C11" s="10"/>
      <c r="D11" s="10"/>
      <c r="E11" s="10" t="s">
        <v>498</v>
      </c>
      <c r="F11" s="10"/>
      <c r="G11" s="10" t="s">
        <v>58</v>
      </c>
      <c r="H11" s="10"/>
      <c r="I11" s="10" t="s">
        <v>433</v>
      </c>
      <c r="J11" s="10" t="s">
        <v>578</v>
      </c>
      <c r="K11" s="10"/>
      <c r="L11" s="10"/>
      <c r="M11" s="10"/>
      <c r="N11" s="10">
        <v>1</v>
      </c>
      <c r="O11" s="10">
        <v>4</v>
      </c>
      <c r="P11" s="43">
        <v>46.2</v>
      </c>
      <c r="Q11" s="43">
        <f t="shared" si="0"/>
        <v>41.580000000000005</v>
      </c>
      <c r="R11" s="43">
        <f t="shared" si="1"/>
        <v>10.395000000000001</v>
      </c>
      <c r="S11" s="10" t="s">
        <v>412</v>
      </c>
      <c r="T11" s="10"/>
      <c r="U11" s="43">
        <v>11.6</v>
      </c>
      <c r="V11" s="10" t="s">
        <v>244</v>
      </c>
      <c r="W11" s="43">
        <f t="shared" si="3"/>
        <v>0.27898027898027894</v>
      </c>
      <c r="X11" s="10">
        <v>3</v>
      </c>
      <c r="Y11" s="43">
        <f t="shared" si="2"/>
        <v>2.9</v>
      </c>
      <c r="Z11" s="10"/>
      <c r="AB11" s="10"/>
    </row>
    <row r="12" spans="1:28" ht="40" customHeight="1" x14ac:dyDescent="0.2">
      <c r="A12" s="10">
        <v>2</v>
      </c>
      <c r="B12" s="10" t="s">
        <v>695</v>
      </c>
      <c r="C12" s="10"/>
      <c r="D12" s="10"/>
      <c r="E12" s="10" t="s">
        <v>498</v>
      </c>
      <c r="F12" s="10"/>
      <c r="G12" s="10" t="s">
        <v>58</v>
      </c>
      <c r="H12" s="10"/>
      <c r="I12" s="10" t="s">
        <v>433</v>
      </c>
      <c r="J12" s="10" t="s">
        <v>579</v>
      </c>
      <c r="K12" s="10"/>
      <c r="L12" s="10"/>
      <c r="M12" s="10"/>
      <c r="N12" s="10">
        <v>1</v>
      </c>
      <c r="O12" s="10">
        <v>4</v>
      </c>
      <c r="P12" s="43">
        <v>59.6</v>
      </c>
      <c r="Q12" s="43">
        <f t="shared" si="0"/>
        <v>53.64</v>
      </c>
      <c r="R12" s="43">
        <f t="shared" si="1"/>
        <v>13.41</v>
      </c>
      <c r="S12" s="10" t="s">
        <v>65</v>
      </c>
      <c r="T12" s="10"/>
      <c r="U12" s="43">
        <v>148488.79999999999</v>
      </c>
      <c r="V12" s="10" t="s">
        <v>244</v>
      </c>
      <c r="W12" s="43">
        <f t="shared" si="3"/>
        <v>2768.2475764354958</v>
      </c>
      <c r="X12" s="10">
        <v>3</v>
      </c>
      <c r="Y12" s="43">
        <f t="shared" si="2"/>
        <v>37122.199999999997</v>
      </c>
      <c r="Z12" s="10"/>
      <c r="AB12" s="10"/>
    </row>
    <row r="13" spans="1:28" ht="40" customHeight="1" x14ac:dyDescent="0.2">
      <c r="A13" s="10">
        <v>2</v>
      </c>
      <c r="B13" s="10" t="s">
        <v>695</v>
      </c>
      <c r="C13" s="10"/>
      <c r="D13" s="10"/>
      <c r="E13" s="10" t="s">
        <v>498</v>
      </c>
      <c r="F13" s="10"/>
      <c r="G13" s="10" t="s">
        <v>58</v>
      </c>
      <c r="H13" s="10"/>
      <c r="I13" s="10" t="s">
        <v>433</v>
      </c>
      <c r="J13" s="10" t="s">
        <v>579</v>
      </c>
      <c r="K13" s="10"/>
      <c r="L13" s="10"/>
      <c r="M13" s="10"/>
      <c r="N13" s="10">
        <v>1</v>
      </c>
      <c r="O13" s="10">
        <v>4</v>
      </c>
      <c r="P13" s="43">
        <v>59.6</v>
      </c>
      <c r="Q13" s="43">
        <f t="shared" si="0"/>
        <v>53.64</v>
      </c>
      <c r="R13" s="43">
        <f t="shared" si="1"/>
        <v>13.41</v>
      </c>
      <c r="S13" s="10" t="s">
        <v>30</v>
      </c>
      <c r="T13" s="10"/>
      <c r="U13" s="43">
        <v>7102.6</v>
      </c>
      <c r="V13" s="10" t="s">
        <v>244</v>
      </c>
      <c r="W13" s="43">
        <f t="shared" si="3"/>
        <v>132.41237882177481</v>
      </c>
      <c r="X13" s="10">
        <v>3</v>
      </c>
      <c r="Y13" s="43">
        <f t="shared" si="2"/>
        <v>1775.65</v>
      </c>
      <c r="Z13" s="10"/>
      <c r="AB13" s="10"/>
    </row>
    <row r="14" spans="1:28" ht="40" customHeight="1" x14ac:dyDescent="0.2">
      <c r="A14" s="10">
        <v>2</v>
      </c>
      <c r="B14" s="10" t="s">
        <v>695</v>
      </c>
      <c r="C14" s="10"/>
      <c r="D14" s="10"/>
      <c r="E14" s="10" t="s">
        <v>498</v>
      </c>
      <c r="F14" s="10"/>
      <c r="G14" s="10" t="s">
        <v>58</v>
      </c>
      <c r="H14" s="10"/>
      <c r="I14" s="10" t="s">
        <v>433</v>
      </c>
      <c r="J14" s="10" t="s">
        <v>579</v>
      </c>
      <c r="K14" s="10"/>
      <c r="L14" s="10"/>
      <c r="M14" s="10"/>
      <c r="N14" s="10">
        <v>1</v>
      </c>
      <c r="O14" s="10">
        <v>4</v>
      </c>
      <c r="P14" s="43">
        <v>59.6</v>
      </c>
      <c r="Q14" s="43">
        <f t="shared" si="0"/>
        <v>53.64</v>
      </c>
      <c r="R14" s="43">
        <f t="shared" si="1"/>
        <v>13.41</v>
      </c>
      <c r="S14" s="10" t="s">
        <v>412</v>
      </c>
      <c r="T14" s="10"/>
      <c r="U14" s="43">
        <v>47.9</v>
      </c>
      <c r="V14" s="10" t="s">
        <v>244</v>
      </c>
      <c r="W14" s="43">
        <f t="shared" si="3"/>
        <v>0.89299030574198357</v>
      </c>
      <c r="X14" s="10">
        <v>3</v>
      </c>
      <c r="Y14" s="43">
        <f t="shared" si="2"/>
        <v>11.975</v>
      </c>
      <c r="Z14" s="10"/>
      <c r="AB14" s="10"/>
    </row>
    <row r="15" spans="1:28" ht="40" customHeight="1" x14ac:dyDescent="0.2">
      <c r="A15" s="10">
        <v>2</v>
      </c>
      <c r="B15" s="10" t="s">
        <v>695</v>
      </c>
      <c r="C15" s="10"/>
      <c r="D15" s="10"/>
      <c r="E15" s="10" t="s">
        <v>498</v>
      </c>
      <c r="F15" s="10"/>
      <c r="G15" s="10" t="s">
        <v>58</v>
      </c>
      <c r="H15" s="10"/>
      <c r="I15" s="10" t="s">
        <v>433</v>
      </c>
      <c r="J15" s="10" t="s">
        <v>580</v>
      </c>
      <c r="K15" s="10"/>
      <c r="L15" s="10"/>
      <c r="M15" s="10"/>
      <c r="N15" s="10">
        <v>1</v>
      </c>
      <c r="O15" s="10">
        <v>5</v>
      </c>
      <c r="P15" s="43">
        <v>84.9</v>
      </c>
      <c r="Q15" s="43">
        <f t="shared" si="0"/>
        <v>76.410000000000011</v>
      </c>
      <c r="R15" s="43">
        <f t="shared" si="1"/>
        <v>15.282000000000002</v>
      </c>
      <c r="S15" s="10" t="s">
        <v>65</v>
      </c>
      <c r="T15" s="10"/>
      <c r="U15" s="43">
        <v>165108.70000000001</v>
      </c>
      <c r="V15" s="10" t="s">
        <v>244</v>
      </c>
      <c r="W15" s="43">
        <f t="shared" si="3"/>
        <v>2160.8258081402955</v>
      </c>
      <c r="X15" s="10">
        <v>3</v>
      </c>
      <c r="Y15" s="43">
        <f t="shared" si="2"/>
        <v>33021.740000000005</v>
      </c>
      <c r="Z15" s="10"/>
      <c r="AB15" s="10"/>
    </row>
    <row r="16" spans="1:28" ht="40" customHeight="1" x14ac:dyDescent="0.2">
      <c r="A16" s="10">
        <v>2</v>
      </c>
      <c r="B16" s="10" t="s">
        <v>695</v>
      </c>
      <c r="C16" s="10"/>
      <c r="D16" s="10"/>
      <c r="E16" s="10" t="s">
        <v>498</v>
      </c>
      <c r="F16" s="10"/>
      <c r="G16" s="10" t="s">
        <v>58</v>
      </c>
      <c r="H16" s="10"/>
      <c r="I16" s="10" t="s">
        <v>433</v>
      </c>
      <c r="J16" s="10" t="s">
        <v>580</v>
      </c>
      <c r="K16" s="10"/>
      <c r="L16" s="10"/>
      <c r="M16" s="10"/>
      <c r="N16" s="10">
        <v>1</v>
      </c>
      <c r="O16" s="10">
        <v>5</v>
      </c>
      <c r="P16" s="43">
        <v>84.9</v>
      </c>
      <c r="Q16" s="43">
        <f t="shared" si="0"/>
        <v>76.410000000000011</v>
      </c>
      <c r="R16" s="43">
        <f t="shared" si="1"/>
        <v>15.282000000000002</v>
      </c>
      <c r="S16" s="10" t="s">
        <v>30</v>
      </c>
      <c r="T16" s="10"/>
      <c r="U16" s="43">
        <v>7357.8</v>
      </c>
      <c r="V16" s="10" t="s">
        <v>244</v>
      </c>
      <c r="W16" s="43">
        <f t="shared" si="3"/>
        <v>96.293678837848432</v>
      </c>
      <c r="X16" s="10">
        <v>3</v>
      </c>
      <c r="Y16" s="43">
        <f t="shared" si="2"/>
        <v>1471.56</v>
      </c>
      <c r="Z16" s="10"/>
      <c r="AB16" s="10"/>
    </row>
    <row r="17" spans="1:28" ht="40" customHeight="1" x14ac:dyDescent="0.2">
      <c r="A17" s="10">
        <v>2</v>
      </c>
      <c r="B17" s="10" t="s">
        <v>695</v>
      </c>
      <c r="C17" s="10"/>
      <c r="D17" s="10"/>
      <c r="E17" s="10" t="s">
        <v>498</v>
      </c>
      <c r="F17" s="10"/>
      <c r="G17" s="10" t="s">
        <v>58</v>
      </c>
      <c r="H17" s="10"/>
      <c r="I17" s="10" t="s">
        <v>433</v>
      </c>
      <c r="J17" s="10" t="s">
        <v>580</v>
      </c>
      <c r="K17" s="10"/>
      <c r="L17" s="10"/>
      <c r="M17" s="10"/>
      <c r="N17" s="10">
        <v>1</v>
      </c>
      <c r="O17" s="10">
        <v>5</v>
      </c>
      <c r="P17" s="43">
        <v>84.9</v>
      </c>
      <c r="Q17" s="43">
        <f t="shared" si="0"/>
        <v>76.410000000000011</v>
      </c>
      <c r="R17" s="43">
        <f t="shared" si="1"/>
        <v>15.282000000000002</v>
      </c>
      <c r="S17" s="10" t="s">
        <v>412</v>
      </c>
      <c r="T17" s="10"/>
      <c r="U17" s="43">
        <v>57.2</v>
      </c>
      <c r="V17" s="10" t="s">
        <v>244</v>
      </c>
      <c r="W17" s="43">
        <f t="shared" si="3"/>
        <v>0.74859311608428214</v>
      </c>
      <c r="X17" s="10">
        <v>3</v>
      </c>
      <c r="Y17" s="43">
        <f t="shared" si="2"/>
        <v>11.440000000000001</v>
      </c>
      <c r="Z17" s="10"/>
      <c r="AB17" s="10"/>
    </row>
    <row r="18" spans="1:28" ht="40" customHeight="1" x14ac:dyDescent="0.2">
      <c r="A18" s="10">
        <v>2</v>
      </c>
      <c r="B18" s="10" t="s">
        <v>695</v>
      </c>
      <c r="C18" s="10"/>
      <c r="D18" s="10"/>
      <c r="E18" s="10" t="s">
        <v>498</v>
      </c>
      <c r="F18" s="10"/>
      <c r="G18" s="10" t="s">
        <v>58</v>
      </c>
      <c r="H18" s="10"/>
      <c r="I18" s="10" t="s">
        <v>433</v>
      </c>
      <c r="J18" s="10" t="s">
        <v>581</v>
      </c>
      <c r="K18" s="10"/>
      <c r="L18" s="10"/>
      <c r="M18" s="10"/>
      <c r="N18" s="10">
        <v>1</v>
      </c>
      <c r="O18" s="10">
        <v>5</v>
      </c>
      <c r="P18" s="43">
        <v>102.5</v>
      </c>
      <c r="Q18" s="43">
        <f t="shared" si="0"/>
        <v>92.25</v>
      </c>
      <c r="R18" s="43">
        <f t="shared" si="1"/>
        <v>18.45</v>
      </c>
      <c r="S18" s="10" t="s">
        <v>65</v>
      </c>
      <c r="T18" s="10"/>
      <c r="U18" s="43">
        <v>237930.2</v>
      </c>
      <c r="V18" s="10" t="s">
        <v>244</v>
      </c>
      <c r="W18" s="43">
        <f t="shared" si="3"/>
        <v>2579.189159891599</v>
      </c>
      <c r="X18" s="10">
        <v>3</v>
      </c>
      <c r="Y18" s="43">
        <f t="shared" si="2"/>
        <v>47586.04</v>
      </c>
      <c r="Z18" s="10"/>
      <c r="AB18" s="10"/>
    </row>
    <row r="19" spans="1:28" ht="40" customHeight="1" x14ac:dyDescent="0.2">
      <c r="A19" s="10">
        <v>2</v>
      </c>
      <c r="B19" s="10" t="s">
        <v>695</v>
      </c>
      <c r="C19" s="10"/>
      <c r="D19" s="10"/>
      <c r="E19" s="10" t="s">
        <v>498</v>
      </c>
      <c r="F19" s="10"/>
      <c r="G19" s="10" t="s">
        <v>58</v>
      </c>
      <c r="H19" s="10"/>
      <c r="I19" s="10" t="s">
        <v>433</v>
      </c>
      <c r="J19" s="10" t="s">
        <v>581</v>
      </c>
      <c r="K19" s="10"/>
      <c r="L19" s="10"/>
      <c r="M19" s="10"/>
      <c r="N19" s="10">
        <v>1</v>
      </c>
      <c r="O19" s="10">
        <v>5</v>
      </c>
      <c r="P19" s="43">
        <v>102.5</v>
      </c>
      <c r="Q19" s="43">
        <f t="shared" si="0"/>
        <v>92.25</v>
      </c>
      <c r="R19" s="43">
        <f t="shared" si="1"/>
        <v>18.45</v>
      </c>
      <c r="S19" s="10" t="s">
        <v>30</v>
      </c>
      <c r="T19" s="10"/>
      <c r="U19" s="43">
        <v>10134.6</v>
      </c>
      <c r="V19" s="10" t="s">
        <v>244</v>
      </c>
      <c r="W19" s="43">
        <f t="shared" si="3"/>
        <v>109.86016260162602</v>
      </c>
      <c r="X19" s="10">
        <v>3</v>
      </c>
      <c r="Y19" s="43">
        <f t="shared" si="2"/>
        <v>2026.92</v>
      </c>
      <c r="Z19" s="10"/>
      <c r="AB19" s="10"/>
    </row>
    <row r="20" spans="1:28" ht="40" customHeight="1" x14ac:dyDescent="0.2">
      <c r="A20" s="10">
        <v>2</v>
      </c>
      <c r="B20" s="10" t="s">
        <v>695</v>
      </c>
      <c r="C20" s="10"/>
      <c r="D20" s="10"/>
      <c r="E20" s="10" t="s">
        <v>498</v>
      </c>
      <c r="F20" s="10"/>
      <c r="G20" s="10" t="s">
        <v>58</v>
      </c>
      <c r="H20" s="10"/>
      <c r="I20" s="10" t="s">
        <v>433</v>
      </c>
      <c r="J20" s="10" t="s">
        <v>581</v>
      </c>
      <c r="K20" s="10"/>
      <c r="L20" s="10"/>
      <c r="M20" s="10"/>
      <c r="N20" s="10">
        <v>1</v>
      </c>
      <c r="O20" s="10">
        <v>5</v>
      </c>
      <c r="P20" s="43">
        <v>102.5</v>
      </c>
      <c r="Q20" s="43">
        <f t="shared" si="0"/>
        <v>92.25</v>
      </c>
      <c r="R20" s="43">
        <f t="shared" si="1"/>
        <v>18.45</v>
      </c>
      <c r="S20" s="10" t="s">
        <v>412</v>
      </c>
      <c r="T20" s="10"/>
      <c r="U20" s="43">
        <v>118.2</v>
      </c>
      <c r="V20" s="10" t="s">
        <v>244</v>
      </c>
      <c r="W20" s="43">
        <f t="shared" si="3"/>
        <v>1.28130081300813</v>
      </c>
      <c r="X20" s="10">
        <v>3</v>
      </c>
      <c r="Y20" s="43">
        <f t="shared" si="2"/>
        <v>23.64</v>
      </c>
      <c r="Z20" s="10"/>
      <c r="AB20" s="10"/>
    </row>
    <row r="21" spans="1:28" ht="40" customHeight="1" x14ac:dyDescent="0.2">
      <c r="A21" s="10">
        <v>2</v>
      </c>
      <c r="B21" s="10" t="s">
        <v>695</v>
      </c>
      <c r="C21" s="10"/>
      <c r="D21" s="10"/>
      <c r="E21" s="10" t="s">
        <v>498</v>
      </c>
      <c r="F21" s="10"/>
      <c r="G21" s="10" t="s">
        <v>58</v>
      </c>
      <c r="H21" s="10"/>
      <c r="I21" s="10" t="s">
        <v>433</v>
      </c>
      <c r="J21" s="10" t="s">
        <v>582</v>
      </c>
      <c r="K21" s="10"/>
      <c r="L21" s="10"/>
      <c r="M21" s="10"/>
      <c r="N21" s="10">
        <v>1</v>
      </c>
      <c r="O21" s="10">
        <v>5</v>
      </c>
      <c r="P21" s="43">
        <v>149.5</v>
      </c>
      <c r="Q21" s="43">
        <f t="shared" si="0"/>
        <v>134.55000000000001</v>
      </c>
      <c r="R21" s="43">
        <f t="shared" si="1"/>
        <v>26.910000000000004</v>
      </c>
      <c r="S21" s="10" t="s">
        <v>65</v>
      </c>
      <c r="T21" s="10"/>
      <c r="U21" s="43">
        <v>299071.8</v>
      </c>
      <c r="V21" s="10" t="s">
        <v>244</v>
      </c>
      <c r="W21" s="43">
        <f t="shared" si="3"/>
        <v>2222.755852842809</v>
      </c>
      <c r="X21" s="10">
        <v>3</v>
      </c>
      <c r="Y21" s="43">
        <f t="shared" si="2"/>
        <v>59814.36</v>
      </c>
      <c r="Z21" s="10"/>
      <c r="AB21" s="10"/>
    </row>
    <row r="22" spans="1:28" ht="40" customHeight="1" x14ac:dyDescent="0.2">
      <c r="A22" s="10">
        <v>2</v>
      </c>
      <c r="B22" s="10" t="s">
        <v>695</v>
      </c>
      <c r="C22" s="10"/>
      <c r="D22" s="10"/>
      <c r="E22" s="10" t="s">
        <v>498</v>
      </c>
      <c r="F22" s="10"/>
      <c r="G22" s="10" t="s">
        <v>58</v>
      </c>
      <c r="H22" s="10"/>
      <c r="I22" s="10" t="s">
        <v>433</v>
      </c>
      <c r="J22" s="10" t="s">
        <v>582</v>
      </c>
      <c r="K22" s="10"/>
      <c r="L22" s="10"/>
      <c r="M22" s="10"/>
      <c r="N22" s="10">
        <v>1</v>
      </c>
      <c r="O22" s="10">
        <v>5</v>
      </c>
      <c r="P22" s="43">
        <v>149.5</v>
      </c>
      <c r="Q22" s="43">
        <f t="shared" si="0"/>
        <v>134.55000000000001</v>
      </c>
      <c r="R22" s="43">
        <f t="shared" si="1"/>
        <v>26.910000000000004</v>
      </c>
      <c r="S22" s="10" t="s">
        <v>30</v>
      </c>
      <c r="T22" s="10"/>
      <c r="U22" s="43">
        <v>14375.2</v>
      </c>
      <c r="V22" s="10" t="s">
        <v>244</v>
      </c>
      <c r="W22" s="43">
        <f t="shared" si="3"/>
        <v>106.83909327387587</v>
      </c>
      <c r="X22" s="10">
        <v>3</v>
      </c>
      <c r="Y22" s="43">
        <f t="shared" si="2"/>
        <v>2875.04</v>
      </c>
      <c r="Z22" s="10"/>
      <c r="AB22" s="10"/>
    </row>
    <row r="23" spans="1:28" ht="40" customHeight="1" x14ac:dyDescent="0.2">
      <c r="A23" s="10">
        <v>2</v>
      </c>
      <c r="B23" s="10" t="s">
        <v>695</v>
      </c>
      <c r="C23" s="10"/>
      <c r="D23" s="10"/>
      <c r="E23" s="10" t="s">
        <v>498</v>
      </c>
      <c r="F23" s="10"/>
      <c r="G23" s="10" t="s">
        <v>58</v>
      </c>
      <c r="H23" s="10"/>
      <c r="I23" s="10" t="s">
        <v>433</v>
      </c>
      <c r="J23" s="10" t="s">
        <v>582</v>
      </c>
      <c r="K23" s="10"/>
      <c r="L23" s="10"/>
      <c r="M23" s="10"/>
      <c r="N23" s="10">
        <v>1</v>
      </c>
      <c r="O23" s="10">
        <v>5</v>
      </c>
      <c r="P23" s="43">
        <v>149.5</v>
      </c>
      <c r="Q23" s="43">
        <f t="shared" si="0"/>
        <v>134.55000000000001</v>
      </c>
      <c r="R23" s="43">
        <f t="shared" si="1"/>
        <v>26.910000000000004</v>
      </c>
      <c r="S23" s="10" t="s">
        <v>412</v>
      </c>
      <c r="T23" s="10"/>
      <c r="U23" s="43">
        <v>135.80000000000001</v>
      </c>
      <c r="V23" s="10" t="s">
        <v>244</v>
      </c>
      <c r="W23" s="43">
        <f t="shared" si="3"/>
        <v>1.0092902266815311</v>
      </c>
      <c r="X23" s="10">
        <v>3</v>
      </c>
      <c r="Y23" s="43">
        <f t="shared" si="2"/>
        <v>27.160000000000004</v>
      </c>
      <c r="Z23" s="10"/>
      <c r="AB23" s="10"/>
    </row>
    <row r="24" spans="1:28" ht="40" customHeight="1" x14ac:dyDescent="0.2">
      <c r="A24" s="10">
        <v>3</v>
      </c>
      <c r="B24" s="10" t="s">
        <v>698</v>
      </c>
      <c r="C24" s="10" t="s">
        <v>829</v>
      </c>
      <c r="D24" s="10" t="s">
        <v>828</v>
      </c>
      <c r="E24" s="10" t="s">
        <v>498</v>
      </c>
      <c r="F24" s="10"/>
      <c r="G24" s="10" t="s">
        <v>58</v>
      </c>
      <c r="H24" s="10"/>
      <c r="I24" s="10" t="s">
        <v>70</v>
      </c>
      <c r="J24" s="10" t="s">
        <v>583</v>
      </c>
      <c r="K24" s="10"/>
      <c r="L24" s="10"/>
      <c r="M24" s="10">
        <v>18</v>
      </c>
      <c r="N24" s="10">
        <f>3*18</f>
        <v>54</v>
      </c>
      <c r="O24" s="10">
        <f>4*N24</f>
        <v>216</v>
      </c>
      <c r="P24" s="43">
        <v>5313.9</v>
      </c>
      <c r="Q24" s="10">
        <f t="shared" si="0"/>
        <v>4782.51</v>
      </c>
      <c r="R24" s="43">
        <f t="shared" si="1"/>
        <v>22.141249999999999</v>
      </c>
      <c r="S24" s="10" t="s">
        <v>65</v>
      </c>
      <c r="T24" s="9">
        <v>2320</v>
      </c>
      <c r="U24" s="43">
        <v>3055.7330000000002</v>
      </c>
      <c r="V24" s="10" t="s">
        <v>1</v>
      </c>
      <c r="W24" s="43">
        <f>(T24*U24)/Q24</f>
        <v>1482.3388889934365</v>
      </c>
      <c r="X24" s="10">
        <v>4</v>
      </c>
      <c r="Y24" s="43">
        <f t="shared" si="2"/>
        <v>14.146912037037039</v>
      </c>
      <c r="Z24" s="10">
        <v>40</v>
      </c>
      <c r="AA24" s="10" t="s">
        <v>584</v>
      </c>
      <c r="AB24" s="10"/>
    </row>
    <row r="25" spans="1:28" ht="40" customHeight="1" x14ac:dyDescent="0.2">
      <c r="A25" s="10">
        <v>3</v>
      </c>
      <c r="B25" s="10" t="s">
        <v>697</v>
      </c>
      <c r="C25" s="10"/>
      <c r="D25" s="10"/>
      <c r="E25" s="10" t="s">
        <v>498</v>
      </c>
      <c r="F25" s="10"/>
      <c r="G25" s="10" t="s">
        <v>58</v>
      </c>
      <c r="H25" s="10"/>
      <c r="I25" s="10" t="s">
        <v>70</v>
      </c>
      <c r="J25" s="10" t="s">
        <v>583</v>
      </c>
      <c r="K25" s="10"/>
      <c r="L25" s="10"/>
      <c r="M25" s="10">
        <v>18</v>
      </c>
      <c r="N25" s="10">
        <f>3*18</f>
        <v>54</v>
      </c>
      <c r="O25" s="10">
        <f>4*N25</f>
        <v>216</v>
      </c>
      <c r="P25" s="43">
        <v>5313.9</v>
      </c>
      <c r="Q25" s="10">
        <f t="shared" si="0"/>
        <v>4782.51</v>
      </c>
      <c r="R25" s="43">
        <f t="shared" si="1"/>
        <v>22.141249999999999</v>
      </c>
      <c r="S25" s="10" t="s">
        <v>435</v>
      </c>
      <c r="T25" s="10">
        <v>2500</v>
      </c>
      <c r="U25" s="43">
        <v>23.995999999999999</v>
      </c>
      <c r="V25" s="10" t="s">
        <v>1</v>
      </c>
      <c r="W25" s="43">
        <f>(T25*U25)/Q25</f>
        <v>12.543622491118679</v>
      </c>
      <c r="X25" s="10">
        <v>4</v>
      </c>
      <c r="Y25" s="43">
        <f t="shared" si="2"/>
        <v>0.11109259259259259</v>
      </c>
      <c r="Z25" s="10"/>
      <c r="AA25" s="34" t="s">
        <v>587</v>
      </c>
      <c r="AB25" s="10"/>
    </row>
    <row r="26" spans="1:28" ht="40" customHeight="1" x14ac:dyDescent="0.2">
      <c r="A26" s="10">
        <v>3</v>
      </c>
      <c r="B26" s="10" t="s">
        <v>697</v>
      </c>
      <c r="C26" s="10"/>
      <c r="D26" s="10"/>
      <c r="E26" s="10" t="s">
        <v>498</v>
      </c>
      <c r="F26" s="10"/>
      <c r="G26" s="10" t="s">
        <v>58</v>
      </c>
      <c r="H26" s="10"/>
      <c r="I26" s="10" t="s">
        <v>70</v>
      </c>
      <c r="J26" s="10" t="s">
        <v>583</v>
      </c>
      <c r="K26" s="10"/>
      <c r="L26" s="10"/>
      <c r="M26" s="10">
        <v>18</v>
      </c>
      <c r="N26" s="10">
        <f>3*18</f>
        <v>54</v>
      </c>
      <c r="O26" s="10">
        <f>4*N26</f>
        <v>216</v>
      </c>
      <c r="P26" s="43">
        <v>5314.9</v>
      </c>
      <c r="Q26" s="10">
        <f>P26*0.9</f>
        <v>4783.41</v>
      </c>
      <c r="R26" s="43">
        <f t="shared" si="1"/>
        <v>22.145416666666666</v>
      </c>
      <c r="S26" s="10" t="s">
        <v>30</v>
      </c>
      <c r="T26" s="10"/>
      <c r="U26" s="43">
        <f>389.04*1000</f>
        <v>389040</v>
      </c>
      <c r="V26" s="10" t="s">
        <v>244</v>
      </c>
      <c r="W26" s="43">
        <f>U26/Q26</f>
        <v>81.331100616505807</v>
      </c>
      <c r="X26" s="10">
        <v>4</v>
      </c>
      <c r="Y26" s="43">
        <f t="shared" si="2"/>
        <v>1801.1111111111111</v>
      </c>
      <c r="Z26" s="10"/>
      <c r="AA26" s="10" t="s">
        <v>585</v>
      </c>
      <c r="AB26" s="10"/>
    </row>
  </sheetData>
  <hyperlinks>
    <hyperlink ref="AA25" r:id="rId1" xr:uid="{00000000-0004-0000-1A00-000000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rgb="FF00B050"/>
  </sheetPr>
  <dimension ref="A1:AA50"/>
  <sheetViews>
    <sheetView zoomScaleNormal="100" workbookViewId="0"/>
  </sheetViews>
  <sheetFormatPr baseColWidth="10" defaultColWidth="8.83203125" defaultRowHeight="15" x14ac:dyDescent="0.2"/>
  <cols>
    <col min="1" max="1" width="4" style="11" customWidth="1"/>
    <col min="2" max="2" width="10.6640625" style="10" customWidth="1"/>
    <col min="3" max="3" width="40.83203125" style="10" customWidth="1"/>
    <col min="4" max="4" width="20.6640625" style="10" customWidth="1"/>
    <col min="5" max="6" width="25" style="11" customWidth="1"/>
    <col min="7" max="7" width="13" style="11" customWidth="1"/>
    <col min="8" max="8" width="18.5" style="11" customWidth="1"/>
    <col min="9" max="9" width="27.6640625" style="11" customWidth="1"/>
    <col min="10" max="10" width="20.1640625" style="11" customWidth="1"/>
    <col min="11" max="11" width="19.1640625" style="11" customWidth="1"/>
    <col min="12" max="13" width="22.5" style="11" customWidth="1"/>
    <col min="14" max="14" width="23" style="11" customWidth="1"/>
    <col min="15" max="15" width="13.33203125" style="11" customWidth="1"/>
    <col min="16" max="16" width="13.5" style="11" customWidth="1"/>
    <col min="17" max="17" width="12.1640625" style="11" customWidth="1"/>
    <col min="18" max="18" width="13.33203125" style="11" customWidth="1"/>
    <col min="19" max="19" width="12.5" style="11" customWidth="1"/>
    <col min="20" max="20" width="9.1640625" style="11"/>
    <col min="21" max="21" width="12.33203125" style="11" customWidth="1"/>
    <col min="22" max="22" width="9.1640625" style="11"/>
    <col min="23" max="23" width="12.5" style="30" customWidth="1"/>
    <col min="24" max="24" width="10.1640625" style="11" customWidth="1"/>
    <col min="25" max="25" width="10.5" style="11" bestFit="1" customWidth="1"/>
    <col min="26" max="26" width="11.83203125" style="11" customWidth="1"/>
    <col min="27" max="27" width="61" style="10" customWidth="1"/>
  </cols>
  <sheetData>
    <row r="1" spans="1:27" ht="40"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413</v>
      </c>
      <c r="R1" s="44" t="s">
        <v>414</v>
      </c>
      <c r="S1" s="44" t="s">
        <v>193</v>
      </c>
      <c r="T1" s="44" t="s">
        <v>419</v>
      </c>
      <c r="U1" s="44" t="s">
        <v>519</v>
      </c>
      <c r="V1" s="44" t="s">
        <v>192</v>
      </c>
      <c r="W1" s="44" t="s">
        <v>384</v>
      </c>
      <c r="X1" s="44" t="s">
        <v>459</v>
      </c>
      <c r="Y1" s="44" t="s">
        <v>242</v>
      </c>
      <c r="Z1" s="44" t="s">
        <v>191</v>
      </c>
      <c r="AA1" s="44" t="s">
        <v>190</v>
      </c>
    </row>
    <row r="2" spans="1:27" ht="40" customHeight="1" x14ac:dyDescent="0.2">
      <c r="A2" s="10">
        <v>1</v>
      </c>
      <c r="B2" s="10" t="s">
        <v>700</v>
      </c>
      <c r="C2" s="10" t="s">
        <v>458</v>
      </c>
      <c r="D2" s="10" t="s">
        <v>830</v>
      </c>
      <c r="E2" s="10" t="s">
        <v>586</v>
      </c>
      <c r="F2" s="10"/>
      <c r="G2" s="10" t="s">
        <v>58</v>
      </c>
      <c r="H2" s="10"/>
      <c r="I2" s="10" t="s">
        <v>70</v>
      </c>
      <c r="J2" s="10" t="s">
        <v>457</v>
      </c>
      <c r="K2" s="10"/>
      <c r="L2" s="10">
        <v>1992</v>
      </c>
      <c r="M2" s="10">
        <v>40</v>
      </c>
      <c r="N2" s="10">
        <f>16*M2</f>
        <v>640</v>
      </c>
      <c r="O2" s="10">
        <f t="shared" ref="O2:O11" si="0">4*N2</f>
        <v>2560</v>
      </c>
      <c r="P2" s="10"/>
      <c r="Q2" s="10">
        <v>39040</v>
      </c>
      <c r="R2" s="43">
        <f t="shared" ref="R2:R34" si="1">Q2/O2</f>
        <v>15.25</v>
      </c>
      <c r="S2" s="10" t="s">
        <v>65</v>
      </c>
      <c r="T2" s="10"/>
      <c r="U2" s="10">
        <f>7110*1000</f>
        <v>7110000</v>
      </c>
      <c r="V2" s="10" t="s">
        <v>244</v>
      </c>
      <c r="W2" s="43">
        <f t="shared" ref="W2:W11" si="2">U2/Q2</f>
        <v>182.12090163934425</v>
      </c>
      <c r="X2" s="10">
        <v>4</v>
      </c>
      <c r="Y2" s="43">
        <f t="shared" ref="Y2:Y27" si="3">U2/O2</f>
        <v>2777.34375</v>
      </c>
      <c r="Z2" s="10" t="s">
        <v>456</v>
      </c>
      <c r="AA2" s="10" t="s">
        <v>455</v>
      </c>
    </row>
    <row r="3" spans="1:27" ht="40" customHeight="1" x14ac:dyDescent="0.2">
      <c r="A3" s="10">
        <v>1</v>
      </c>
      <c r="B3" s="10" t="s">
        <v>699</v>
      </c>
      <c r="E3" s="10"/>
      <c r="F3" s="10"/>
      <c r="G3" s="10" t="s">
        <v>58</v>
      </c>
      <c r="H3" s="10"/>
      <c r="I3" s="10" t="s">
        <v>70</v>
      </c>
      <c r="J3" s="10" t="s">
        <v>457</v>
      </c>
      <c r="K3" s="10"/>
      <c r="L3" s="10"/>
      <c r="M3" s="10">
        <v>40</v>
      </c>
      <c r="N3" s="10">
        <f>16*M3</f>
        <v>640</v>
      </c>
      <c r="O3" s="10">
        <f t="shared" si="0"/>
        <v>2560</v>
      </c>
      <c r="P3" s="10"/>
      <c r="Q3" s="10">
        <v>39040</v>
      </c>
      <c r="R3" s="43">
        <f t="shared" si="1"/>
        <v>15.25</v>
      </c>
      <c r="S3" s="10" t="s">
        <v>30</v>
      </c>
      <c r="T3" s="10"/>
      <c r="U3" s="10">
        <f>5976*1000</f>
        <v>5976000</v>
      </c>
      <c r="V3" s="10" t="s">
        <v>244</v>
      </c>
      <c r="W3" s="43">
        <f t="shared" si="2"/>
        <v>153.07377049180329</v>
      </c>
      <c r="X3" s="10">
        <v>4</v>
      </c>
      <c r="Y3" s="43">
        <f t="shared" si="3"/>
        <v>2334.375</v>
      </c>
      <c r="Z3" s="10"/>
      <c r="AA3" s="10" t="s">
        <v>451</v>
      </c>
    </row>
    <row r="4" spans="1:27" ht="40" customHeight="1" x14ac:dyDescent="0.2">
      <c r="A4" s="10">
        <v>1</v>
      </c>
      <c r="B4" s="10" t="s">
        <v>699</v>
      </c>
      <c r="E4" s="10"/>
      <c r="F4" s="10"/>
      <c r="G4" s="10" t="s">
        <v>58</v>
      </c>
      <c r="H4" s="10"/>
      <c r="I4" s="10" t="s">
        <v>70</v>
      </c>
      <c r="J4" s="10" t="s">
        <v>457</v>
      </c>
      <c r="K4" s="10"/>
      <c r="L4" s="10"/>
      <c r="M4" s="10">
        <v>40</v>
      </c>
      <c r="N4" s="10">
        <f>16*M4</f>
        <v>640</v>
      </c>
      <c r="O4" s="10">
        <f t="shared" si="0"/>
        <v>2560</v>
      </c>
      <c r="P4" s="10"/>
      <c r="Q4" s="10">
        <v>39040</v>
      </c>
      <c r="R4" s="43">
        <f t="shared" si="1"/>
        <v>15.25</v>
      </c>
      <c r="S4" s="10" t="s">
        <v>290</v>
      </c>
      <c r="T4" s="10"/>
      <c r="U4" s="10">
        <f>86*1000</f>
        <v>86000</v>
      </c>
      <c r="V4" s="10" t="s">
        <v>244</v>
      </c>
      <c r="W4" s="43">
        <f t="shared" si="2"/>
        <v>2.2028688524590163</v>
      </c>
      <c r="X4" s="10">
        <v>4</v>
      </c>
      <c r="Y4" s="43">
        <f t="shared" si="3"/>
        <v>33.59375</v>
      </c>
      <c r="Z4" s="10"/>
    </row>
    <row r="5" spans="1:27" ht="40" customHeight="1" x14ac:dyDescent="0.2">
      <c r="A5" s="10">
        <v>1</v>
      </c>
      <c r="B5" s="10" t="s">
        <v>699</v>
      </c>
      <c r="E5" s="10"/>
      <c r="F5" s="10"/>
      <c r="G5" s="10" t="s">
        <v>58</v>
      </c>
      <c r="H5" s="10"/>
      <c r="I5" s="10" t="s">
        <v>70</v>
      </c>
      <c r="J5" s="10" t="s">
        <v>457</v>
      </c>
      <c r="K5" s="10"/>
      <c r="L5" s="10"/>
      <c r="M5" s="10">
        <v>40</v>
      </c>
      <c r="N5" s="10">
        <f>16*M5</f>
        <v>640</v>
      </c>
      <c r="O5" s="10">
        <f t="shared" si="0"/>
        <v>2560</v>
      </c>
      <c r="P5" s="10"/>
      <c r="Q5" s="10">
        <v>39040</v>
      </c>
      <c r="R5" s="43">
        <f t="shared" si="1"/>
        <v>15.25</v>
      </c>
      <c r="S5" s="10" t="s">
        <v>67</v>
      </c>
      <c r="T5" s="10"/>
      <c r="U5" s="10">
        <f>2440*1000</f>
        <v>2440000</v>
      </c>
      <c r="V5" s="10" t="s">
        <v>244</v>
      </c>
      <c r="W5" s="43">
        <f t="shared" si="2"/>
        <v>62.5</v>
      </c>
      <c r="X5" s="10">
        <v>4</v>
      </c>
      <c r="Y5" s="43">
        <f t="shared" si="3"/>
        <v>953.125</v>
      </c>
      <c r="Z5" s="10"/>
    </row>
    <row r="6" spans="1:27" ht="40" customHeight="1" x14ac:dyDescent="0.2">
      <c r="A6" s="10">
        <v>1</v>
      </c>
      <c r="B6" s="10" t="s">
        <v>699</v>
      </c>
      <c r="E6" s="10"/>
      <c r="F6" s="10"/>
      <c r="G6" s="10" t="s">
        <v>58</v>
      </c>
      <c r="H6" s="10"/>
      <c r="I6" s="10" t="s">
        <v>70</v>
      </c>
      <c r="J6" s="10" t="s">
        <v>457</v>
      </c>
      <c r="K6" s="10"/>
      <c r="L6" s="10"/>
      <c r="M6" s="10">
        <v>40</v>
      </c>
      <c r="N6" s="10">
        <f>16*M6</f>
        <v>640</v>
      </c>
      <c r="O6" s="10">
        <f t="shared" si="0"/>
        <v>2560</v>
      </c>
      <c r="P6" s="10"/>
      <c r="Q6" s="10">
        <v>39040</v>
      </c>
      <c r="R6" s="43">
        <f t="shared" si="1"/>
        <v>15.25</v>
      </c>
      <c r="S6" s="10" t="s">
        <v>435</v>
      </c>
      <c r="T6" s="10"/>
      <c r="U6" s="10">
        <f>73*1000</f>
        <v>73000</v>
      </c>
      <c r="V6" s="10" t="s">
        <v>244</v>
      </c>
      <c r="W6" s="43">
        <f t="shared" si="2"/>
        <v>1.8698770491803278</v>
      </c>
      <c r="X6" s="10">
        <v>4</v>
      </c>
      <c r="Y6" s="43">
        <f t="shared" si="3"/>
        <v>28.515625</v>
      </c>
      <c r="Z6" s="10"/>
    </row>
    <row r="7" spans="1:27" ht="40" customHeight="1" x14ac:dyDescent="0.2">
      <c r="A7" s="10">
        <v>1</v>
      </c>
      <c r="B7" s="10" t="s">
        <v>699</v>
      </c>
      <c r="E7" s="10"/>
      <c r="F7" s="10"/>
      <c r="G7" s="10" t="s">
        <v>58</v>
      </c>
      <c r="H7" s="10"/>
      <c r="I7" s="10" t="s">
        <v>70</v>
      </c>
      <c r="J7" s="10" t="s">
        <v>454</v>
      </c>
      <c r="K7" s="10"/>
      <c r="L7" s="10">
        <v>1984</v>
      </c>
      <c r="M7" s="10">
        <v>40</v>
      </c>
      <c r="N7" s="10">
        <f>10*M7</f>
        <v>400</v>
      </c>
      <c r="O7" s="10">
        <f t="shared" si="0"/>
        <v>1600</v>
      </c>
      <c r="P7" s="10"/>
      <c r="Q7" s="10">
        <v>26600</v>
      </c>
      <c r="R7" s="43">
        <f t="shared" si="1"/>
        <v>16.625</v>
      </c>
      <c r="S7" s="10" t="s">
        <v>65</v>
      </c>
      <c r="T7" s="10"/>
      <c r="U7" s="10">
        <f>4200*1000</f>
        <v>4200000</v>
      </c>
      <c r="V7" s="10" t="s">
        <v>244</v>
      </c>
      <c r="W7" s="43">
        <f t="shared" si="2"/>
        <v>157.89473684210526</v>
      </c>
      <c r="X7" s="10">
        <v>4</v>
      </c>
      <c r="Y7" s="43">
        <f t="shared" si="3"/>
        <v>2625</v>
      </c>
      <c r="Z7" s="10"/>
    </row>
    <row r="8" spans="1:27" ht="40" customHeight="1" x14ac:dyDescent="0.2">
      <c r="A8" s="10">
        <v>1</v>
      </c>
      <c r="B8" s="10" t="s">
        <v>699</v>
      </c>
      <c r="E8" s="10"/>
      <c r="F8" s="10"/>
      <c r="G8" s="10" t="s">
        <v>58</v>
      </c>
      <c r="H8" s="10"/>
      <c r="I8" s="10" t="s">
        <v>70</v>
      </c>
      <c r="J8" s="10" t="s">
        <v>454</v>
      </c>
      <c r="K8" s="10"/>
      <c r="L8" s="10"/>
      <c r="M8" s="10">
        <v>40</v>
      </c>
      <c r="N8" s="10">
        <f>10*M8</f>
        <v>400</v>
      </c>
      <c r="O8" s="10">
        <f t="shared" si="0"/>
        <v>1600</v>
      </c>
      <c r="P8" s="10"/>
      <c r="Q8" s="10">
        <v>26600</v>
      </c>
      <c r="R8" s="43">
        <f t="shared" si="1"/>
        <v>16.625</v>
      </c>
      <c r="S8" s="10" t="s">
        <v>30</v>
      </c>
      <c r="T8" s="10"/>
      <c r="U8" s="10">
        <f>3479*1000</f>
        <v>3479000</v>
      </c>
      <c r="V8" s="10" t="s">
        <v>244</v>
      </c>
      <c r="W8" s="43">
        <f t="shared" si="2"/>
        <v>130.78947368421052</v>
      </c>
      <c r="X8" s="10">
        <v>4</v>
      </c>
      <c r="Y8" s="43">
        <f t="shared" si="3"/>
        <v>2174.375</v>
      </c>
      <c r="Z8" s="10"/>
    </row>
    <row r="9" spans="1:27" ht="40" customHeight="1" x14ac:dyDescent="0.2">
      <c r="A9" s="10">
        <v>1</v>
      </c>
      <c r="B9" s="10" t="s">
        <v>699</v>
      </c>
      <c r="E9" s="10"/>
      <c r="F9" s="10"/>
      <c r="G9" s="10" t="s">
        <v>58</v>
      </c>
      <c r="H9" s="10"/>
      <c r="I9" s="10" t="s">
        <v>70</v>
      </c>
      <c r="J9" s="10" t="s">
        <v>454</v>
      </c>
      <c r="K9" s="10"/>
      <c r="L9" s="10"/>
      <c r="M9" s="10">
        <v>40</v>
      </c>
      <c r="N9" s="10">
        <f>10*M9</f>
        <v>400</v>
      </c>
      <c r="O9" s="10">
        <f t="shared" si="0"/>
        <v>1600</v>
      </c>
      <c r="P9" s="10"/>
      <c r="Q9" s="10">
        <v>26600</v>
      </c>
      <c r="R9" s="43">
        <f t="shared" si="1"/>
        <v>16.625</v>
      </c>
      <c r="S9" s="10" t="s">
        <v>290</v>
      </c>
      <c r="T9" s="10"/>
      <c r="U9" s="10">
        <f>124*1000</f>
        <v>124000</v>
      </c>
      <c r="V9" s="10" t="s">
        <v>244</v>
      </c>
      <c r="W9" s="43">
        <f t="shared" si="2"/>
        <v>4.6616541353383463</v>
      </c>
      <c r="X9" s="10">
        <v>4</v>
      </c>
      <c r="Y9" s="43">
        <f t="shared" si="3"/>
        <v>77.5</v>
      </c>
      <c r="Z9" s="10"/>
    </row>
    <row r="10" spans="1:27" ht="40" customHeight="1" x14ac:dyDescent="0.2">
      <c r="A10" s="10">
        <v>1</v>
      </c>
      <c r="B10" s="10" t="s">
        <v>699</v>
      </c>
      <c r="E10" s="10"/>
      <c r="F10" s="10"/>
      <c r="G10" s="10" t="s">
        <v>58</v>
      </c>
      <c r="H10" s="10"/>
      <c r="I10" s="10" t="s">
        <v>70</v>
      </c>
      <c r="J10" s="10" t="s">
        <v>454</v>
      </c>
      <c r="K10" s="10"/>
      <c r="L10" s="10"/>
      <c r="M10" s="10">
        <v>40</v>
      </c>
      <c r="N10" s="10">
        <f>10*M10</f>
        <v>400</v>
      </c>
      <c r="O10" s="10">
        <f t="shared" si="0"/>
        <v>1600</v>
      </c>
      <c r="P10" s="10"/>
      <c r="Q10" s="10">
        <v>26600</v>
      </c>
      <c r="R10" s="43">
        <f t="shared" si="1"/>
        <v>16.625</v>
      </c>
      <c r="S10" s="10" t="s">
        <v>67</v>
      </c>
      <c r="T10" s="10"/>
      <c r="U10" s="10">
        <f>1630*1000</f>
        <v>1630000</v>
      </c>
      <c r="V10" s="10" t="s">
        <v>244</v>
      </c>
      <c r="W10" s="43">
        <f t="shared" si="2"/>
        <v>61.278195488721806</v>
      </c>
      <c r="X10" s="10">
        <v>4</v>
      </c>
      <c r="Y10" s="43">
        <f t="shared" si="3"/>
        <v>1018.75</v>
      </c>
      <c r="Z10" s="10"/>
    </row>
    <row r="11" spans="1:27" ht="40" customHeight="1" x14ac:dyDescent="0.2">
      <c r="A11" s="10">
        <v>1</v>
      </c>
      <c r="B11" s="10" t="s">
        <v>699</v>
      </c>
      <c r="E11" s="10"/>
      <c r="F11" s="10"/>
      <c r="G11" s="10" t="s">
        <v>58</v>
      </c>
      <c r="H11" s="10"/>
      <c r="I11" s="10" t="s">
        <v>70</v>
      </c>
      <c r="J11" s="10" t="s">
        <v>454</v>
      </c>
      <c r="K11" s="10"/>
      <c r="L11" s="10"/>
      <c r="M11" s="10">
        <v>40</v>
      </c>
      <c r="N11" s="10">
        <f>10*M11</f>
        <v>400</v>
      </c>
      <c r="O11" s="10">
        <f t="shared" si="0"/>
        <v>1600</v>
      </c>
      <c r="P11" s="10"/>
      <c r="Q11" s="10">
        <v>26600</v>
      </c>
      <c r="R11" s="43">
        <f t="shared" si="1"/>
        <v>16.625</v>
      </c>
      <c r="S11" s="10" t="s">
        <v>435</v>
      </c>
      <c r="T11" s="10"/>
      <c r="U11" s="10">
        <f>55*1000</f>
        <v>55000</v>
      </c>
      <c r="V11" s="10" t="s">
        <v>244</v>
      </c>
      <c r="W11" s="43">
        <f t="shared" si="2"/>
        <v>2.0676691729323307</v>
      </c>
      <c r="X11" s="10">
        <v>4</v>
      </c>
      <c r="Y11" s="43">
        <f t="shared" si="3"/>
        <v>34.375</v>
      </c>
      <c r="Z11" s="10"/>
    </row>
    <row r="12" spans="1:27" ht="40" customHeight="1" x14ac:dyDescent="0.2">
      <c r="A12" s="10">
        <v>2</v>
      </c>
      <c r="B12" s="10" t="s">
        <v>702</v>
      </c>
      <c r="C12" s="10" t="s">
        <v>642</v>
      </c>
      <c r="D12" s="10" t="s">
        <v>831</v>
      </c>
      <c r="E12" s="10" t="s">
        <v>453</v>
      </c>
      <c r="F12" s="10"/>
      <c r="G12" s="10" t="s">
        <v>58</v>
      </c>
      <c r="H12" s="10" t="s">
        <v>223</v>
      </c>
      <c r="I12" s="10" t="s">
        <v>389</v>
      </c>
      <c r="J12" s="10"/>
      <c r="K12" s="10" t="s">
        <v>218</v>
      </c>
      <c r="L12" s="10" t="s">
        <v>221</v>
      </c>
      <c r="M12" s="10">
        <v>1</v>
      </c>
      <c r="N12" s="10">
        <v>1</v>
      </c>
      <c r="O12" s="10">
        <v>4</v>
      </c>
      <c r="P12" s="10"/>
      <c r="Q12" s="10">
        <f t="shared" ref="Q12:Q31" si="4">AVERAGE(50,90)</f>
        <v>70</v>
      </c>
      <c r="R12" s="43">
        <f t="shared" si="1"/>
        <v>17.5</v>
      </c>
      <c r="S12" s="10" t="s">
        <v>30</v>
      </c>
      <c r="T12" s="10"/>
      <c r="U12" s="10">
        <f t="shared" ref="U12:U31" si="5">W12*Q12</f>
        <v>980</v>
      </c>
      <c r="V12" s="10" t="s">
        <v>244</v>
      </c>
      <c r="W12" s="43">
        <v>14</v>
      </c>
      <c r="X12" s="10">
        <v>1</v>
      </c>
      <c r="Y12" s="43">
        <f t="shared" si="3"/>
        <v>245</v>
      </c>
      <c r="Z12" s="10"/>
      <c r="AA12" s="10" t="s">
        <v>222</v>
      </c>
    </row>
    <row r="13" spans="1:27" ht="40" customHeight="1" x14ac:dyDescent="0.2">
      <c r="A13" s="10">
        <v>2</v>
      </c>
      <c r="B13" s="10" t="s">
        <v>701</v>
      </c>
      <c r="E13" s="10"/>
      <c r="F13" s="10"/>
      <c r="G13" s="10" t="s">
        <v>58</v>
      </c>
      <c r="H13" s="10"/>
      <c r="I13" s="10" t="s">
        <v>389</v>
      </c>
      <c r="J13" s="10"/>
      <c r="K13" s="10" t="s">
        <v>218</v>
      </c>
      <c r="L13" s="10" t="s">
        <v>221</v>
      </c>
      <c r="M13" s="10">
        <v>1</v>
      </c>
      <c r="N13" s="10">
        <v>1</v>
      </c>
      <c r="O13" s="10">
        <v>4</v>
      </c>
      <c r="P13" s="10"/>
      <c r="Q13" s="10">
        <f t="shared" si="4"/>
        <v>70</v>
      </c>
      <c r="R13" s="43">
        <f t="shared" si="1"/>
        <v>17.5</v>
      </c>
      <c r="S13" s="10" t="s">
        <v>67</v>
      </c>
      <c r="T13" s="10"/>
      <c r="U13" s="10">
        <f t="shared" si="5"/>
        <v>1400</v>
      </c>
      <c r="V13" s="10" t="s">
        <v>244</v>
      </c>
      <c r="W13" s="43">
        <v>20</v>
      </c>
      <c r="X13" s="10">
        <v>1</v>
      </c>
      <c r="Y13" s="43">
        <f t="shared" si="3"/>
        <v>350</v>
      </c>
      <c r="Z13" s="10"/>
      <c r="AA13" s="10" t="s">
        <v>452</v>
      </c>
    </row>
    <row r="14" spans="1:27" ht="40" customHeight="1" x14ac:dyDescent="0.2">
      <c r="A14" s="10">
        <v>2</v>
      </c>
      <c r="B14" s="10" t="s">
        <v>701</v>
      </c>
      <c r="E14" s="10"/>
      <c r="F14" s="10"/>
      <c r="G14" s="10" t="s">
        <v>58</v>
      </c>
      <c r="H14" s="10"/>
      <c r="I14" s="10" t="s">
        <v>389</v>
      </c>
      <c r="J14" s="10"/>
      <c r="K14" s="10" t="s">
        <v>218</v>
      </c>
      <c r="L14" s="10" t="s">
        <v>220</v>
      </c>
      <c r="M14" s="10">
        <v>1</v>
      </c>
      <c r="N14" s="10">
        <v>1</v>
      </c>
      <c r="O14" s="10">
        <v>4</v>
      </c>
      <c r="P14" s="10"/>
      <c r="Q14" s="10">
        <f t="shared" si="4"/>
        <v>70</v>
      </c>
      <c r="R14" s="43">
        <f t="shared" si="1"/>
        <v>17.5</v>
      </c>
      <c r="S14" s="10" t="s">
        <v>30</v>
      </c>
      <c r="T14" s="10"/>
      <c r="U14" s="10">
        <f t="shared" si="5"/>
        <v>1120</v>
      </c>
      <c r="V14" s="10" t="s">
        <v>244</v>
      </c>
      <c r="W14" s="43">
        <v>16</v>
      </c>
      <c r="X14" s="10">
        <v>1</v>
      </c>
      <c r="Y14" s="43">
        <f t="shared" si="3"/>
        <v>280</v>
      </c>
      <c r="Z14" s="10"/>
      <c r="AA14" s="10" t="s">
        <v>451</v>
      </c>
    </row>
    <row r="15" spans="1:27" ht="40" customHeight="1" x14ac:dyDescent="0.2">
      <c r="A15" s="10">
        <v>2</v>
      </c>
      <c r="B15" s="10" t="s">
        <v>701</v>
      </c>
      <c r="E15" s="10"/>
      <c r="F15" s="10"/>
      <c r="G15" s="10" t="s">
        <v>58</v>
      </c>
      <c r="H15" s="10"/>
      <c r="I15" s="10" t="s">
        <v>389</v>
      </c>
      <c r="J15" s="10"/>
      <c r="K15" s="10" t="s">
        <v>218</v>
      </c>
      <c r="L15" s="10" t="s">
        <v>219</v>
      </c>
      <c r="M15" s="10">
        <v>1</v>
      </c>
      <c r="N15" s="10">
        <v>1</v>
      </c>
      <c r="O15" s="10">
        <v>4</v>
      </c>
      <c r="P15" s="10"/>
      <c r="Q15" s="10">
        <f t="shared" si="4"/>
        <v>70</v>
      </c>
      <c r="R15" s="43">
        <f t="shared" si="1"/>
        <v>17.5</v>
      </c>
      <c r="S15" s="10" t="s">
        <v>67</v>
      </c>
      <c r="T15" s="10"/>
      <c r="U15" s="10">
        <f t="shared" si="5"/>
        <v>1540</v>
      </c>
      <c r="V15" s="10" t="s">
        <v>244</v>
      </c>
      <c r="W15" s="43">
        <v>22</v>
      </c>
      <c r="X15" s="10">
        <v>1</v>
      </c>
      <c r="Y15" s="43">
        <f t="shared" si="3"/>
        <v>385</v>
      </c>
      <c r="Z15" s="10"/>
    </row>
    <row r="16" spans="1:27" ht="40" customHeight="1" x14ac:dyDescent="0.2">
      <c r="A16" s="10">
        <v>2</v>
      </c>
      <c r="B16" s="10" t="s">
        <v>701</v>
      </c>
      <c r="E16" s="10"/>
      <c r="F16" s="10"/>
      <c r="G16" s="10" t="s">
        <v>58</v>
      </c>
      <c r="H16" s="10"/>
      <c r="I16" s="10" t="s">
        <v>389</v>
      </c>
      <c r="J16" s="10"/>
      <c r="K16" s="10" t="s">
        <v>218</v>
      </c>
      <c r="L16" s="10" t="s">
        <v>209</v>
      </c>
      <c r="M16" s="10">
        <v>1</v>
      </c>
      <c r="N16" s="10">
        <v>1</v>
      </c>
      <c r="O16" s="10">
        <v>4</v>
      </c>
      <c r="P16" s="10"/>
      <c r="Q16" s="10">
        <f t="shared" si="4"/>
        <v>70</v>
      </c>
      <c r="R16" s="43">
        <f t="shared" si="1"/>
        <v>17.5</v>
      </c>
      <c r="S16" s="10" t="s">
        <v>30</v>
      </c>
      <c r="T16" s="10"/>
      <c r="U16" s="10">
        <f t="shared" si="5"/>
        <v>1470</v>
      </c>
      <c r="V16" s="10" t="s">
        <v>244</v>
      </c>
      <c r="W16" s="43">
        <v>21</v>
      </c>
      <c r="X16" s="10">
        <v>1</v>
      </c>
      <c r="Y16" s="43">
        <f t="shared" si="3"/>
        <v>367.5</v>
      </c>
      <c r="Z16" s="10"/>
    </row>
    <row r="17" spans="1:26" ht="40" customHeight="1" x14ac:dyDescent="0.2">
      <c r="A17" s="10">
        <v>2</v>
      </c>
      <c r="B17" s="10" t="s">
        <v>701</v>
      </c>
      <c r="E17" s="10"/>
      <c r="F17" s="10"/>
      <c r="G17" s="10" t="s">
        <v>58</v>
      </c>
      <c r="H17" s="10"/>
      <c r="I17" s="10" t="s">
        <v>389</v>
      </c>
      <c r="J17" s="10"/>
      <c r="K17" s="10" t="s">
        <v>218</v>
      </c>
      <c r="L17" s="10" t="s">
        <v>209</v>
      </c>
      <c r="M17" s="10">
        <v>1</v>
      </c>
      <c r="N17" s="10">
        <v>1</v>
      </c>
      <c r="O17" s="10">
        <v>4</v>
      </c>
      <c r="P17" s="10"/>
      <c r="Q17" s="10">
        <f t="shared" si="4"/>
        <v>70</v>
      </c>
      <c r="R17" s="43">
        <f t="shared" si="1"/>
        <v>17.5</v>
      </c>
      <c r="S17" s="10" t="s">
        <v>67</v>
      </c>
      <c r="T17" s="10"/>
      <c r="U17" s="10">
        <f t="shared" si="5"/>
        <v>1680</v>
      </c>
      <c r="V17" s="10" t="s">
        <v>244</v>
      </c>
      <c r="W17" s="43">
        <v>24</v>
      </c>
      <c r="X17" s="10">
        <v>1</v>
      </c>
      <c r="Y17" s="43">
        <f t="shared" si="3"/>
        <v>420</v>
      </c>
      <c r="Z17" s="10"/>
    </row>
    <row r="18" spans="1:26" ht="40" customHeight="1" x14ac:dyDescent="0.2">
      <c r="A18" s="10">
        <v>2</v>
      </c>
      <c r="B18" s="10" t="s">
        <v>701</v>
      </c>
      <c r="E18" s="10"/>
      <c r="F18" s="10"/>
      <c r="G18" s="10" t="s">
        <v>58</v>
      </c>
      <c r="H18" s="10"/>
      <c r="I18" s="10" t="s">
        <v>389</v>
      </c>
      <c r="J18" s="10"/>
      <c r="K18" s="10" t="s">
        <v>208</v>
      </c>
      <c r="L18" s="10" t="s">
        <v>217</v>
      </c>
      <c r="M18" s="10">
        <v>1</v>
      </c>
      <c r="N18" s="10">
        <v>1</v>
      </c>
      <c r="O18" s="10">
        <v>4</v>
      </c>
      <c r="P18" s="10"/>
      <c r="Q18" s="10">
        <f t="shared" si="4"/>
        <v>70</v>
      </c>
      <c r="R18" s="43">
        <f t="shared" si="1"/>
        <v>17.5</v>
      </c>
      <c r="S18" s="10" t="s">
        <v>30</v>
      </c>
      <c r="T18" s="10"/>
      <c r="U18" s="10">
        <f t="shared" si="5"/>
        <v>1190</v>
      </c>
      <c r="V18" s="10" t="s">
        <v>244</v>
      </c>
      <c r="W18" s="43">
        <v>17</v>
      </c>
      <c r="X18" s="10">
        <v>1</v>
      </c>
      <c r="Y18" s="43">
        <f t="shared" si="3"/>
        <v>297.5</v>
      </c>
      <c r="Z18" s="10"/>
    </row>
    <row r="19" spans="1:26" ht="40" customHeight="1" x14ac:dyDescent="0.2">
      <c r="A19" s="10">
        <v>2</v>
      </c>
      <c r="B19" s="10" t="s">
        <v>701</v>
      </c>
      <c r="E19" s="10"/>
      <c r="F19" s="10"/>
      <c r="G19" s="10" t="s">
        <v>58</v>
      </c>
      <c r="H19" s="10"/>
      <c r="I19" s="10" t="s">
        <v>389</v>
      </c>
      <c r="J19" s="10"/>
      <c r="K19" s="10" t="s">
        <v>208</v>
      </c>
      <c r="L19" s="10" t="s">
        <v>217</v>
      </c>
      <c r="M19" s="10">
        <v>1</v>
      </c>
      <c r="N19" s="10">
        <v>1</v>
      </c>
      <c r="O19" s="10">
        <v>4</v>
      </c>
      <c r="P19" s="10"/>
      <c r="Q19" s="10">
        <f t="shared" si="4"/>
        <v>70</v>
      </c>
      <c r="R19" s="43">
        <f t="shared" si="1"/>
        <v>17.5</v>
      </c>
      <c r="S19" s="10" t="s">
        <v>67</v>
      </c>
      <c r="T19" s="10"/>
      <c r="U19" s="10">
        <f t="shared" si="5"/>
        <v>1540</v>
      </c>
      <c r="V19" s="10" t="s">
        <v>244</v>
      </c>
      <c r="W19" s="43">
        <v>22</v>
      </c>
      <c r="X19" s="10">
        <v>1</v>
      </c>
      <c r="Y19" s="43">
        <f t="shared" si="3"/>
        <v>385</v>
      </c>
      <c r="Z19" s="10"/>
    </row>
    <row r="20" spans="1:26" ht="40" customHeight="1" x14ac:dyDescent="0.2">
      <c r="A20" s="10">
        <v>2</v>
      </c>
      <c r="B20" s="10" t="s">
        <v>701</v>
      </c>
      <c r="E20" s="10"/>
      <c r="F20" s="10"/>
      <c r="G20" s="10" t="s">
        <v>58</v>
      </c>
      <c r="H20" s="10"/>
      <c r="I20" s="10" t="s">
        <v>389</v>
      </c>
      <c r="J20" s="10"/>
      <c r="K20" s="10" t="s">
        <v>208</v>
      </c>
      <c r="L20" s="10" t="s">
        <v>216</v>
      </c>
      <c r="M20" s="10">
        <v>1</v>
      </c>
      <c r="N20" s="10">
        <v>1</v>
      </c>
      <c r="O20" s="10">
        <v>4</v>
      </c>
      <c r="P20" s="10"/>
      <c r="Q20" s="10">
        <f t="shared" si="4"/>
        <v>70</v>
      </c>
      <c r="R20" s="43">
        <f t="shared" si="1"/>
        <v>17.5</v>
      </c>
      <c r="S20" s="10" t="s">
        <v>30</v>
      </c>
      <c r="T20" s="10"/>
      <c r="U20" s="10">
        <f t="shared" si="5"/>
        <v>2240</v>
      </c>
      <c r="V20" s="10" t="s">
        <v>244</v>
      </c>
      <c r="W20" s="43">
        <v>32</v>
      </c>
      <c r="X20" s="10">
        <v>1</v>
      </c>
      <c r="Y20" s="43">
        <f t="shared" si="3"/>
        <v>560</v>
      </c>
      <c r="Z20" s="10"/>
    </row>
    <row r="21" spans="1:26" ht="40" customHeight="1" x14ac:dyDescent="0.2">
      <c r="A21" s="10">
        <v>2</v>
      </c>
      <c r="B21" s="10" t="s">
        <v>701</v>
      </c>
      <c r="E21" s="10"/>
      <c r="F21" s="10"/>
      <c r="G21" s="10" t="s">
        <v>58</v>
      </c>
      <c r="H21" s="10"/>
      <c r="I21" s="10" t="s">
        <v>389</v>
      </c>
      <c r="J21" s="10"/>
      <c r="K21" s="10" t="s">
        <v>208</v>
      </c>
      <c r="L21" s="10" t="s">
        <v>216</v>
      </c>
      <c r="M21" s="10">
        <v>1</v>
      </c>
      <c r="N21" s="10">
        <v>1</v>
      </c>
      <c r="O21" s="10">
        <v>4</v>
      </c>
      <c r="P21" s="10"/>
      <c r="Q21" s="10">
        <f t="shared" si="4"/>
        <v>70</v>
      </c>
      <c r="R21" s="43">
        <f t="shared" si="1"/>
        <v>17.5</v>
      </c>
      <c r="S21" s="10" t="s">
        <v>67</v>
      </c>
      <c r="T21" s="10"/>
      <c r="U21" s="10">
        <f t="shared" si="5"/>
        <v>1540</v>
      </c>
      <c r="V21" s="10" t="s">
        <v>244</v>
      </c>
      <c r="W21" s="43">
        <v>22</v>
      </c>
      <c r="X21" s="10">
        <v>1</v>
      </c>
      <c r="Y21" s="43">
        <f t="shared" si="3"/>
        <v>385</v>
      </c>
      <c r="Z21" s="10"/>
    </row>
    <row r="22" spans="1:26" ht="40" customHeight="1" x14ac:dyDescent="0.2">
      <c r="A22" s="10">
        <v>2</v>
      </c>
      <c r="B22" s="10" t="s">
        <v>701</v>
      </c>
      <c r="E22" s="10"/>
      <c r="F22" s="10"/>
      <c r="G22" s="10" t="s">
        <v>58</v>
      </c>
      <c r="H22" s="10"/>
      <c r="I22" s="10" t="s">
        <v>389</v>
      </c>
      <c r="J22" s="10"/>
      <c r="K22" s="10" t="s">
        <v>208</v>
      </c>
      <c r="L22" s="10" t="s">
        <v>207</v>
      </c>
      <c r="M22" s="10">
        <v>1</v>
      </c>
      <c r="N22" s="10">
        <v>1</v>
      </c>
      <c r="O22" s="10">
        <v>4</v>
      </c>
      <c r="P22" s="10"/>
      <c r="Q22" s="10">
        <f t="shared" si="4"/>
        <v>70</v>
      </c>
      <c r="R22" s="43">
        <f t="shared" si="1"/>
        <v>17.5</v>
      </c>
      <c r="S22" s="10" t="s">
        <v>30</v>
      </c>
      <c r="T22" s="10"/>
      <c r="U22" s="10">
        <f t="shared" si="5"/>
        <v>5250</v>
      </c>
      <c r="V22" s="10" t="s">
        <v>244</v>
      </c>
      <c r="W22" s="43">
        <v>75</v>
      </c>
      <c r="X22" s="10">
        <v>1</v>
      </c>
      <c r="Y22" s="43">
        <f t="shared" si="3"/>
        <v>1312.5</v>
      </c>
      <c r="Z22" s="10"/>
    </row>
    <row r="23" spans="1:26" ht="40" customHeight="1" x14ac:dyDescent="0.2">
      <c r="A23" s="10">
        <v>2</v>
      </c>
      <c r="B23" s="10" t="s">
        <v>701</v>
      </c>
      <c r="E23" s="10"/>
      <c r="F23" s="10"/>
      <c r="G23" s="10" t="s">
        <v>58</v>
      </c>
      <c r="H23" s="10"/>
      <c r="I23" s="10" t="s">
        <v>389</v>
      </c>
      <c r="J23" s="10"/>
      <c r="K23" s="10" t="s">
        <v>208</v>
      </c>
      <c r="L23" s="10" t="s">
        <v>207</v>
      </c>
      <c r="M23" s="10">
        <v>1</v>
      </c>
      <c r="N23" s="10">
        <v>1</v>
      </c>
      <c r="O23" s="10">
        <v>4</v>
      </c>
      <c r="P23" s="10"/>
      <c r="Q23" s="10">
        <f t="shared" si="4"/>
        <v>70</v>
      </c>
      <c r="R23" s="43">
        <f t="shared" si="1"/>
        <v>17.5</v>
      </c>
      <c r="S23" s="10" t="s">
        <v>67</v>
      </c>
      <c r="T23" s="10"/>
      <c r="U23" s="10">
        <f t="shared" si="5"/>
        <v>1820</v>
      </c>
      <c r="V23" s="10" t="s">
        <v>244</v>
      </c>
      <c r="W23" s="43">
        <v>26</v>
      </c>
      <c r="X23" s="10">
        <v>1</v>
      </c>
      <c r="Y23" s="43">
        <f t="shared" si="3"/>
        <v>455</v>
      </c>
      <c r="Z23" s="10"/>
    </row>
    <row r="24" spans="1:26" ht="40" customHeight="1" x14ac:dyDescent="0.2">
      <c r="A24" s="10">
        <v>2</v>
      </c>
      <c r="B24" s="10" t="s">
        <v>701</v>
      </c>
      <c r="E24" s="10"/>
      <c r="F24" s="10"/>
      <c r="G24" s="10" t="s">
        <v>215</v>
      </c>
      <c r="H24" s="10"/>
      <c r="I24" s="10" t="s">
        <v>389</v>
      </c>
      <c r="J24" s="10"/>
      <c r="K24" s="10" t="s">
        <v>214</v>
      </c>
      <c r="L24" s="10" t="s">
        <v>213</v>
      </c>
      <c r="M24" s="10">
        <v>1</v>
      </c>
      <c r="N24" s="10">
        <v>1</v>
      </c>
      <c r="O24" s="10">
        <v>4</v>
      </c>
      <c r="P24" s="10"/>
      <c r="Q24" s="10">
        <f t="shared" si="4"/>
        <v>70</v>
      </c>
      <c r="R24" s="43">
        <f t="shared" si="1"/>
        <v>17.5</v>
      </c>
      <c r="S24" s="10" t="s">
        <v>30</v>
      </c>
      <c r="T24" s="10"/>
      <c r="U24" s="10">
        <f t="shared" si="5"/>
        <v>6.3</v>
      </c>
      <c r="V24" s="10" t="s">
        <v>244</v>
      </c>
      <c r="W24" s="43">
        <v>0.09</v>
      </c>
      <c r="X24" s="10">
        <v>1</v>
      </c>
      <c r="Y24" s="43">
        <f t="shared" si="3"/>
        <v>1.575</v>
      </c>
      <c r="Z24" s="10"/>
    </row>
    <row r="25" spans="1:26" ht="40" customHeight="1" x14ac:dyDescent="0.2">
      <c r="A25" s="10">
        <v>2</v>
      </c>
      <c r="B25" s="10" t="s">
        <v>701</v>
      </c>
      <c r="E25" s="10"/>
      <c r="F25" s="10"/>
      <c r="G25" s="10" t="s">
        <v>215</v>
      </c>
      <c r="H25" s="10"/>
      <c r="I25" s="10" t="s">
        <v>389</v>
      </c>
      <c r="J25" s="10"/>
      <c r="K25" s="10" t="s">
        <v>214</v>
      </c>
      <c r="L25" s="10" t="s">
        <v>213</v>
      </c>
      <c r="M25" s="10">
        <v>1</v>
      </c>
      <c r="N25" s="10">
        <v>1</v>
      </c>
      <c r="O25" s="10">
        <v>4</v>
      </c>
      <c r="P25" s="10"/>
      <c r="Q25" s="10">
        <f t="shared" si="4"/>
        <v>70</v>
      </c>
      <c r="R25" s="43">
        <f t="shared" si="1"/>
        <v>17.5</v>
      </c>
      <c r="S25" s="10" t="s">
        <v>67</v>
      </c>
      <c r="T25" s="10"/>
      <c r="U25" s="10">
        <f t="shared" si="5"/>
        <v>6020</v>
      </c>
      <c r="V25" s="10" t="s">
        <v>244</v>
      </c>
      <c r="W25" s="43">
        <v>86</v>
      </c>
      <c r="X25" s="10">
        <v>1</v>
      </c>
      <c r="Y25" s="43">
        <f t="shared" si="3"/>
        <v>1505</v>
      </c>
      <c r="Z25" s="10"/>
    </row>
    <row r="26" spans="1:26" ht="40" customHeight="1" x14ac:dyDescent="0.2">
      <c r="A26" s="10">
        <v>2</v>
      </c>
      <c r="B26" s="10" t="s">
        <v>701</v>
      </c>
      <c r="E26" s="10"/>
      <c r="F26" s="10"/>
      <c r="G26" s="10" t="s">
        <v>215</v>
      </c>
      <c r="H26" s="10"/>
      <c r="I26" s="10" t="s">
        <v>389</v>
      </c>
      <c r="J26" s="10"/>
      <c r="K26" s="10" t="s">
        <v>212</v>
      </c>
      <c r="L26" s="10" t="s">
        <v>211</v>
      </c>
      <c r="M26" s="10">
        <v>1</v>
      </c>
      <c r="N26" s="10">
        <v>1</v>
      </c>
      <c r="O26" s="10">
        <v>4</v>
      </c>
      <c r="P26" s="10"/>
      <c r="Q26" s="10">
        <f t="shared" si="4"/>
        <v>70</v>
      </c>
      <c r="R26" s="43">
        <f t="shared" si="1"/>
        <v>17.5</v>
      </c>
      <c r="S26" s="10" t="s">
        <v>30</v>
      </c>
      <c r="T26" s="10"/>
      <c r="U26" s="10">
        <f t="shared" si="5"/>
        <v>700</v>
      </c>
      <c r="V26" s="10" t="s">
        <v>244</v>
      </c>
      <c r="W26" s="43">
        <v>10</v>
      </c>
      <c r="X26" s="10">
        <v>1</v>
      </c>
      <c r="Y26" s="43">
        <f t="shared" si="3"/>
        <v>175</v>
      </c>
      <c r="Z26" s="10"/>
    </row>
    <row r="27" spans="1:26" ht="40" customHeight="1" x14ac:dyDescent="0.2">
      <c r="A27" s="10">
        <v>2</v>
      </c>
      <c r="B27" s="10" t="s">
        <v>701</v>
      </c>
      <c r="E27" s="10"/>
      <c r="F27" s="10"/>
      <c r="G27" s="10" t="s">
        <v>215</v>
      </c>
      <c r="H27" s="10"/>
      <c r="I27" s="10" t="s">
        <v>389</v>
      </c>
      <c r="J27" s="10"/>
      <c r="K27" s="10" t="s">
        <v>212</v>
      </c>
      <c r="L27" s="10" t="s">
        <v>211</v>
      </c>
      <c r="M27" s="10">
        <v>1</v>
      </c>
      <c r="N27" s="10">
        <v>1</v>
      </c>
      <c r="O27" s="10">
        <v>4</v>
      </c>
      <c r="P27" s="10"/>
      <c r="Q27" s="10">
        <f t="shared" si="4"/>
        <v>70</v>
      </c>
      <c r="R27" s="43">
        <f t="shared" si="1"/>
        <v>17.5</v>
      </c>
      <c r="S27" s="10" t="s">
        <v>67</v>
      </c>
      <c r="T27" s="10"/>
      <c r="U27" s="10">
        <f t="shared" si="5"/>
        <v>7490</v>
      </c>
      <c r="V27" s="10" t="s">
        <v>244</v>
      </c>
      <c r="W27" s="43">
        <v>107</v>
      </c>
      <c r="X27" s="10">
        <v>1</v>
      </c>
      <c r="Y27" s="43">
        <f t="shared" si="3"/>
        <v>1872.5</v>
      </c>
      <c r="Z27" s="10"/>
    </row>
    <row r="28" spans="1:26" ht="40" customHeight="1" x14ac:dyDescent="0.2">
      <c r="A28" s="10">
        <v>2</v>
      </c>
      <c r="B28" s="10" t="s">
        <v>701</v>
      </c>
      <c r="E28" s="10"/>
      <c r="F28" s="10"/>
      <c r="G28" s="10" t="s">
        <v>215</v>
      </c>
      <c r="H28" s="10"/>
      <c r="I28" s="10" t="s">
        <v>389</v>
      </c>
      <c r="J28" s="10"/>
      <c r="K28" s="10" t="s">
        <v>210</v>
      </c>
      <c r="L28" s="10" t="s">
        <v>209</v>
      </c>
      <c r="M28" s="10">
        <v>1</v>
      </c>
      <c r="N28" s="10">
        <v>1</v>
      </c>
      <c r="O28" s="10">
        <v>4</v>
      </c>
      <c r="P28" s="10"/>
      <c r="Q28" s="10">
        <f t="shared" si="4"/>
        <v>70</v>
      </c>
      <c r="R28" s="43">
        <f t="shared" si="1"/>
        <v>17.5</v>
      </c>
      <c r="S28" s="10" t="s">
        <v>30</v>
      </c>
      <c r="T28" s="10"/>
      <c r="U28" s="10">
        <f t="shared" si="5"/>
        <v>1470</v>
      </c>
      <c r="V28" s="10" t="s">
        <v>244</v>
      </c>
      <c r="W28" s="43">
        <v>21</v>
      </c>
      <c r="X28" s="10">
        <v>1</v>
      </c>
      <c r="Y28" s="43">
        <f t="shared" ref="Y28:Y45" si="6">U28/O28</f>
        <v>367.5</v>
      </c>
      <c r="Z28" s="10"/>
    </row>
    <row r="29" spans="1:26" ht="40" customHeight="1" x14ac:dyDescent="0.2">
      <c r="A29" s="10">
        <v>2</v>
      </c>
      <c r="B29" s="10" t="s">
        <v>701</v>
      </c>
      <c r="E29" s="10"/>
      <c r="F29" s="10"/>
      <c r="G29" s="10" t="s">
        <v>215</v>
      </c>
      <c r="H29" s="10"/>
      <c r="I29" s="10" t="s">
        <v>389</v>
      </c>
      <c r="J29" s="10"/>
      <c r="K29" s="10" t="s">
        <v>210</v>
      </c>
      <c r="L29" s="10" t="s">
        <v>209</v>
      </c>
      <c r="M29" s="10">
        <v>1</v>
      </c>
      <c r="N29" s="10">
        <v>1</v>
      </c>
      <c r="O29" s="10">
        <v>4</v>
      </c>
      <c r="P29" s="10"/>
      <c r="Q29" s="10">
        <f t="shared" si="4"/>
        <v>70</v>
      </c>
      <c r="R29" s="43">
        <f t="shared" si="1"/>
        <v>17.5</v>
      </c>
      <c r="S29" s="10" t="s">
        <v>67</v>
      </c>
      <c r="T29" s="10"/>
      <c r="U29" s="10">
        <f t="shared" si="5"/>
        <v>1680</v>
      </c>
      <c r="V29" s="10" t="s">
        <v>244</v>
      </c>
      <c r="W29" s="43">
        <v>24</v>
      </c>
      <c r="X29" s="10">
        <v>1</v>
      </c>
      <c r="Y29" s="43">
        <f t="shared" si="6"/>
        <v>420</v>
      </c>
      <c r="Z29" s="10"/>
    </row>
    <row r="30" spans="1:26" ht="40" customHeight="1" x14ac:dyDescent="0.2">
      <c r="A30" s="10">
        <v>2</v>
      </c>
      <c r="B30" s="10" t="s">
        <v>701</v>
      </c>
      <c r="E30" s="10"/>
      <c r="F30" s="10"/>
      <c r="G30" s="10" t="s">
        <v>215</v>
      </c>
      <c r="H30" s="10"/>
      <c r="I30" s="10" t="s">
        <v>389</v>
      </c>
      <c r="J30" s="10"/>
      <c r="K30" s="10" t="s">
        <v>208</v>
      </c>
      <c r="L30" s="10" t="s">
        <v>207</v>
      </c>
      <c r="M30" s="10">
        <v>1</v>
      </c>
      <c r="N30" s="10">
        <v>1</v>
      </c>
      <c r="O30" s="10">
        <v>4</v>
      </c>
      <c r="P30" s="10"/>
      <c r="Q30" s="10">
        <f t="shared" si="4"/>
        <v>70</v>
      </c>
      <c r="R30" s="43">
        <f t="shared" si="1"/>
        <v>17.5</v>
      </c>
      <c r="S30" s="10" t="s">
        <v>30</v>
      </c>
      <c r="T30" s="10"/>
      <c r="U30" s="10">
        <f t="shared" si="5"/>
        <v>5250</v>
      </c>
      <c r="V30" s="10" t="s">
        <v>244</v>
      </c>
      <c r="W30" s="43">
        <v>75</v>
      </c>
      <c r="X30" s="10">
        <v>1</v>
      </c>
      <c r="Y30" s="43">
        <f t="shared" si="6"/>
        <v>1312.5</v>
      </c>
      <c r="Z30" s="10"/>
    </row>
    <row r="31" spans="1:26" ht="40" customHeight="1" x14ac:dyDescent="0.2">
      <c r="A31" s="10">
        <v>2</v>
      </c>
      <c r="B31" s="10" t="s">
        <v>701</v>
      </c>
      <c r="E31" s="10"/>
      <c r="F31" s="10"/>
      <c r="G31" s="10" t="s">
        <v>215</v>
      </c>
      <c r="H31" s="10"/>
      <c r="I31" s="10" t="s">
        <v>389</v>
      </c>
      <c r="J31" s="10"/>
      <c r="K31" s="10" t="s">
        <v>208</v>
      </c>
      <c r="L31" s="10" t="s">
        <v>207</v>
      </c>
      <c r="M31" s="10">
        <v>1</v>
      </c>
      <c r="N31" s="10">
        <v>1</v>
      </c>
      <c r="O31" s="10">
        <v>4</v>
      </c>
      <c r="P31" s="10"/>
      <c r="Q31" s="10">
        <f t="shared" si="4"/>
        <v>70</v>
      </c>
      <c r="R31" s="43">
        <f t="shared" si="1"/>
        <v>17.5</v>
      </c>
      <c r="S31" s="10" t="s">
        <v>67</v>
      </c>
      <c r="T31" s="10"/>
      <c r="U31" s="10">
        <f t="shared" si="5"/>
        <v>1820</v>
      </c>
      <c r="V31" s="10" t="s">
        <v>244</v>
      </c>
      <c r="W31" s="43">
        <v>26</v>
      </c>
      <c r="X31" s="10">
        <v>1</v>
      </c>
      <c r="Y31" s="43">
        <f t="shared" si="6"/>
        <v>455</v>
      </c>
      <c r="Z31" s="10"/>
    </row>
    <row r="32" spans="1:26" ht="40" customHeight="1" x14ac:dyDescent="0.2">
      <c r="A32" s="10">
        <v>3</v>
      </c>
      <c r="B32" s="10" t="s">
        <v>704</v>
      </c>
      <c r="C32" s="10" t="s">
        <v>588</v>
      </c>
      <c r="D32" s="10" t="s">
        <v>832</v>
      </c>
      <c r="E32" s="10" t="s">
        <v>619</v>
      </c>
      <c r="F32" s="10"/>
      <c r="G32" s="10" t="s">
        <v>58</v>
      </c>
      <c r="H32" s="10"/>
      <c r="I32" s="10" t="s">
        <v>439</v>
      </c>
      <c r="J32" s="10"/>
      <c r="K32" s="10" t="s">
        <v>589</v>
      </c>
      <c r="L32" s="10"/>
      <c r="M32" s="10">
        <v>4</v>
      </c>
      <c r="N32" s="10">
        <v>16</v>
      </c>
      <c r="O32" s="10">
        <v>40</v>
      </c>
      <c r="P32" s="10">
        <v>1838.7</v>
      </c>
      <c r="Q32" s="10">
        <f t="shared" ref="Q32:Q45" si="7">P32*0.9</f>
        <v>1654.8300000000002</v>
      </c>
      <c r="R32" s="43">
        <f t="shared" si="1"/>
        <v>41.370750000000001</v>
      </c>
      <c r="S32" s="10" t="s">
        <v>30</v>
      </c>
      <c r="T32" s="10"/>
      <c r="U32" s="10">
        <f>(55.91+1.44+4.59)*10000</f>
        <v>619400</v>
      </c>
      <c r="V32" s="10" t="s">
        <v>244</v>
      </c>
      <c r="W32" s="43">
        <f t="shared" ref="W32:W45" si="8">U32/Q32</f>
        <v>374.29826628717143</v>
      </c>
      <c r="X32" s="10">
        <v>3</v>
      </c>
      <c r="Y32" s="43">
        <f t="shared" si="6"/>
        <v>15485</v>
      </c>
      <c r="Z32" s="10" t="s">
        <v>248</v>
      </c>
    </row>
    <row r="33" spans="1:27" ht="40" customHeight="1" x14ac:dyDescent="0.2">
      <c r="A33" s="10">
        <v>3</v>
      </c>
      <c r="B33" s="10" t="s">
        <v>703</v>
      </c>
      <c r="E33" s="10"/>
      <c r="F33" s="10"/>
      <c r="G33" s="10" t="s">
        <v>58</v>
      </c>
      <c r="H33" s="10"/>
      <c r="I33" s="10" t="s">
        <v>439</v>
      </c>
      <c r="J33" s="10"/>
      <c r="K33" s="10"/>
      <c r="L33" s="10"/>
      <c r="M33" s="10">
        <v>4</v>
      </c>
      <c r="N33" s="10">
        <v>16</v>
      </c>
      <c r="O33" s="10">
        <v>40</v>
      </c>
      <c r="P33" s="10">
        <v>1838.7</v>
      </c>
      <c r="Q33" s="10">
        <f t="shared" si="7"/>
        <v>1654.8300000000002</v>
      </c>
      <c r="R33" s="43">
        <f t="shared" si="1"/>
        <v>41.370750000000001</v>
      </c>
      <c r="S33" s="10" t="s">
        <v>412</v>
      </c>
      <c r="T33" s="10"/>
      <c r="U33" s="10">
        <f>0.42*1000</f>
        <v>420</v>
      </c>
      <c r="V33" s="10" t="s">
        <v>244</v>
      </c>
      <c r="W33" s="43">
        <f t="shared" si="8"/>
        <v>0.25380250539330323</v>
      </c>
      <c r="X33" s="10">
        <v>3</v>
      </c>
      <c r="Y33" s="43">
        <f t="shared" si="6"/>
        <v>10.5</v>
      </c>
      <c r="Z33" s="10"/>
    </row>
    <row r="34" spans="1:27" ht="40" customHeight="1" x14ac:dyDescent="0.2">
      <c r="A34" s="10">
        <v>3</v>
      </c>
      <c r="B34" s="10" t="s">
        <v>703</v>
      </c>
      <c r="E34" s="10"/>
      <c r="F34" s="10"/>
      <c r="G34" s="10" t="s">
        <v>58</v>
      </c>
      <c r="H34" s="10"/>
      <c r="I34" s="10" t="s">
        <v>439</v>
      </c>
      <c r="J34" s="10"/>
      <c r="K34" s="10"/>
      <c r="L34" s="10"/>
      <c r="M34" s="10">
        <v>4</v>
      </c>
      <c r="N34" s="10">
        <v>16</v>
      </c>
      <c r="O34" s="10">
        <v>40</v>
      </c>
      <c r="P34" s="10">
        <v>1838.7</v>
      </c>
      <c r="Q34" s="10">
        <f t="shared" si="7"/>
        <v>1654.8300000000002</v>
      </c>
      <c r="R34" s="43">
        <f t="shared" si="1"/>
        <v>41.370750000000001</v>
      </c>
      <c r="S34" s="10" t="s">
        <v>67</v>
      </c>
      <c r="T34" s="10"/>
      <c r="U34" s="10">
        <f>24.89*1000</f>
        <v>24890</v>
      </c>
      <c r="V34" s="10" t="s">
        <v>244</v>
      </c>
      <c r="W34" s="43">
        <f t="shared" si="8"/>
        <v>15.040819902950755</v>
      </c>
      <c r="X34" s="10">
        <v>3</v>
      </c>
      <c r="Y34" s="43">
        <f t="shared" si="6"/>
        <v>622.25</v>
      </c>
      <c r="Z34" s="10"/>
    </row>
    <row r="35" spans="1:27" ht="40" customHeight="1" x14ac:dyDescent="0.2">
      <c r="A35" s="10">
        <v>4</v>
      </c>
      <c r="B35" s="10" t="s">
        <v>706</v>
      </c>
      <c r="C35" s="10" t="s">
        <v>617</v>
      </c>
      <c r="D35" s="10" t="s">
        <v>833</v>
      </c>
      <c r="E35" s="10" t="s">
        <v>618</v>
      </c>
      <c r="F35" s="10"/>
      <c r="G35" s="10" t="s">
        <v>58</v>
      </c>
      <c r="H35" s="10"/>
      <c r="I35" s="10" t="s">
        <v>70</v>
      </c>
      <c r="J35" s="10" t="s">
        <v>622</v>
      </c>
      <c r="K35" s="10"/>
      <c r="L35" s="10">
        <v>2008</v>
      </c>
      <c r="M35" s="10">
        <v>6</v>
      </c>
      <c r="N35" s="10"/>
      <c r="O35" s="42">
        <f t="shared" ref="O35:O40" si="9">Q35/R35</f>
        <v>120.17403915881074</v>
      </c>
      <c r="P35" s="10">
        <v>5524</v>
      </c>
      <c r="Q35" s="10">
        <f t="shared" si="7"/>
        <v>4971.6000000000004</v>
      </c>
      <c r="R35" s="43">
        <v>41.37</v>
      </c>
      <c r="S35" s="10" t="s">
        <v>30</v>
      </c>
      <c r="T35" s="10"/>
      <c r="U35" s="10">
        <f>(158+167.7+189.4+17.2)*1000</f>
        <v>532300.00000000012</v>
      </c>
      <c r="V35" s="10" t="s">
        <v>244</v>
      </c>
      <c r="W35" s="43">
        <f t="shared" si="8"/>
        <v>107.06814707538823</v>
      </c>
      <c r="X35" s="10">
        <v>4</v>
      </c>
      <c r="Y35" s="43">
        <f t="shared" si="6"/>
        <v>4429.4092445088108</v>
      </c>
      <c r="Z35" s="10"/>
      <c r="AA35" s="10" t="s">
        <v>620</v>
      </c>
    </row>
    <row r="36" spans="1:27" ht="40" customHeight="1" x14ac:dyDescent="0.2">
      <c r="A36" s="10">
        <v>4</v>
      </c>
      <c r="B36" s="10" t="s">
        <v>705</v>
      </c>
      <c r="E36" s="10"/>
      <c r="F36" s="10"/>
      <c r="G36" s="10" t="s">
        <v>58</v>
      </c>
      <c r="H36" s="10"/>
      <c r="I36" s="10" t="s">
        <v>70</v>
      </c>
      <c r="J36" s="10" t="s">
        <v>622</v>
      </c>
      <c r="K36" s="10"/>
      <c r="L36" s="10">
        <v>2008</v>
      </c>
      <c r="M36" s="10">
        <v>6</v>
      </c>
      <c r="N36" s="10"/>
      <c r="O36" s="42">
        <f t="shared" si="9"/>
        <v>120.17403915881074</v>
      </c>
      <c r="P36" s="10">
        <v>5524</v>
      </c>
      <c r="Q36" s="10">
        <f t="shared" si="7"/>
        <v>4971.6000000000004</v>
      </c>
      <c r="R36" s="43">
        <v>41.37</v>
      </c>
      <c r="S36" s="10" t="s">
        <v>65</v>
      </c>
      <c r="T36" s="10"/>
      <c r="U36" s="10">
        <f>1924*1000</f>
        <v>1924000</v>
      </c>
      <c r="V36" s="10" t="s">
        <v>244</v>
      </c>
      <c r="W36" s="43">
        <f t="shared" si="8"/>
        <v>386.99814948909807</v>
      </c>
      <c r="X36" s="10">
        <v>4</v>
      </c>
      <c r="Y36" s="43">
        <f t="shared" si="6"/>
        <v>16010.113444363986</v>
      </c>
      <c r="Z36" s="10"/>
      <c r="AA36" s="10" t="s">
        <v>621</v>
      </c>
    </row>
    <row r="37" spans="1:27" ht="40" customHeight="1" x14ac:dyDescent="0.2">
      <c r="A37" s="10">
        <v>4</v>
      </c>
      <c r="B37" s="10" t="s">
        <v>705</v>
      </c>
      <c r="E37" s="10"/>
      <c r="F37" s="10"/>
      <c r="G37" s="10" t="s">
        <v>58</v>
      </c>
      <c r="H37" s="10"/>
      <c r="I37" s="10" t="s">
        <v>70</v>
      </c>
      <c r="J37" s="10" t="s">
        <v>622</v>
      </c>
      <c r="K37" s="10"/>
      <c r="L37" s="10">
        <v>2008</v>
      </c>
      <c r="M37" s="10">
        <v>11</v>
      </c>
      <c r="N37" s="10"/>
      <c r="O37" s="42">
        <f t="shared" si="9"/>
        <v>120.60913705583758</v>
      </c>
      <c r="P37" s="10">
        <v>5544</v>
      </c>
      <c r="Q37" s="10">
        <f t="shared" si="7"/>
        <v>4989.6000000000004</v>
      </c>
      <c r="R37" s="43">
        <v>41.37</v>
      </c>
      <c r="S37" s="10" t="s">
        <v>30</v>
      </c>
      <c r="T37" s="10"/>
      <c r="U37" s="10">
        <f>(151.8+177.5+ 214.1+52.6)*1000</f>
        <v>596000</v>
      </c>
      <c r="V37" s="10" t="s">
        <v>244</v>
      </c>
      <c r="W37" s="43">
        <f t="shared" si="8"/>
        <v>119.4484527817861</v>
      </c>
      <c r="X37" s="10">
        <v>4</v>
      </c>
      <c r="Y37" s="43">
        <f t="shared" si="6"/>
        <v>4941.5824915824905</v>
      </c>
      <c r="Z37" s="10"/>
    </row>
    <row r="38" spans="1:27" ht="40" customHeight="1" x14ac:dyDescent="0.2">
      <c r="A38" s="10">
        <v>4</v>
      </c>
      <c r="B38" s="10" t="s">
        <v>705</v>
      </c>
      <c r="E38" s="10"/>
      <c r="F38" s="10"/>
      <c r="G38" s="10" t="s">
        <v>58</v>
      </c>
      <c r="H38" s="10"/>
      <c r="I38" s="10" t="s">
        <v>70</v>
      </c>
      <c r="J38" s="10" t="s">
        <v>622</v>
      </c>
      <c r="K38" s="10"/>
      <c r="L38" s="10">
        <v>2008</v>
      </c>
      <c r="M38" s="10">
        <v>11</v>
      </c>
      <c r="N38" s="10"/>
      <c r="O38" s="42">
        <f t="shared" si="9"/>
        <v>120.60913705583758</v>
      </c>
      <c r="P38" s="10">
        <v>5544</v>
      </c>
      <c r="Q38" s="10">
        <f t="shared" si="7"/>
        <v>4989.6000000000004</v>
      </c>
      <c r="R38" s="43">
        <v>41.37</v>
      </c>
      <c r="S38" s="10" t="s">
        <v>65</v>
      </c>
      <c r="T38" s="10"/>
      <c r="U38" s="10">
        <f>2087.9*1000</f>
        <v>2087900</v>
      </c>
      <c r="V38" s="10" t="s">
        <v>244</v>
      </c>
      <c r="W38" s="43">
        <f t="shared" si="8"/>
        <v>418.45037678371011</v>
      </c>
      <c r="X38" s="10">
        <v>4</v>
      </c>
      <c r="Y38" s="43">
        <f t="shared" si="6"/>
        <v>17311.292087542086</v>
      </c>
      <c r="Z38" s="10"/>
    </row>
    <row r="39" spans="1:27" ht="40" customHeight="1" x14ac:dyDescent="0.2">
      <c r="A39" s="10">
        <v>4</v>
      </c>
      <c r="B39" s="10" t="s">
        <v>705</v>
      </c>
      <c r="E39" s="10"/>
      <c r="F39" s="10"/>
      <c r="G39" s="10" t="s">
        <v>58</v>
      </c>
      <c r="H39" s="10"/>
      <c r="I39" s="10" t="s">
        <v>70</v>
      </c>
      <c r="J39" s="10" t="s">
        <v>622</v>
      </c>
      <c r="K39" s="10"/>
      <c r="L39" s="10">
        <v>2008</v>
      </c>
      <c r="M39" s="10">
        <v>18</v>
      </c>
      <c r="N39" s="10"/>
      <c r="O39" s="42">
        <f t="shared" si="9"/>
        <v>208.28136330674403</v>
      </c>
      <c r="P39" s="10">
        <v>9574</v>
      </c>
      <c r="Q39" s="10">
        <f t="shared" si="7"/>
        <v>8616.6</v>
      </c>
      <c r="R39" s="43">
        <v>41.37</v>
      </c>
      <c r="S39" s="10" t="s">
        <v>30</v>
      </c>
      <c r="T39" s="10"/>
      <c r="U39" s="10">
        <f>(270.6+415.5+471.8)*1000</f>
        <v>1157900</v>
      </c>
      <c r="V39" s="10" t="s">
        <v>244</v>
      </c>
      <c r="W39" s="43">
        <f t="shared" si="8"/>
        <v>134.38014994313301</v>
      </c>
      <c r="X39" s="10">
        <v>4</v>
      </c>
      <c r="Y39" s="43">
        <f t="shared" si="6"/>
        <v>5559.3068031474131</v>
      </c>
      <c r="Z39" s="10"/>
    </row>
    <row r="40" spans="1:27" ht="40" customHeight="1" x14ac:dyDescent="0.2">
      <c r="A40" s="10">
        <v>4</v>
      </c>
      <c r="B40" s="10" t="s">
        <v>705</v>
      </c>
      <c r="E40" s="10"/>
      <c r="F40" s="10"/>
      <c r="G40" s="10" t="s">
        <v>58</v>
      </c>
      <c r="H40" s="10"/>
      <c r="I40" s="10" t="s">
        <v>70</v>
      </c>
      <c r="J40" s="10" t="s">
        <v>622</v>
      </c>
      <c r="K40" s="10"/>
      <c r="L40" s="10">
        <v>2008</v>
      </c>
      <c r="M40" s="10">
        <v>18</v>
      </c>
      <c r="N40" s="10"/>
      <c r="O40" s="42">
        <f t="shared" si="9"/>
        <v>208.28136330674403</v>
      </c>
      <c r="P40" s="10">
        <v>9574</v>
      </c>
      <c r="Q40" s="10">
        <f t="shared" si="7"/>
        <v>8616.6</v>
      </c>
      <c r="R40" s="43">
        <v>41.37</v>
      </c>
      <c r="S40" s="10" t="s">
        <v>65</v>
      </c>
      <c r="T40" s="10"/>
      <c r="U40" s="10">
        <f>2839.7*1000</f>
        <v>2839700</v>
      </c>
      <c r="V40" s="10" t="s">
        <v>244</v>
      </c>
      <c r="W40" s="43">
        <f t="shared" si="8"/>
        <v>329.56154399647193</v>
      </c>
      <c r="X40" s="10">
        <v>4</v>
      </c>
      <c r="Y40" s="43">
        <f t="shared" si="6"/>
        <v>13633.961075134042</v>
      </c>
      <c r="Z40" s="10"/>
    </row>
    <row r="41" spans="1:27" ht="40" customHeight="1" x14ac:dyDescent="0.2">
      <c r="A41" s="10">
        <v>5</v>
      </c>
      <c r="B41" s="10" t="s">
        <v>708</v>
      </c>
      <c r="C41" s="10" t="s">
        <v>645</v>
      </c>
      <c r="D41" s="10" t="s">
        <v>834</v>
      </c>
      <c r="E41" s="10" t="s">
        <v>623</v>
      </c>
      <c r="F41" s="10"/>
      <c r="G41" s="10" t="s">
        <v>215</v>
      </c>
      <c r="H41" s="10"/>
      <c r="I41" s="10" t="s">
        <v>389</v>
      </c>
      <c r="J41" s="10"/>
      <c r="K41" s="10"/>
      <c r="L41" s="10"/>
      <c r="M41" s="10">
        <v>2</v>
      </c>
      <c r="N41" s="10">
        <v>2</v>
      </c>
      <c r="O41" s="10">
        <v>6</v>
      </c>
      <c r="P41" s="10">
        <v>423.4</v>
      </c>
      <c r="Q41" s="10">
        <f t="shared" si="7"/>
        <v>381.06</v>
      </c>
      <c r="R41" s="43">
        <f t="shared" ref="R41:R45" si="10">Q41/O41</f>
        <v>63.51</v>
      </c>
      <c r="S41" s="10" t="s">
        <v>67</v>
      </c>
      <c r="T41" s="10">
        <v>450</v>
      </c>
      <c r="U41" s="10">
        <f>487.46+7500+5.26*T41</f>
        <v>10354.459999999999</v>
      </c>
      <c r="V41" s="10" t="s">
        <v>244</v>
      </c>
      <c r="W41" s="43">
        <f t="shared" si="8"/>
        <v>27.172781189314016</v>
      </c>
      <c r="X41" s="10">
        <v>1</v>
      </c>
      <c r="Y41" s="43">
        <f t="shared" si="6"/>
        <v>1725.7433333333331</v>
      </c>
      <c r="Z41" s="10" t="s">
        <v>248</v>
      </c>
      <c r="AA41" s="10" t="s">
        <v>624</v>
      </c>
    </row>
    <row r="42" spans="1:27" ht="40" customHeight="1" x14ac:dyDescent="0.2">
      <c r="A42" s="10">
        <v>5</v>
      </c>
      <c r="B42" s="10" t="s">
        <v>707</v>
      </c>
      <c r="E42" s="10"/>
      <c r="F42" s="10"/>
      <c r="G42" s="10" t="s">
        <v>215</v>
      </c>
      <c r="H42" s="10"/>
      <c r="I42" s="10" t="s">
        <v>389</v>
      </c>
      <c r="J42" s="10"/>
      <c r="K42" s="10"/>
      <c r="L42" s="10"/>
      <c r="M42" s="10">
        <v>2</v>
      </c>
      <c r="N42" s="10">
        <v>2</v>
      </c>
      <c r="O42" s="10">
        <v>6</v>
      </c>
      <c r="P42" s="10">
        <v>423.4</v>
      </c>
      <c r="Q42" s="10">
        <f t="shared" si="7"/>
        <v>381.06</v>
      </c>
      <c r="R42" s="43">
        <f t="shared" si="10"/>
        <v>63.51</v>
      </c>
      <c r="S42" s="10" t="s">
        <v>30</v>
      </c>
      <c r="T42" s="10"/>
      <c r="U42" s="10">
        <f>(0.12+0.19+0.08+0.6+0.04)*1000</f>
        <v>1030</v>
      </c>
      <c r="V42" s="10" t="s">
        <v>244</v>
      </c>
      <c r="W42" s="43">
        <f t="shared" si="8"/>
        <v>2.7029864063402087</v>
      </c>
      <c r="X42" s="10">
        <v>1</v>
      </c>
      <c r="Y42" s="43">
        <f t="shared" si="6"/>
        <v>171.66666666666666</v>
      </c>
      <c r="Z42" s="10"/>
    </row>
    <row r="43" spans="1:27" ht="40" customHeight="1" x14ac:dyDescent="0.2">
      <c r="A43" s="10">
        <v>5</v>
      </c>
      <c r="B43" s="10" t="s">
        <v>707</v>
      </c>
      <c r="E43" s="10"/>
      <c r="F43" s="10"/>
      <c r="G43" s="10" t="s">
        <v>215</v>
      </c>
      <c r="H43" s="10"/>
      <c r="I43" s="10" t="s">
        <v>389</v>
      </c>
      <c r="J43" s="10"/>
      <c r="K43" s="10"/>
      <c r="L43" s="10"/>
      <c r="M43" s="10">
        <v>2</v>
      </c>
      <c r="N43" s="10">
        <v>2</v>
      </c>
      <c r="O43" s="10">
        <v>6</v>
      </c>
      <c r="P43" s="10">
        <v>423.4</v>
      </c>
      <c r="Q43" s="10">
        <f t="shared" si="7"/>
        <v>381.06</v>
      </c>
      <c r="R43" s="43">
        <f t="shared" si="10"/>
        <v>63.51</v>
      </c>
      <c r="S43" s="10" t="s">
        <v>65</v>
      </c>
      <c r="T43" s="3">
        <v>2320</v>
      </c>
      <c r="U43" s="10">
        <f>(14.87+414.47)*T43</f>
        <v>996068.8</v>
      </c>
      <c r="V43" s="10" t="s">
        <v>244</v>
      </c>
      <c r="W43" s="43">
        <f t="shared" si="8"/>
        <v>2613.9421613394215</v>
      </c>
      <c r="X43" s="10">
        <v>1</v>
      </c>
      <c r="Y43" s="43">
        <f t="shared" si="6"/>
        <v>166011.46666666667</v>
      </c>
      <c r="Z43" s="10"/>
    </row>
    <row r="44" spans="1:27" ht="40" customHeight="1" x14ac:dyDescent="0.2">
      <c r="A44" s="10">
        <v>5</v>
      </c>
      <c r="B44" s="10" t="s">
        <v>707</v>
      </c>
      <c r="E44" s="10"/>
      <c r="F44" s="10"/>
      <c r="G44" s="10" t="s">
        <v>215</v>
      </c>
      <c r="H44" s="10"/>
      <c r="I44" s="10" t="s">
        <v>389</v>
      </c>
      <c r="J44" s="10"/>
      <c r="K44" s="10"/>
      <c r="L44" s="10"/>
      <c r="M44" s="10">
        <v>2</v>
      </c>
      <c r="N44" s="10">
        <v>2</v>
      </c>
      <c r="O44" s="10">
        <v>6</v>
      </c>
      <c r="P44" s="10">
        <v>423.4</v>
      </c>
      <c r="Q44" s="10">
        <f t="shared" si="7"/>
        <v>381.06</v>
      </c>
      <c r="R44" s="43">
        <f t="shared" si="10"/>
        <v>63.51</v>
      </c>
      <c r="S44" s="10" t="s">
        <v>290</v>
      </c>
      <c r="T44" s="10"/>
      <c r="U44" s="10">
        <v>3888.83</v>
      </c>
      <c r="V44" s="10" t="s">
        <v>244</v>
      </c>
      <c r="W44" s="43">
        <f t="shared" si="8"/>
        <v>10.205295753949509</v>
      </c>
      <c r="X44" s="10">
        <v>1</v>
      </c>
      <c r="Y44" s="43">
        <f t="shared" si="6"/>
        <v>648.13833333333332</v>
      </c>
      <c r="Z44" s="10"/>
    </row>
    <row r="45" spans="1:27" ht="40" customHeight="1" x14ac:dyDescent="0.2">
      <c r="A45" s="10">
        <v>5</v>
      </c>
      <c r="B45" s="10" t="s">
        <v>707</v>
      </c>
      <c r="E45" s="10"/>
      <c r="F45" s="10"/>
      <c r="G45" s="10" t="s">
        <v>215</v>
      </c>
      <c r="H45" s="10"/>
      <c r="I45" s="10" t="s">
        <v>389</v>
      </c>
      <c r="J45" s="10"/>
      <c r="K45" s="10"/>
      <c r="L45" s="10"/>
      <c r="M45" s="10">
        <v>2</v>
      </c>
      <c r="N45" s="10">
        <v>2</v>
      </c>
      <c r="O45" s="10">
        <v>6</v>
      </c>
      <c r="P45" s="10">
        <v>423.4</v>
      </c>
      <c r="Q45" s="10">
        <f t="shared" si="7"/>
        <v>381.06</v>
      </c>
      <c r="R45" s="43">
        <f t="shared" si="10"/>
        <v>63.51</v>
      </c>
      <c r="S45" s="10" t="s">
        <v>435</v>
      </c>
      <c r="T45" s="10"/>
      <c r="U45" s="10">
        <v>2978.71</v>
      </c>
      <c r="V45" s="10" t="s">
        <v>244</v>
      </c>
      <c r="W45" s="43">
        <f t="shared" si="8"/>
        <v>7.816905474203538</v>
      </c>
      <c r="X45" s="10">
        <v>1</v>
      </c>
      <c r="Y45" s="43">
        <f t="shared" si="6"/>
        <v>496.45166666666665</v>
      </c>
      <c r="Z45" s="10"/>
    </row>
    <row r="46" spans="1:27" ht="40" customHeight="1" x14ac:dyDescent="0.2">
      <c r="A46" s="10"/>
      <c r="E46" s="10"/>
      <c r="F46" s="10"/>
      <c r="G46" s="10"/>
      <c r="H46" s="10"/>
      <c r="I46" s="10"/>
      <c r="J46" s="10"/>
      <c r="K46" s="10"/>
      <c r="L46" s="10"/>
      <c r="M46" s="10"/>
      <c r="N46" s="10"/>
      <c r="O46" s="10"/>
      <c r="P46" s="10"/>
      <c r="Q46" s="10"/>
      <c r="R46" s="43"/>
      <c r="S46" s="10"/>
      <c r="T46" s="10"/>
      <c r="U46" s="10"/>
      <c r="V46" s="10"/>
      <c r="W46" s="43"/>
      <c r="X46" s="10"/>
      <c r="Y46" s="43"/>
      <c r="Z46" s="10"/>
    </row>
    <row r="47" spans="1:27" ht="40" customHeight="1" x14ac:dyDescent="0.2">
      <c r="A47" s="10"/>
      <c r="E47" s="10"/>
      <c r="F47" s="10"/>
      <c r="G47" s="10"/>
      <c r="H47" s="10"/>
      <c r="I47" s="10"/>
      <c r="J47" s="10"/>
      <c r="K47" s="10"/>
      <c r="L47" s="10"/>
      <c r="M47" s="10"/>
      <c r="N47" s="10"/>
      <c r="O47" s="10"/>
      <c r="P47" s="10"/>
      <c r="Q47" s="10"/>
      <c r="R47" s="43"/>
      <c r="S47" s="10"/>
      <c r="T47" s="10"/>
      <c r="U47" s="10"/>
      <c r="V47" s="10"/>
      <c r="W47" s="43"/>
      <c r="X47" s="10"/>
      <c r="Y47" s="43"/>
      <c r="Z47" s="10"/>
    </row>
    <row r="48" spans="1:27" ht="40" customHeight="1" x14ac:dyDescent="0.2">
      <c r="A48" s="10"/>
      <c r="E48" s="10"/>
      <c r="F48" s="10"/>
      <c r="G48" s="10"/>
      <c r="H48" s="10"/>
      <c r="I48" s="10"/>
      <c r="J48" s="10"/>
      <c r="K48" s="10"/>
      <c r="L48" s="10"/>
      <c r="M48" s="10"/>
      <c r="N48" s="10"/>
      <c r="O48" s="10"/>
      <c r="P48" s="10"/>
      <c r="Q48" s="10"/>
      <c r="R48" s="43"/>
      <c r="S48" s="10"/>
      <c r="T48" s="10"/>
      <c r="U48" s="10"/>
      <c r="V48" s="10"/>
      <c r="W48" s="43"/>
      <c r="X48" s="10"/>
      <c r="Y48" s="43"/>
      <c r="Z48" s="10"/>
    </row>
    <row r="49" spans="1:26" ht="40" customHeight="1" x14ac:dyDescent="0.2">
      <c r="A49" s="10"/>
      <c r="E49" s="10"/>
      <c r="F49" s="10"/>
      <c r="G49" s="10"/>
      <c r="H49" s="10"/>
      <c r="I49" s="10"/>
      <c r="J49" s="10"/>
      <c r="K49" s="10"/>
      <c r="L49" s="10"/>
      <c r="M49" s="10"/>
      <c r="N49" s="10"/>
      <c r="O49" s="10"/>
      <c r="P49" s="10"/>
      <c r="Q49" s="10"/>
      <c r="R49" s="43"/>
      <c r="S49" s="10"/>
      <c r="T49" s="10"/>
      <c r="U49" s="10"/>
      <c r="V49" s="10"/>
      <c r="W49" s="43"/>
      <c r="X49" s="10"/>
      <c r="Y49" s="43"/>
      <c r="Z49" s="10"/>
    </row>
    <row r="50" spans="1:26" ht="27.75" customHeight="1" x14ac:dyDescent="0.2"/>
  </sheetData>
  <pageMargins left="0.7" right="0.7" top="0.75" bottom="0.75" header="0.3" footer="0.3"/>
  <pageSetup paperSize="9"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rgb="FF92D050"/>
  </sheetPr>
  <dimension ref="A1:AA14"/>
  <sheetViews>
    <sheetView zoomScaleNormal="100" workbookViewId="0"/>
  </sheetViews>
  <sheetFormatPr baseColWidth="10" defaultColWidth="9.1640625" defaultRowHeight="15" x14ac:dyDescent="0.2"/>
  <cols>
    <col min="1" max="1" width="4.33203125" style="11" customWidth="1"/>
    <col min="2" max="2" width="11.5" style="11" customWidth="1"/>
    <col min="3" max="3" width="59.83203125" style="11" customWidth="1"/>
    <col min="4" max="4" width="19.83203125" style="11" customWidth="1"/>
    <col min="5" max="6" width="25" style="11" customWidth="1"/>
    <col min="7" max="7" width="9.1640625" style="11"/>
    <col min="8" max="8" width="14.33203125" style="11" customWidth="1"/>
    <col min="9" max="9" width="27.6640625" style="11" customWidth="1"/>
    <col min="10" max="10" width="16" style="11" customWidth="1"/>
    <col min="11" max="11" width="25.33203125" style="11" customWidth="1"/>
    <col min="12" max="13" width="22.5" style="11" customWidth="1"/>
    <col min="14" max="14" width="23" style="11" customWidth="1"/>
    <col min="15" max="15" width="13.33203125" style="11" customWidth="1"/>
    <col min="16" max="16" width="13.5" style="11" customWidth="1"/>
    <col min="17" max="17" width="12.1640625" style="11" customWidth="1"/>
    <col min="18" max="18" width="13.33203125" style="11" customWidth="1"/>
    <col min="19" max="19" width="13.1640625" style="11" customWidth="1"/>
    <col min="20" max="20" width="10" style="11" customWidth="1"/>
    <col min="21" max="21" width="11.5" style="11" customWidth="1"/>
    <col min="22" max="22" width="9.1640625" style="11"/>
    <col min="23" max="23" width="14.33203125" style="30" customWidth="1"/>
    <col min="24" max="24" width="10.1640625" style="11" customWidth="1"/>
    <col min="25" max="25" width="10.83203125" style="11" customWidth="1"/>
    <col min="26" max="26" width="11.5" style="11" customWidth="1"/>
    <col min="27" max="27" width="20.33203125" style="11" customWidth="1"/>
    <col min="28" max="16384" width="9.1640625" style="11"/>
  </cols>
  <sheetData>
    <row r="1" spans="1:27"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5" t="s">
        <v>195</v>
      </c>
      <c r="P1" s="44" t="s">
        <v>194</v>
      </c>
      <c r="Q1" s="44" t="s">
        <v>413</v>
      </c>
      <c r="R1" s="44" t="s">
        <v>414</v>
      </c>
      <c r="S1" s="44" t="s">
        <v>193</v>
      </c>
      <c r="T1" s="44" t="s">
        <v>419</v>
      </c>
      <c r="U1" s="44" t="s">
        <v>519</v>
      </c>
      <c r="V1" s="44" t="s">
        <v>192</v>
      </c>
      <c r="W1" s="44" t="s">
        <v>495</v>
      </c>
      <c r="X1" s="44" t="s">
        <v>416</v>
      </c>
      <c r="Y1" s="44" t="s">
        <v>242</v>
      </c>
      <c r="Z1" s="44" t="s">
        <v>497</v>
      </c>
      <c r="AA1" s="44" t="s">
        <v>190</v>
      </c>
    </row>
    <row r="2" spans="1:27" ht="40" customHeight="1" x14ac:dyDescent="0.2">
      <c r="A2" s="10">
        <v>1</v>
      </c>
      <c r="B2" s="10" t="s">
        <v>710</v>
      </c>
      <c r="C2" s="10" t="s">
        <v>743</v>
      </c>
      <c r="D2" s="10" t="s">
        <v>835</v>
      </c>
      <c r="E2" s="10" t="s">
        <v>716</v>
      </c>
      <c r="F2" s="10"/>
      <c r="G2" s="10" t="s">
        <v>58</v>
      </c>
      <c r="H2" s="10"/>
      <c r="I2" s="10" t="s">
        <v>439</v>
      </c>
      <c r="J2" s="10" t="s">
        <v>493</v>
      </c>
      <c r="K2" s="10" t="s">
        <v>490</v>
      </c>
      <c r="L2" s="10"/>
      <c r="M2" s="10">
        <v>4</v>
      </c>
      <c r="N2" s="10">
        <v>40</v>
      </c>
      <c r="O2" s="10">
        <f t="shared" ref="O2:O11" si="0">4*N2</f>
        <v>160</v>
      </c>
      <c r="P2" s="10"/>
      <c r="Q2" s="43">
        <v>4458</v>
      </c>
      <c r="R2" s="43">
        <f>Q2/O2</f>
        <v>27.862500000000001</v>
      </c>
      <c r="S2" s="10" t="s">
        <v>65</v>
      </c>
      <c r="T2" s="10"/>
      <c r="U2" s="43">
        <f>W2*Q2</f>
        <v>6049506</v>
      </c>
      <c r="V2" s="10" t="s">
        <v>244</v>
      </c>
      <c r="W2" s="43">
        <f>1017+340</f>
        <v>1357</v>
      </c>
      <c r="X2" s="10">
        <v>3</v>
      </c>
      <c r="Y2" s="43">
        <f>U2/O2</f>
        <v>37809.412499999999</v>
      </c>
      <c r="Z2" s="10"/>
      <c r="AA2" s="10" t="s">
        <v>492</v>
      </c>
    </row>
    <row r="3" spans="1:27" ht="40" customHeight="1" x14ac:dyDescent="0.2">
      <c r="A3" s="10">
        <v>1</v>
      </c>
      <c r="B3" s="10" t="s">
        <v>709</v>
      </c>
      <c r="C3" s="10"/>
      <c r="D3" s="10"/>
      <c r="E3" s="10" t="s">
        <v>716</v>
      </c>
      <c r="F3" s="10"/>
      <c r="G3" s="10" t="s">
        <v>58</v>
      </c>
      <c r="H3" s="10"/>
      <c r="I3" s="10" t="s">
        <v>439</v>
      </c>
      <c r="J3" s="10" t="s">
        <v>493</v>
      </c>
      <c r="K3" s="10" t="s">
        <v>490</v>
      </c>
      <c r="L3" s="10"/>
      <c r="M3" s="10">
        <v>4</v>
      </c>
      <c r="N3" s="10">
        <v>40</v>
      </c>
      <c r="O3" s="10">
        <f t="shared" si="0"/>
        <v>160</v>
      </c>
      <c r="P3" s="10"/>
      <c r="Q3" s="43">
        <v>4458</v>
      </c>
      <c r="R3" s="43">
        <f t="shared" ref="R3:R14" si="1">Q3/O3</f>
        <v>27.862500000000001</v>
      </c>
      <c r="S3" s="10" t="s">
        <v>30</v>
      </c>
      <c r="T3" s="10"/>
      <c r="U3" s="43">
        <f t="shared" ref="U3:U11" si="2">W3*Q3</f>
        <v>81135.599999999991</v>
      </c>
      <c r="V3" s="10" t="s">
        <v>244</v>
      </c>
      <c r="W3" s="43">
        <v>18.2</v>
      </c>
      <c r="X3" s="10">
        <v>3</v>
      </c>
      <c r="Y3" s="43">
        <f t="shared" ref="Y3:Y14" si="3">U3/O3</f>
        <v>507.09749999999997</v>
      </c>
      <c r="Z3" s="10"/>
      <c r="AA3" s="10" t="s">
        <v>492</v>
      </c>
    </row>
    <row r="4" spans="1:27" ht="40" customHeight="1" x14ac:dyDescent="0.2">
      <c r="A4" s="10">
        <v>1</v>
      </c>
      <c r="B4" s="10" t="s">
        <v>709</v>
      </c>
      <c r="C4" s="10"/>
      <c r="D4" s="10"/>
      <c r="E4" s="10" t="s">
        <v>716</v>
      </c>
      <c r="F4" s="10"/>
      <c r="G4" s="10" t="s">
        <v>58</v>
      </c>
      <c r="H4" s="10"/>
      <c r="I4" s="10" t="s">
        <v>439</v>
      </c>
      <c r="J4" s="10" t="s">
        <v>493</v>
      </c>
      <c r="K4" s="10" t="s">
        <v>490</v>
      </c>
      <c r="L4" s="10"/>
      <c r="M4" s="10">
        <v>4</v>
      </c>
      <c r="N4" s="10">
        <v>40</v>
      </c>
      <c r="O4" s="10">
        <f t="shared" si="0"/>
        <v>160</v>
      </c>
      <c r="P4" s="10"/>
      <c r="Q4" s="43">
        <v>4458</v>
      </c>
      <c r="R4" s="43">
        <f t="shared" si="1"/>
        <v>27.862500000000001</v>
      </c>
      <c r="S4" s="10" t="s">
        <v>290</v>
      </c>
      <c r="T4" s="10"/>
      <c r="U4" s="43">
        <f t="shared" si="2"/>
        <v>2496.48</v>
      </c>
      <c r="V4" s="10" t="str">
        <f t="shared" ref="V4:V14" si="4">V3</f>
        <v>kg</v>
      </c>
      <c r="W4" s="43">
        <v>0.56000000000000005</v>
      </c>
      <c r="X4" s="10">
        <v>3</v>
      </c>
      <c r="Y4" s="43">
        <f t="shared" si="3"/>
        <v>15.603</v>
      </c>
      <c r="Z4" s="10"/>
      <c r="AA4" s="10" t="s">
        <v>492</v>
      </c>
    </row>
    <row r="5" spans="1:27" ht="40" customHeight="1" x14ac:dyDescent="0.2">
      <c r="A5" s="10">
        <v>1</v>
      </c>
      <c r="B5" s="10" t="s">
        <v>709</v>
      </c>
      <c r="C5" s="10"/>
      <c r="D5" s="10"/>
      <c r="E5" s="10" t="s">
        <v>716</v>
      </c>
      <c r="F5" s="10"/>
      <c r="G5" s="10" t="s">
        <v>58</v>
      </c>
      <c r="H5" s="10"/>
      <c r="I5" s="10" t="s">
        <v>439</v>
      </c>
      <c r="J5" s="10" t="s">
        <v>493</v>
      </c>
      <c r="K5" s="10" t="s">
        <v>490</v>
      </c>
      <c r="L5" s="10"/>
      <c r="M5" s="10">
        <v>4</v>
      </c>
      <c r="N5" s="10">
        <v>40</v>
      </c>
      <c r="O5" s="10">
        <f t="shared" si="0"/>
        <v>160</v>
      </c>
      <c r="P5" s="10"/>
      <c r="Q5" s="43">
        <v>4458</v>
      </c>
      <c r="R5" s="43">
        <f t="shared" si="1"/>
        <v>27.862500000000001</v>
      </c>
      <c r="S5" s="10" t="s">
        <v>67</v>
      </c>
      <c r="T5" s="10"/>
      <c r="U5" s="43">
        <f t="shared" si="2"/>
        <v>2942.28</v>
      </c>
      <c r="V5" s="10" t="str">
        <f t="shared" si="4"/>
        <v>kg</v>
      </c>
      <c r="W5" s="43">
        <v>0.66</v>
      </c>
      <c r="X5" s="10">
        <v>3</v>
      </c>
      <c r="Y5" s="43">
        <f t="shared" si="3"/>
        <v>18.389250000000001</v>
      </c>
      <c r="Z5" s="10"/>
      <c r="AA5" s="10" t="s">
        <v>492</v>
      </c>
    </row>
    <row r="6" spans="1:27" ht="40" customHeight="1" x14ac:dyDescent="0.2">
      <c r="A6" s="10">
        <v>1</v>
      </c>
      <c r="B6" s="10" t="s">
        <v>709</v>
      </c>
      <c r="C6" s="10"/>
      <c r="D6" s="10"/>
      <c r="E6" s="10" t="s">
        <v>716</v>
      </c>
      <c r="F6" s="10"/>
      <c r="G6" s="10" t="s">
        <v>58</v>
      </c>
      <c r="H6" s="10"/>
      <c r="I6" s="10" t="s">
        <v>439</v>
      </c>
      <c r="J6" s="10" t="s">
        <v>493</v>
      </c>
      <c r="K6" s="10" t="s">
        <v>490</v>
      </c>
      <c r="L6" s="10"/>
      <c r="M6" s="10">
        <v>4</v>
      </c>
      <c r="N6" s="10">
        <v>40</v>
      </c>
      <c r="O6" s="10">
        <f t="shared" si="0"/>
        <v>160</v>
      </c>
      <c r="P6" s="10"/>
      <c r="Q6" s="43">
        <v>4458</v>
      </c>
      <c r="R6" s="43">
        <f t="shared" si="1"/>
        <v>27.862500000000001</v>
      </c>
      <c r="S6" s="10" t="s">
        <v>435</v>
      </c>
      <c r="T6" s="10"/>
      <c r="U6" s="43">
        <f t="shared" si="2"/>
        <v>4458</v>
      </c>
      <c r="V6" s="10" t="str">
        <f t="shared" si="4"/>
        <v>kg</v>
      </c>
      <c r="W6" s="43">
        <v>1</v>
      </c>
      <c r="X6" s="10">
        <v>3</v>
      </c>
      <c r="Y6" s="43">
        <f t="shared" si="3"/>
        <v>27.862500000000001</v>
      </c>
      <c r="Z6" s="10"/>
      <c r="AA6" s="10" t="s">
        <v>492</v>
      </c>
    </row>
    <row r="7" spans="1:27" ht="40" customHeight="1" x14ac:dyDescent="0.2">
      <c r="A7" s="10">
        <v>1</v>
      </c>
      <c r="B7" s="10" t="s">
        <v>709</v>
      </c>
      <c r="C7" s="10"/>
      <c r="D7" s="10"/>
      <c r="E7" s="10" t="s">
        <v>717</v>
      </c>
      <c r="F7" s="10"/>
      <c r="G7" s="10" t="s">
        <v>58</v>
      </c>
      <c r="H7" s="10" t="s">
        <v>229</v>
      </c>
      <c r="I7" s="10" t="s">
        <v>439</v>
      </c>
      <c r="J7" s="10" t="s">
        <v>494</v>
      </c>
      <c r="K7" s="10" t="s">
        <v>491</v>
      </c>
      <c r="L7" s="10"/>
      <c r="M7" s="10">
        <v>4</v>
      </c>
      <c r="N7" s="10">
        <v>40</v>
      </c>
      <c r="O7" s="10">
        <f t="shared" si="0"/>
        <v>160</v>
      </c>
      <c r="P7" s="10"/>
      <c r="Q7" s="43">
        <v>4428</v>
      </c>
      <c r="R7" s="43">
        <f t="shared" si="1"/>
        <v>27.675000000000001</v>
      </c>
      <c r="S7" s="10" t="s">
        <v>65</v>
      </c>
      <c r="T7" s="10"/>
      <c r="U7" s="43">
        <f t="shared" si="2"/>
        <v>4299765.12</v>
      </c>
      <c r="V7" s="10" t="str">
        <f t="shared" si="4"/>
        <v>kg</v>
      </c>
      <c r="W7" s="43">
        <v>971.04</v>
      </c>
      <c r="X7" s="10">
        <v>3</v>
      </c>
      <c r="Y7" s="43">
        <f t="shared" si="3"/>
        <v>26873.531999999999</v>
      </c>
      <c r="Z7" s="10"/>
      <c r="AA7" s="10" t="s">
        <v>492</v>
      </c>
    </row>
    <row r="8" spans="1:27" ht="40" customHeight="1" x14ac:dyDescent="0.2">
      <c r="A8" s="10">
        <v>1</v>
      </c>
      <c r="B8" s="10" t="s">
        <v>709</v>
      </c>
      <c r="C8" s="10"/>
      <c r="D8" s="10"/>
      <c r="E8" s="10" t="s">
        <v>717</v>
      </c>
      <c r="F8" s="10"/>
      <c r="G8" s="10" t="s">
        <v>58</v>
      </c>
      <c r="H8" s="10"/>
      <c r="I8" s="10" t="s">
        <v>439</v>
      </c>
      <c r="J8" s="10" t="s">
        <v>494</v>
      </c>
      <c r="K8" s="10" t="s">
        <v>491</v>
      </c>
      <c r="L8" s="10"/>
      <c r="M8" s="10">
        <v>4</v>
      </c>
      <c r="N8" s="10">
        <v>40</v>
      </c>
      <c r="O8" s="10">
        <f t="shared" si="0"/>
        <v>160</v>
      </c>
      <c r="P8" s="10"/>
      <c r="Q8" s="43">
        <v>4428</v>
      </c>
      <c r="R8" s="43">
        <f t="shared" si="1"/>
        <v>27.675000000000001</v>
      </c>
      <c r="S8" s="10" t="s">
        <v>30</v>
      </c>
      <c r="T8" s="10"/>
      <c r="U8" s="43">
        <f t="shared" si="2"/>
        <v>220027.31999999998</v>
      </c>
      <c r="V8" s="10" t="str">
        <f t="shared" si="4"/>
        <v>kg</v>
      </c>
      <c r="W8" s="43">
        <v>49.69</v>
      </c>
      <c r="X8" s="10">
        <v>3</v>
      </c>
      <c r="Y8" s="43">
        <f t="shared" si="3"/>
        <v>1375.1707499999998</v>
      </c>
      <c r="Z8" s="10"/>
      <c r="AA8" s="10" t="s">
        <v>492</v>
      </c>
    </row>
    <row r="9" spans="1:27" ht="40" customHeight="1" x14ac:dyDescent="0.2">
      <c r="A9" s="10">
        <v>1</v>
      </c>
      <c r="B9" s="10" t="s">
        <v>709</v>
      </c>
      <c r="C9" s="10"/>
      <c r="D9" s="10"/>
      <c r="E9" s="10" t="s">
        <v>717</v>
      </c>
      <c r="F9" s="10"/>
      <c r="G9" s="10" t="s">
        <v>58</v>
      </c>
      <c r="H9" s="10"/>
      <c r="I9" s="10" t="s">
        <v>439</v>
      </c>
      <c r="J9" s="10" t="s">
        <v>494</v>
      </c>
      <c r="K9" s="10" t="s">
        <v>491</v>
      </c>
      <c r="L9" s="10"/>
      <c r="M9" s="10">
        <v>4</v>
      </c>
      <c r="N9" s="10">
        <v>40</v>
      </c>
      <c r="O9" s="10">
        <f t="shared" si="0"/>
        <v>160</v>
      </c>
      <c r="P9" s="10"/>
      <c r="Q9" s="43">
        <v>4428</v>
      </c>
      <c r="R9" s="43">
        <f t="shared" si="1"/>
        <v>27.675000000000001</v>
      </c>
      <c r="S9" s="10" t="s">
        <v>290</v>
      </c>
      <c r="T9" s="10"/>
      <c r="U9" s="43">
        <f t="shared" si="2"/>
        <v>1416.96</v>
      </c>
      <c r="V9" s="10" t="str">
        <f t="shared" si="4"/>
        <v>kg</v>
      </c>
      <c r="W9" s="43">
        <v>0.32</v>
      </c>
      <c r="X9" s="10">
        <v>3</v>
      </c>
      <c r="Y9" s="43">
        <f t="shared" si="3"/>
        <v>8.8559999999999999</v>
      </c>
      <c r="Z9" s="10"/>
      <c r="AA9" s="10" t="s">
        <v>492</v>
      </c>
    </row>
    <row r="10" spans="1:27" ht="40" customHeight="1" x14ac:dyDescent="0.2">
      <c r="A10" s="10">
        <v>1</v>
      </c>
      <c r="B10" s="10" t="s">
        <v>709</v>
      </c>
      <c r="C10" s="10"/>
      <c r="D10" s="10"/>
      <c r="E10" s="10" t="s">
        <v>717</v>
      </c>
      <c r="F10" s="10"/>
      <c r="G10" s="10" t="s">
        <v>58</v>
      </c>
      <c r="H10" s="10"/>
      <c r="I10" s="10" t="s">
        <v>439</v>
      </c>
      <c r="J10" s="10" t="s">
        <v>494</v>
      </c>
      <c r="K10" s="10" t="s">
        <v>491</v>
      </c>
      <c r="L10" s="10"/>
      <c r="M10" s="10">
        <v>4</v>
      </c>
      <c r="N10" s="10">
        <v>40</v>
      </c>
      <c r="O10" s="10">
        <f t="shared" si="0"/>
        <v>160</v>
      </c>
      <c r="P10" s="10"/>
      <c r="Q10" s="43">
        <v>4428</v>
      </c>
      <c r="R10" s="43">
        <f t="shared" si="1"/>
        <v>27.675000000000001</v>
      </c>
      <c r="S10" s="10" t="s">
        <v>67</v>
      </c>
      <c r="T10" s="10"/>
      <c r="U10" s="43">
        <f t="shared" si="2"/>
        <v>96751.8</v>
      </c>
      <c r="V10" s="10" t="str">
        <f t="shared" si="4"/>
        <v>kg</v>
      </c>
      <c r="W10" s="43">
        <v>21.85</v>
      </c>
      <c r="X10" s="10">
        <v>3</v>
      </c>
      <c r="Y10" s="43">
        <f t="shared" si="3"/>
        <v>604.69875000000002</v>
      </c>
      <c r="Z10" s="10"/>
      <c r="AA10" s="10" t="s">
        <v>492</v>
      </c>
    </row>
    <row r="11" spans="1:27" ht="40" customHeight="1" x14ac:dyDescent="0.2">
      <c r="A11" s="10">
        <v>1</v>
      </c>
      <c r="B11" s="10" t="s">
        <v>709</v>
      </c>
      <c r="C11" s="10"/>
      <c r="D11" s="10"/>
      <c r="E11" s="10" t="s">
        <v>717</v>
      </c>
      <c r="F11" s="10"/>
      <c r="G11" s="10" t="s">
        <v>58</v>
      </c>
      <c r="H11" s="10"/>
      <c r="I11" s="10" t="s">
        <v>439</v>
      </c>
      <c r="J11" s="10" t="s">
        <v>494</v>
      </c>
      <c r="K11" s="10" t="s">
        <v>491</v>
      </c>
      <c r="L11" s="10"/>
      <c r="M11" s="10">
        <v>4</v>
      </c>
      <c r="N11" s="10">
        <v>40</v>
      </c>
      <c r="O11" s="10">
        <f t="shared" si="0"/>
        <v>160</v>
      </c>
      <c r="P11" s="10"/>
      <c r="Q11" s="43">
        <v>4428</v>
      </c>
      <c r="R11" s="43">
        <f t="shared" si="1"/>
        <v>27.675000000000001</v>
      </c>
      <c r="S11" s="10" t="s">
        <v>435</v>
      </c>
      <c r="T11" s="10"/>
      <c r="U11" s="43">
        <f t="shared" si="2"/>
        <v>2479.6800000000003</v>
      </c>
      <c r="V11" s="10" t="str">
        <f t="shared" si="4"/>
        <v>kg</v>
      </c>
      <c r="W11" s="43">
        <v>0.56000000000000005</v>
      </c>
      <c r="X11" s="10">
        <v>3</v>
      </c>
      <c r="Y11" s="43">
        <f t="shared" si="3"/>
        <v>15.498000000000001</v>
      </c>
      <c r="Z11" s="10"/>
      <c r="AA11" s="10" t="s">
        <v>492</v>
      </c>
    </row>
    <row r="12" spans="1:27" ht="40" customHeight="1" x14ac:dyDescent="0.2">
      <c r="A12" s="10">
        <v>2</v>
      </c>
      <c r="B12" s="10" t="s">
        <v>712</v>
      </c>
      <c r="C12" s="10" t="s">
        <v>836</v>
      </c>
      <c r="D12" s="10" t="s">
        <v>837</v>
      </c>
      <c r="E12" s="10" t="s">
        <v>718</v>
      </c>
      <c r="F12" s="10" t="s">
        <v>496</v>
      </c>
      <c r="G12" s="10" t="s">
        <v>58</v>
      </c>
      <c r="H12" s="10"/>
      <c r="I12" s="10" t="s">
        <v>432</v>
      </c>
      <c r="J12" s="10" t="s">
        <v>37</v>
      </c>
      <c r="K12" s="10" t="s">
        <v>491</v>
      </c>
      <c r="L12" s="10"/>
      <c r="M12" s="10">
        <v>2</v>
      </c>
      <c r="N12" s="10">
        <v>1</v>
      </c>
      <c r="O12" s="10">
        <v>5</v>
      </c>
      <c r="P12" s="10">
        <v>246</v>
      </c>
      <c r="Q12" s="43">
        <f>246*0.9</f>
        <v>221.4</v>
      </c>
      <c r="R12" s="43">
        <f t="shared" si="1"/>
        <v>44.28</v>
      </c>
      <c r="S12" s="10" t="s">
        <v>65</v>
      </c>
      <c r="T12" s="10">
        <v>2320</v>
      </c>
      <c r="U12" s="43">
        <f>(21.74+184.03+23.2+28.73+2.78)*T12</f>
        <v>604313.59999999986</v>
      </c>
      <c r="V12" s="10" t="str">
        <f t="shared" si="4"/>
        <v>kg</v>
      </c>
      <c r="W12" s="43">
        <f>U12/Q12</f>
        <v>2729.510388437217</v>
      </c>
      <c r="X12" s="10">
        <v>2</v>
      </c>
      <c r="Y12" s="43">
        <f t="shared" si="3"/>
        <v>120862.71999999997</v>
      </c>
      <c r="Z12" s="10">
        <v>50</v>
      </c>
      <c r="AA12" s="10" t="s">
        <v>492</v>
      </c>
    </row>
    <row r="13" spans="1:27" ht="40" customHeight="1" x14ac:dyDescent="0.2">
      <c r="A13" s="10">
        <v>2</v>
      </c>
      <c r="B13" s="10" t="s">
        <v>711</v>
      </c>
      <c r="C13" s="10"/>
      <c r="D13" s="10"/>
      <c r="E13" s="10"/>
      <c r="F13" s="10"/>
      <c r="G13" s="10" t="s">
        <v>58</v>
      </c>
      <c r="H13" s="10"/>
      <c r="I13" s="10" t="s">
        <v>432</v>
      </c>
      <c r="J13" s="10" t="s">
        <v>37</v>
      </c>
      <c r="K13" s="10" t="s">
        <v>491</v>
      </c>
      <c r="L13" s="10"/>
      <c r="M13" s="10">
        <v>2</v>
      </c>
      <c r="N13" s="10">
        <v>1</v>
      </c>
      <c r="O13" s="10">
        <v>5</v>
      </c>
      <c r="P13" s="10">
        <v>246</v>
      </c>
      <c r="Q13" s="43">
        <f>246*0.9</f>
        <v>221.4</v>
      </c>
      <c r="R13" s="43">
        <f t="shared" si="1"/>
        <v>44.28</v>
      </c>
      <c r="S13" s="10" t="s">
        <v>30</v>
      </c>
      <c r="T13" s="10"/>
      <c r="U13" s="43">
        <f>2561.62+3883+1709.62+243</f>
        <v>8397.24</v>
      </c>
      <c r="V13" s="10" t="str">
        <f t="shared" si="4"/>
        <v>kg</v>
      </c>
      <c r="W13" s="43">
        <f>U13/Q13</f>
        <v>37.927913279132788</v>
      </c>
      <c r="X13" s="10">
        <v>2</v>
      </c>
      <c r="Y13" s="43">
        <f t="shared" si="3"/>
        <v>1679.4479999999999</v>
      </c>
      <c r="Z13" s="10"/>
      <c r="AA13" s="10" t="s">
        <v>492</v>
      </c>
    </row>
    <row r="14" spans="1:27" ht="40" customHeight="1" x14ac:dyDescent="0.2">
      <c r="A14" s="10">
        <v>2</v>
      </c>
      <c r="B14" s="10" t="s">
        <v>711</v>
      </c>
      <c r="C14" s="10"/>
      <c r="D14" s="10"/>
      <c r="E14" s="10"/>
      <c r="F14" s="10"/>
      <c r="G14" s="10" t="s">
        <v>58</v>
      </c>
      <c r="H14" s="10"/>
      <c r="I14" s="10" t="s">
        <v>432</v>
      </c>
      <c r="J14" s="10" t="s">
        <v>37</v>
      </c>
      <c r="K14" s="10" t="s">
        <v>491</v>
      </c>
      <c r="L14" s="10"/>
      <c r="M14" s="10">
        <v>2</v>
      </c>
      <c r="N14" s="10">
        <v>1</v>
      </c>
      <c r="O14" s="10">
        <v>5</v>
      </c>
      <c r="P14" s="10">
        <v>246</v>
      </c>
      <c r="Q14" s="43">
        <f>246*0.9</f>
        <v>221.4</v>
      </c>
      <c r="R14" s="43">
        <f t="shared" si="1"/>
        <v>44.28</v>
      </c>
      <c r="S14" s="10" t="s">
        <v>67</v>
      </c>
      <c r="T14" s="10">
        <v>450</v>
      </c>
      <c r="U14" s="43">
        <f>(4.13+7.69+3.35+1.07+10.65)*T14</f>
        <v>12100.5</v>
      </c>
      <c r="V14" s="10" t="str">
        <f t="shared" si="4"/>
        <v>kg</v>
      </c>
      <c r="W14" s="43">
        <f>U14/Q14</f>
        <v>54.654471544715449</v>
      </c>
      <c r="X14" s="10">
        <v>2</v>
      </c>
      <c r="Y14" s="43">
        <f t="shared" si="3"/>
        <v>2420.1</v>
      </c>
      <c r="Z14" s="10"/>
      <c r="AA14" s="10" t="s">
        <v>492</v>
      </c>
    </row>
  </sheetData>
  <pageMargins left="0.7" right="0.7" top="0.75" bottom="0.75" header="0.3" footer="0.3"/>
  <pageSetup paperSize="9" orientation="portrait" horizontalDpi="0" verticalDpi="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tabColor rgb="FF92D050"/>
  </sheetPr>
  <dimension ref="A1:AA37"/>
  <sheetViews>
    <sheetView zoomScaleNormal="100" workbookViewId="0"/>
  </sheetViews>
  <sheetFormatPr baseColWidth="10" defaultColWidth="9.1640625" defaultRowHeight="15" x14ac:dyDescent="0.2"/>
  <cols>
    <col min="1" max="1" width="4.1640625" style="11" customWidth="1"/>
    <col min="2" max="2" width="13" style="11" customWidth="1"/>
    <col min="3" max="3" width="44.83203125" style="11" customWidth="1"/>
    <col min="4" max="4" width="19" style="11" customWidth="1"/>
    <col min="5" max="6" width="25" style="11" customWidth="1"/>
    <col min="7" max="7" width="10.33203125" style="11" customWidth="1"/>
    <col min="8" max="8" width="16.33203125" style="11" customWidth="1"/>
    <col min="9" max="9" width="27.6640625" style="11" customWidth="1"/>
    <col min="10" max="10" width="16" style="11" customWidth="1"/>
    <col min="11" max="11" width="36.6640625" style="11" customWidth="1"/>
    <col min="12" max="13" width="22.5" style="11" customWidth="1"/>
    <col min="14" max="14" width="23" style="11" customWidth="1"/>
    <col min="15" max="15" width="13.33203125" style="11" customWidth="1"/>
    <col min="16" max="16" width="13.5" style="11" customWidth="1"/>
    <col min="17" max="17" width="12.1640625" style="11" customWidth="1"/>
    <col min="18" max="18" width="12.83203125" style="11" customWidth="1"/>
    <col min="19" max="19" width="14.83203125" style="11" customWidth="1"/>
    <col min="20" max="20" width="11.33203125" style="11" customWidth="1"/>
    <col min="21" max="21" width="12.1640625" style="11" customWidth="1"/>
    <col min="22" max="22" width="9.1640625" style="11"/>
    <col min="23" max="23" width="13.33203125" style="30" customWidth="1"/>
    <col min="24" max="24" width="10.1640625" style="11" customWidth="1"/>
    <col min="25" max="26" width="9.1640625" style="11"/>
    <col min="27" max="27" width="42.1640625" style="11" customWidth="1"/>
    <col min="28" max="16384" width="9.1640625" style="11"/>
  </cols>
  <sheetData>
    <row r="1" spans="1:27"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5" t="s">
        <v>195</v>
      </c>
      <c r="P1" s="44" t="s">
        <v>194</v>
      </c>
      <c r="Q1" s="44" t="s">
        <v>413</v>
      </c>
      <c r="R1" s="44" t="s">
        <v>414</v>
      </c>
      <c r="S1" s="44" t="s">
        <v>193</v>
      </c>
      <c r="T1" s="44" t="s">
        <v>419</v>
      </c>
      <c r="U1" s="44" t="s">
        <v>519</v>
      </c>
      <c r="V1" s="44" t="s">
        <v>192</v>
      </c>
      <c r="W1" s="44" t="s">
        <v>384</v>
      </c>
      <c r="X1" s="44" t="s">
        <v>416</v>
      </c>
      <c r="Y1" s="44" t="s">
        <v>242</v>
      </c>
      <c r="Z1" s="45" t="s">
        <v>191</v>
      </c>
      <c r="AA1" s="44" t="s">
        <v>190</v>
      </c>
    </row>
    <row r="2" spans="1:27" ht="40" customHeight="1" x14ac:dyDescent="0.2">
      <c r="A2" s="10">
        <v>1</v>
      </c>
      <c r="B2" s="10" t="s">
        <v>714</v>
      </c>
      <c r="C2" s="10" t="s">
        <v>483</v>
      </c>
      <c r="D2" s="10" t="s">
        <v>838</v>
      </c>
      <c r="E2" s="10" t="s">
        <v>719</v>
      </c>
      <c r="F2" s="10"/>
      <c r="G2" s="10" t="s">
        <v>58</v>
      </c>
      <c r="H2" s="10" t="s">
        <v>489</v>
      </c>
      <c r="I2" s="10" t="s">
        <v>70</v>
      </c>
      <c r="J2" s="10" t="s">
        <v>839</v>
      </c>
      <c r="K2" s="10" t="s">
        <v>485</v>
      </c>
      <c r="L2" s="10"/>
      <c r="M2" s="10"/>
      <c r="N2" s="10">
        <v>1</v>
      </c>
      <c r="O2" s="10">
        <v>4</v>
      </c>
      <c r="P2" s="10"/>
      <c r="Q2" s="42">
        <v>85</v>
      </c>
      <c r="R2" s="43">
        <f t="shared" ref="R2:R9" si="0">Q2/O2</f>
        <v>21.25</v>
      </c>
      <c r="S2" s="10" t="s">
        <v>290</v>
      </c>
      <c r="T2" s="10"/>
      <c r="U2" s="43">
        <v>28</v>
      </c>
      <c r="V2" s="10" t="s">
        <v>244</v>
      </c>
      <c r="W2" s="43">
        <f t="shared" ref="W2:W9" si="1">U2/Q2</f>
        <v>0.32941176470588235</v>
      </c>
      <c r="X2" s="10">
        <v>4</v>
      </c>
      <c r="Y2" s="43">
        <f t="shared" ref="Y2:Y9" si="2">U2/O2</f>
        <v>7</v>
      </c>
      <c r="Z2" s="10"/>
      <c r="AA2" s="10" t="s">
        <v>484</v>
      </c>
    </row>
    <row r="3" spans="1:27" ht="40" customHeight="1" x14ac:dyDescent="0.2">
      <c r="A3" s="10">
        <v>1</v>
      </c>
      <c r="B3" s="10" t="s">
        <v>713</v>
      </c>
      <c r="C3" s="10"/>
      <c r="D3" s="10"/>
      <c r="E3" s="10" t="s">
        <v>719</v>
      </c>
      <c r="F3" s="10"/>
      <c r="G3" s="10" t="s">
        <v>58</v>
      </c>
      <c r="H3" s="10"/>
      <c r="I3" s="10" t="s">
        <v>70</v>
      </c>
      <c r="J3" s="10" t="s">
        <v>839</v>
      </c>
      <c r="K3" s="10" t="s">
        <v>485</v>
      </c>
      <c r="L3" s="10"/>
      <c r="M3" s="10"/>
      <c r="N3" s="10">
        <v>1</v>
      </c>
      <c r="O3" s="10">
        <v>4</v>
      </c>
      <c r="P3" s="10"/>
      <c r="Q3" s="42">
        <v>85</v>
      </c>
      <c r="R3" s="43">
        <f t="shared" si="0"/>
        <v>21.25</v>
      </c>
      <c r="S3" s="10" t="s">
        <v>435</v>
      </c>
      <c r="T3" s="10"/>
      <c r="U3" s="43">
        <v>62</v>
      </c>
      <c r="V3" s="10" t="s">
        <v>244</v>
      </c>
      <c r="W3" s="43">
        <f t="shared" si="1"/>
        <v>0.72941176470588232</v>
      </c>
      <c r="X3" s="10">
        <v>4</v>
      </c>
      <c r="Y3" s="43">
        <f t="shared" si="2"/>
        <v>15.5</v>
      </c>
      <c r="Z3" s="10"/>
      <c r="AA3" s="10"/>
    </row>
    <row r="4" spans="1:27" ht="40" customHeight="1" x14ac:dyDescent="0.2">
      <c r="A4" s="10">
        <v>1</v>
      </c>
      <c r="B4" s="10" t="s">
        <v>713</v>
      </c>
      <c r="C4" s="10"/>
      <c r="D4" s="10"/>
      <c r="E4" s="10" t="s">
        <v>719</v>
      </c>
      <c r="F4" s="10"/>
      <c r="G4" s="10" t="s">
        <v>58</v>
      </c>
      <c r="H4" s="10"/>
      <c r="I4" s="10" t="s">
        <v>70</v>
      </c>
      <c r="J4" s="10" t="s">
        <v>839</v>
      </c>
      <c r="K4" s="10" t="s">
        <v>485</v>
      </c>
      <c r="L4" s="10"/>
      <c r="M4" s="10"/>
      <c r="N4" s="10">
        <v>1</v>
      </c>
      <c r="O4" s="10">
        <v>4</v>
      </c>
      <c r="P4" s="10"/>
      <c r="Q4" s="42">
        <v>85</v>
      </c>
      <c r="R4" s="43">
        <f t="shared" si="0"/>
        <v>21.25</v>
      </c>
      <c r="S4" s="10" t="s">
        <v>290</v>
      </c>
      <c r="T4" s="10"/>
      <c r="U4" s="43">
        <v>28</v>
      </c>
      <c r="V4" s="10" t="s">
        <v>244</v>
      </c>
      <c r="W4" s="43">
        <f t="shared" si="1"/>
        <v>0.32941176470588235</v>
      </c>
      <c r="X4" s="10">
        <v>4</v>
      </c>
      <c r="Y4" s="43">
        <f t="shared" si="2"/>
        <v>7</v>
      </c>
      <c r="Z4" s="10"/>
      <c r="AA4" s="10"/>
    </row>
    <row r="5" spans="1:27" ht="40" customHeight="1" x14ac:dyDescent="0.2">
      <c r="A5" s="10">
        <v>1</v>
      </c>
      <c r="B5" s="10" t="s">
        <v>713</v>
      </c>
      <c r="C5" s="10"/>
      <c r="D5" s="10"/>
      <c r="E5" s="10" t="s">
        <v>719</v>
      </c>
      <c r="F5" s="10"/>
      <c r="G5" s="10" t="s">
        <v>58</v>
      </c>
      <c r="H5" s="10"/>
      <c r="I5" s="10" t="s">
        <v>70</v>
      </c>
      <c r="J5" s="10" t="s">
        <v>839</v>
      </c>
      <c r="K5" s="10" t="s">
        <v>485</v>
      </c>
      <c r="L5" s="10"/>
      <c r="M5" s="10"/>
      <c r="N5" s="10">
        <v>1</v>
      </c>
      <c r="O5" s="10">
        <v>4</v>
      </c>
      <c r="P5" s="10"/>
      <c r="Q5" s="42">
        <v>85</v>
      </c>
      <c r="R5" s="43">
        <f t="shared" si="0"/>
        <v>21.25</v>
      </c>
      <c r="S5" s="10" t="s">
        <v>435</v>
      </c>
      <c r="T5" s="10"/>
      <c r="U5" s="43">
        <v>62</v>
      </c>
      <c r="V5" s="10" t="s">
        <v>244</v>
      </c>
      <c r="W5" s="43">
        <f t="shared" si="1"/>
        <v>0.72941176470588232</v>
      </c>
      <c r="X5" s="10">
        <v>4</v>
      </c>
      <c r="Y5" s="43">
        <f t="shared" si="2"/>
        <v>15.5</v>
      </c>
      <c r="Z5" s="10"/>
      <c r="AA5" s="10"/>
    </row>
    <row r="6" spans="1:27" ht="40" customHeight="1" x14ac:dyDescent="0.2">
      <c r="A6" s="10">
        <v>2</v>
      </c>
      <c r="B6" s="10" t="s">
        <v>901</v>
      </c>
      <c r="C6" s="10" t="s">
        <v>486</v>
      </c>
      <c r="D6" s="10" t="s">
        <v>902</v>
      </c>
      <c r="E6" s="10" t="s">
        <v>720</v>
      </c>
      <c r="F6" s="10"/>
      <c r="G6" s="10" t="s">
        <v>58</v>
      </c>
      <c r="H6" s="10" t="s">
        <v>489</v>
      </c>
      <c r="I6" s="10" t="s">
        <v>389</v>
      </c>
      <c r="J6" s="10"/>
      <c r="K6" s="10" t="s">
        <v>487</v>
      </c>
      <c r="L6" s="10"/>
      <c r="M6" s="10">
        <v>1</v>
      </c>
      <c r="N6" s="10">
        <v>1</v>
      </c>
      <c r="O6" s="10">
        <v>2</v>
      </c>
      <c r="P6" s="10"/>
      <c r="Q6" s="42">
        <v>58</v>
      </c>
      <c r="R6" s="43">
        <f t="shared" si="0"/>
        <v>29</v>
      </c>
      <c r="S6" s="10" t="s">
        <v>67</v>
      </c>
      <c r="T6" s="10"/>
      <c r="U6" s="43">
        <f>93.77+1736.03</f>
        <v>1829.8</v>
      </c>
      <c r="V6" s="10" t="s">
        <v>244</v>
      </c>
      <c r="W6" s="43">
        <f t="shared" si="1"/>
        <v>31.548275862068966</v>
      </c>
      <c r="X6" s="10">
        <v>1</v>
      </c>
      <c r="Y6" s="43">
        <f t="shared" si="2"/>
        <v>914.9</v>
      </c>
      <c r="Z6" s="10"/>
      <c r="AA6" s="10" t="s">
        <v>492</v>
      </c>
    </row>
    <row r="7" spans="1:27" ht="40" customHeight="1" x14ac:dyDescent="0.2">
      <c r="A7" s="10">
        <v>2</v>
      </c>
      <c r="B7" s="10" t="s">
        <v>715</v>
      </c>
      <c r="C7" s="10"/>
      <c r="D7" s="10"/>
      <c r="E7" s="10" t="s">
        <v>720</v>
      </c>
      <c r="F7" s="10"/>
      <c r="G7" s="10" t="s">
        <v>58</v>
      </c>
      <c r="H7" s="10"/>
      <c r="I7" s="10" t="s">
        <v>389</v>
      </c>
      <c r="J7" s="10"/>
      <c r="K7" s="10" t="s">
        <v>487</v>
      </c>
      <c r="L7" s="10"/>
      <c r="M7" s="10">
        <v>1</v>
      </c>
      <c r="N7" s="10">
        <v>1</v>
      </c>
      <c r="O7" s="10">
        <v>2</v>
      </c>
      <c r="P7" s="10"/>
      <c r="Q7" s="42">
        <v>58</v>
      </c>
      <c r="R7" s="43">
        <f t="shared" si="0"/>
        <v>29</v>
      </c>
      <c r="S7" s="10" t="s">
        <v>435</v>
      </c>
      <c r="T7" s="10"/>
      <c r="U7" s="43">
        <v>47.97</v>
      </c>
      <c r="V7" s="10" t="s">
        <v>244</v>
      </c>
      <c r="W7" s="43">
        <f t="shared" si="1"/>
        <v>0.82706896551724141</v>
      </c>
      <c r="X7" s="10">
        <v>1</v>
      </c>
      <c r="Y7" s="43">
        <f t="shared" si="2"/>
        <v>23.984999999999999</v>
      </c>
      <c r="Z7" s="10"/>
      <c r="AA7" s="10"/>
    </row>
    <row r="8" spans="1:27" ht="40" customHeight="1" x14ac:dyDescent="0.2">
      <c r="A8" s="10">
        <v>2</v>
      </c>
      <c r="B8" s="10" t="s">
        <v>715</v>
      </c>
      <c r="C8" s="10"/>
      <c r="D8" s="10"/>
      <c r="E8" s="10" t="s">
        <v>720</v>
      </c>
      <c r="F8" s="10"/>
      <c r="G8" s="10" t="s">
        <v>58</v>
      </c>
      <c r="H8" s="10"/>
      <c r="I8" s="10" t="s">
        <v>389</v>
      </c>
      <c r="J8" s="10"/>
      <c r="K8" s="10" t="s">
        <v>488</v>
      </c>
      <c r="L8" s="10"/>
      <c r="M8" s="10">
        <v>1</v>
      </c>
      <c r="N8" s="10">
        <v>1</v>
      </c>
      <c r="O8" s="10">
        <v>2</v>
      </c>
      <c r="P8" s="10"/>
      <c r="Q8" s="42">
        <v>58</v>
      </c>
      <c r="R8" s="43">
        <f t="shared" si="0"/>
        <v>29</v>
      </c>
      <c r="S8" s="10" t="s">
        <v>67</v>
      </c>
      <c r="T8" s="10"/>
      <c r="U8" s="43">
        <f>93.77+1736.03</f>
        <v>1829.8</v>
      </c>
      <c r="V8" s="10" t="s">
        <v>244</v>
      </c>
      <c r="W8" s="43">
        <f t="shared" si="1"/>
        <v>31.548275862068966</v>
      </c>
      <c r="X8" s="10">
        <v>1</v>
      </c>
      <c r="Y8" s="43">
        <f t="shared" si="2"/>
        <v>914.9</v>
      </c>
      <c r="Z8" s="10"/>
      <c r="AA8" s="10"/>
    </row>
    <row r="9" spans="1:27" ht="40" customHeight="1" thickBot="1" x14ac:dyDescent="0.25">
      <c r="A9" s="10">
        <v>2</v>
      </c>
      <c r="B9" s="10" t="s">
        <v>715</v>
      </c>
      <c r="C9" s="10"/>
      <c r="D9" s="10"/>
      <c r="E9" s="10" t="s">
        <v>720</v>
      </c>
      <c r="F9" s="10"/>
      <c r="G9" s="10" t="s">
        <v>58</v>
      </c>
      <c r="H9" s="10"/>
      <c r="I9" s="10" t="s">
        <v>389</v>
      </c>
      <c r="J9" s="10"/>
      <c r="K9" s="10" t="s">
        <v>488</v>
      </c>
      <c r="L9" s="10"/>
      <c r="M9" s="10">
        <v>1</v>
      </c>
      <c r="N9" s="10">
        <v>1</v>
      </c>
      <c r="O9" s="10">
        <v>2</v>
      </c>
      <c r="P9" s="10"/>
      <c r="Q9" s="42">
        <v>58</v>
      </c>
      <c r="R9" s="43">
        <f t="shared" si="0"/>
        <v>29</v>
      </c>
      <c r="S9" s="10" t="s">
        <v>435</v>
      </c>
      <c r="T9" s="10"/>
      <c r="U9" s="43">
        <v>47.97</v>
      </c>
      <c r="V9" s="10" t="s">
        <v>244</v>
      </c>
      <c r="W9" s="43">
        <f t="shared" si="1"/>
        <v>0.82706896551724141</v>
      </c>
      <c r="X9" s="10">
        <v>1</v>
      </c>
      <c r="Y9" s="43">
        <f t="shared" si="2"/>
        <v>23.984999999999999</v>
      </c>
      <c r="Z9" s="10"/>
      <c r="AA9" s="10"/>
    </row>
    <row r="10" spans="1:27" ht="40" customHeight="1" thickBot="1" x14ac:dyDescent="0.25">
      <c r="A10" s="10">
        <v>3</v>
      </c>
      <c r="B10" s="10" t="s">
        <v>888</v>
      </c>
      <c r="C10" s="10" t="s">
        <v>890</v>
      </c>
      <c r="D10" s="10" t="s">
        <v>889</v>
      </c>
      <c r="E10" s="10" t="s">
        <v>719</v>
      </c>
      <c r="F10" s="10"/>
      <c r="G10" s="10" t="s">
        <v>58</v>
      </c>
      <c r="H10" s="10"/>
      <c r="I10" s="10" t="s">
        <v>389</v>
      </c>
      <c r="J10" s="10" t="s">
        <v>261</v>
      </c>
      <c r="K10" s="10" t="s">
        <v>896</v>
      </c>
      <c r="L10" s="10">
        <v>1960</v>
      </c>
      <c r="M10" s="10"/>
      <c r="N10" s="10"/>
      <c r="O10" s="10"/>
      <c r="P10" s="10"/>
      <c r="Q10" s="42"/>
      <c r="R10" s="43"/>
      <c r="S10" s="10" t="s">
        <v>30</v>
      </c>
      <c r="T10" s="10"/>
      <c r="U10" s="10"/>
      <c r="V10" s="10" t="s">
        <v>0</v>
      </c>
      <c r="W10" s="43">
        <v>16.600000000000001</v>
      </c>
      <c r="X10" s="10">
        <v>1</v>
      </c>
      <c r="Y10" s="74"/>
      <c r="AA10" s="10"/>
    </row>
    <row r="11" spans="1:27" ht="40" customHeight="1" x14ac:dyDescent="0.2">
      <c r="A11" s="10">
        <v>3</v>
      </c>
      <c r="B11" s="10" t="s">
        <v>863</v>
      </c>
      <c r="C11" s="10"/>
      <c r="D11" s="10"/>
      <c r="E11" s="10" t="s">
        <v>719</v>
      </c>
      <c r="F11" s="10"/>
      <c r="G11" s="10" t="s">
        <v>58</v>
      </c>
      <c r="H11" s="10"/>
      <c r="I11" s="10" t="s">
        <v>389</v>
      </c>
      <c r="J11" s="10" t="s">
        <v>261</v>
      </c>
      <c r="K11" s="10" t="s">
        <v>896</v>
      </c>
      <c r="L11" s="10">
        <v>1960</v>
      </c>
      <c r="M11" s="10"/>
      <c r="N11" s="10"/>
      <c r="O11" s="10"/>
      <c r="P11" s="10"/>
      <c r="Q11" s="42"/>
      <c r="R11" s="43"/>
      <c r="S11" s="10" t="s">
        <v>67</v>
      </c>
      <c r="T11" s="10"/>
      <c r="U11" s="10"/>
      <c r="V11" s="10" t="s">
        <v>0</v>
      </c>
      <c r="W11" s="43">
        <v>105</v>
      </c>
      <c r="X11" s="10">
        <v>1</v>
      </c>
      <c r="Y11" s="10"/>
      <c r="Z11" s="10"/>
      <c r="AA11" s="10"/>
    </row>
    <row r="12" spans="1:27" ht="40" customHeight="1" thickBot="1" x14ac:dyDescent="0.25">
      <c r="A12" s="10">
        <v>3</v>
      </c>
      <c r="B12" s="10" t="s">
        <v>863</v>
      </c>
      <c r="C12" s="10"/>
      <c r="D12" s="10"/>
      <c r="E12" s="10" t="s">
        <v>719</v>
      </c>
      <c r="F12" s="10"/>
      <c r="G12" s="10" t="s">
        <v>58</v>
      </c>
      <c r="H12" s="10"/>
      <c r="I12" s="10" t="s">
        <v>389</v>
      </c>
      <c r="J12" s="10" t="s">
        <v>261</v>
      </c>
      <c r="K12" s="10" t="s">
        <v>896</v>
      </c>
      <c r="L12" s="10">
        <v>1960</v>
      </c>
      <c r="M12" s="10"/>
      <c r="N12" s="10"/>
      <c r="O12" s="10"/>
      <c r="P12" s="10"/>
      <c r="Q12" s="42"/>
      <c r="R12" s="43"/>
      <c r="S12" s="10" t="s">
        <v>435</v>
      </c>
      <c r="T12" s="10"/>
      <c r="U12" s="43"/>
      <c r="V12" s="10" t="s">
        <v>0</v>
      </c>
      <c r="W12" s="43">
        <v>0.8</v>
      </c>
      <c r="X12" s="10">
        <v>1</v>
      </c>
      <c r="Y12" s="43"/>
      <c r="Z12" s="10"/>
      <c r="AA12" s="10"/>
    </row>
    <row r="13" spans="1:27" ht="40" customHeight="1" thickBot="1" x14ac:dyDescent="0.25">
      <c r="A13" s="10">
        <v>3</v>
      </c>
      <c r="B13" s="10" t="s">
        <v>863</v>
      </c>
      <c r="C13" s="10"/>
      <c r="D13" s="10"/>
      <c r="E13" s="10" t="s">
        <v>719</v>
      </c>
      <c r="F13" s="10"/>
      <c r="G13" s="10" t="s">
        <v>58</v>
      </c>
      <c r="H13" s="10"/>
      <c r="I13" s="10" t="s">
        <v>389</v>
      </c>
      <c r="J13" s="10" t="s">
        <v>261</v>
      </c>
      <c r="K13" s="10" t="s">
        <v>897</v>
      </c>
      <c r="L13" s="10">
        <v>1960</v>
      </c>
      <c r="M13" s="10"/>
      <c r="N13" s="10"/>
      <c r="O13" s="10"/>
      <c r="P13" s="10"/>
      <c r="Q13" s="42"/>
      <c r="R13" s="43"/>
      <c r="S13" s="10" t="s">
        <v>30</v>
      </c>
      <c r="V13" s="10" t="s">
        <v>0</v>
      </c>
      <c r="W13" s="43">
        <v>36.6</v>
      </c>
      <c r="X13" s="10">
        <v>1</v>
      </c>
      <c r="Y13" s="74"/>
      <c r="AA13" s="10"/>
    </row>
    <row r="14" spans="1:27" ht="40" customHeight="1" x14ac:dyDescent="0.2">
      <c r="A14" s="10">
        <v>3</v>
      </c>
      <c r="B14" s="10" t="s">
        <v>863</v>
      </c>
      <c r="C14" s="10"/>
      <c r="D14" s="10"/>
      <c r="E14" s="10" t="s">
        <v>719</v>
      </c>
      <c r="F14" s="10"/>
      <c r="G14" s="10" t="s">
        <v>58</v>
      </c>
      <c r="H14" s="10"/>
      <c r="I14" s="10" t="s">
        <v>389</v>
      </c>
      <c r="J14" s="10" t="s">
        <v>261</v>
      </c>
      <c r="K14" s="10" t="s">
        <v>897</v>
      </c>
      <c r="L14" s="10">
        <v>1960</v>
      </c>
      <c r="M14" s="10"/>
      <c r="N14" s="10"/>
      <c r="O14" s="10"/>
      <c r="P14" s="10"/>
      <c r="Q14" s="42"/>
      <c r="R14" s="43"/>
      <c r="S14" s="10" t="s">
        <v>67</v>
      </c>
      <c r="T14" s="10"/>
      <c r="U14" s="43"/>
      <c r="V14" s="10" t="s">
        <v>0</v>
      </c>
      <c r="W14" s="43">
        <v>131</v>
      </c>
      <c r="X14" s="10">
        <v>1</v>
      </c>
      <c r="Y14" s="43"/>
      <c r="Z14" s="10"/>
      <c r="AA14" s="10"/>
    </row>
    <row r="15" spans="1:27" ht="40" customHeight="1" x14ac:dyDescent="0.2">
      <c r="A15" s="10">
        <v>3</v>
      </c>
      <c r="B15" s="10" t="s">
        <v>863</v>
      </c>
      <c r="C15" s="10"/>
      <c r="D15" s="10"/>
      <c r="E15" s="10" t="s">
        <v>719</v>
      </c>
      <c r="F15" s="10"/>
      <c r="G15" s="10" t="s">
        <v>58</v>
      </c>
      <c r="H15" s="10"/>
      <c r="I15" s="10" t="s">
        <v>389</v>
      </c>
      <c r="J15" s="10" t="s">
        <v>261</v>
      </c>
      <c r="K15" s="10" t="s">
        <v>897</v>
      </c>
      <c r="L15" s="10">
        <v>1960</v>
      </c>
      <c r="M15" s="10"/>
      <c r="N15" s="10"/>
      <c r="O15" s="10"/>
      <c r="P15" s="10"/>
      <c r="Q15" s="42"/>
      <c r="R15" s="43"/>
      <c r="S15" s="10" t="s">
        <v>435</v>
      </c>
      <c r="T15" s="10"/>
      <c r="U15" s="43"/>
      <c r="V15" s="10" t="s">
        <v>0</v>
      </c>
      <c r="W15" s="43">
        <v>0.8</v>
      </c>
      <c r="X15" s="10">
        <v>1</v>
      </c>
      <c r="Y15" s="43"/>
      <c r="Z15" s="10"/>
      <c r="AA15" s="10"/>
    </row>
    <row r="16" spans="1:27" ht="40" customHeight="1" x14ac:dyDescent="0.2">
      <c r="A16" s="10">
        <v>3</v>
      </c>
      <c r="B16" s="10" t="s">
        <v>863</v>
      </c>
      <c r="C16" s="10"/>
      <c r="D16" s="10"/>
      <c r="E16" s="10" t="s">
        <v>719</v>
      </c>
      <c r="F16" s="10"/>
      <c r="G16" s="10" t="s">
        <v>58</v>
      </c>
      <c r="H16" s="10"/>
      <c r="I16" s="10" t="s">
        <v>389</v>
      </c>
      <c r="J16" s="10" t="s">
        <v>261</v>
      </c>
      <c r="K16" s="10" t="s">
        <v>898</v>
      </c>
      <c r="L16" s="10">
        <v>1960</v>
      </c>
      <c r="M16" s="10"/>
      <c r="N16" s="10"/>
      <c r="O16" s="10"/>
      <c r="P16" s="10"/>
      <c r="Q16" s="42"/>
      <c r="R16" s="43"/>
      <c r="S16" s="10" t="s">
        <v>30</v>
      </c>
      <c r="T16" s="10"/>
      <c r="U16" s="43"/>
      <c r="V16" s="10" t="s">
        <v>0</v>
      </c>
      <c r="W16" s="43">
        <v>30.5</v>
      </c>
      <c r="X16" s="10">
        <v>1</v>
      </c>
    </row>
    <row r="17" spans="1:27" ht="40" customHeight="1" x14ac:dyDescent="0.2">
      <c r="A17" s="10">
        <v>3</v>
      </c>
      <c r="B17" s="10" t="s">
        <v>863</v>
      </c>
      <c r="C17" s="10"/>
      <c r="D17" s="10"/>
      <c r="E17" s="10" t="s">
        <v>719</v>
      </c>
      <c r="F17" s="10"/>
      <c r="G17" s="10" t="s">
        <v>58</v>
      </c>
      <c r="H17" s="10"/>
      <c r="I17" s="10" t="s">
        <v>389</v>
      </c>
      <c r="J17" s="10" t="s">
        <v>261</v>
      </c>
      <c r="K17" s="10" t="s">
        <v>898</v>
      </c>
      <c r="L17" s="10">
        <v>1960</v>
      </c>
      <c r="M17" s="10"/>
      <c r="N17" s="10"/>
      <c r="O17" s="10"/>
      <c r="P17" s="10"/>
      <c r="Q17" s="42"/>
      <c r="R17" s="43"/>
      <c r="S17" s="10" t="s">
        <v>67</v>
      </c>
      <c r="T17" s="10"/>
      <c r="U17" s="43"/>
      <c r="V17" s="10" t="s">
        <v>0</v>
      </c>
      <c r="W17" s="43">
        <v>159.80000000000001</v>
      </c>
      <c r="X17" s="10">
        <v>1</v>
      </c>
      <c r="Y17" s="43"/>
      <c r="Z17" s="10"/>
      <c r="AA17" s="10"/>
    </row>
    <row r="18" spans="1:27" ht="40" customHeight="1" x14ac:dyDescent="0.2">
      <c r="A18" s="10">
        <v>3</v>
      </c>
      <c r="B18" s="10" t="s">
        <v>863</v>
      </c>
      <c r="C18" s="10"/>
      <c r="D18" s="10"/>
      <c r="E18" s="10" t="s">
        <v>719</v>
      </c>
      <c r="F18" s="10"/>
      <c r="G18" s="10" t="s">
        <v>58</v>
      </c>
      <c r="H18" s="10"/>
      <c r="I18" s="10" t="s">
        <v>389</v>
      </c>
      <c r="J18" s="10" t="s">
        <v>261</v>
      </c>
      <c r="K18" s="10" t="s">
        <v>898</v>
      </c>
      <c r="L18" s="10">
        <v>1960</v>
      </c>
      <c r="M18" s="10"/>
      <c r="N18" s="10"/>
      <c r="O18" s="10"/>
      <c r="P18" s="10"/>
      <c r="Q18" s="42"/>
      <c r="R18" s="43"/>
      <c r="S18" s="10" t="s">
        <v>65</v>
      </c>
      <c r="T18" s="10"/>
      <c r="U18" s="43"/>
      <c r="V18" s="10" t="s">
        <v>0</v>
      </c>
      <c r="W18" s="43">
        <v>49.9</v>
      </c>
      <c r="X18" s="10">
        <v>1</v>
      </c>
      <c r="Y18" s="43"/>
      <c r="Z18" s="10"/>
      <c r="AA18" s="10"/>
    </row>
    <row r="19" spans="1:27" ht="40" customHeight="1" x14ac:dyDescent="0.2">
      <c r="A19" s="10">
        <v>3</v>
      </c>
      <c r="B19" s="10" t="s">
        <v>863</v>
      </c>
      <c r="C19" s="10"/>
      <c r="D19" s="10"/>
      <c r="E19" s="10" t="s">
        <v>719</v>
      </c>
      <c r="F19" s="10"/>
      <c r="G19" s="10" t="s">
        <v>58</v>
      </c>
      <c r="H19" s="10"/>
      <c r="I19" s="10" t="s">
        <v>389</v>
      </c>
      <c r="J19" s="10" t="s">
        <v>261</v>
      </c>
      <c r="K19" s="10" t="s">
        <v>898</v>
      </c>
      <c r="L19" s="10">
        <v>1960</v>
      </c>
      <c r="M19" s="10"/>
      <c r="N19" s="10"/>
      <c r="O19" s="10"/>
      <c r="P19" s="10"/>
      <c r="Q19" s="42"/>
      <c r="R19" s="43"/>
      <c r="S19" s="10" t="s">
        <v>435</v>
      </c>
      <c r="T19" s="10"/>
      <c r="U19" s="43"/>
      <c r="V19" s="10" t="s">
        <v>0</v>
      </c>
      <c r="W19" s="43">
        <v>1.3</v>
      </c>
      <c r="X19" s="10">
        <v>1</v>
      </c>
      <c r="Y19" s="43"/>
      <c r="Z19" s="10"/>
      <c r="AA19" s="10"/>
    </row>
    <row r="20" spans="1:27" ht="40" customHeight="1" x14ac:dyDescent="0.2">
      <c r="A20" s="10">
        <v>3</v>
      </c>
      <c r="B20" s="10" t="s">
        <v>863</v>
      </c>
      <c r="C20" s="10"/>
      <c r="D20" s="10"/>
      <c r="E20" s="10" t="s">
        <v>719</v>
      </c>
      <c r="F20" s="10"/>
      <c r="G20" s="10" t="s">
        <v>58</v>
      </c>
      <c r="H20" s="10"/>
      <c r="I20" s="10" t="s">
        <v>389</v>
      </c>
      <c r="J20" s="10" t="s">
        <v>261</v>
      </c>
      <c r="K20" s="10" t="s">
        <v>899</v>
      </c>
      <c r="L20" s="10">
        <v>1960</v>
      </c>
      <c r="M20" s="10"/>
      <c r="N20" s="10"/>
      <c r="O20" s="10"/>
      <c r="P20" s="10"/>
      <c r="Q20" s="42"/>
      <c r="R20" s="43"/>
      <c r="S20" s="10" t="s">
        <v>30</v>
      </c>
      <c r="T20" s="10"/>
      <c r="U20" s="43"/>
      <c r="V20" s="10" t="s">
        <v>0</v>
      </c>
      <c r="W20" s="43">
        <v>27</v>
      </c>
      <c r="X20" s="10">
        <v>1</v>
      </c>
      <c r="AA20" s="10"/>
    </row>
    <row r="21" spans="1:27" ht="40" customHeight="1" x14ac:dyDescent="0.2">
      <c r="A21" s="10">
        <v>3</v>
      </c>
      <c r="B21" s="10" t="s">
        <v>863</v>
      </c>
      <c r="C21" s="10"/>
      <c r="D21" s="10"/>
      <c r="E21" s="10" t="s">
        <v>719</v>
      </c>
      <c r="F21" s="10"/>
      <c r="G21" s="10" t="s">
        <v>58</v>
      </c>
      <c r="H21" s="10"/>
      <c r="I21" s="10" t="s">
        <v>389</v>
      </c>
      <c r="J21" s="10" t="s">
        <v>261</v>
      </c>
      <c r="K21" s="10" t="s">
        <v>899</v>
      </c>
      <c r="L21" s="10">
        <v>1960</v>
      </c>
      <c r="M21" s="10"/>
      <c r="N21" s="10"/>
      <c r="O21" s="10"/>
      <c r="P21" s="10"/>
      <c r="Q21" s="42"/>
      <c r="R21" s="43"/>
      <c r="S21" s="10" t="s">
        <v>67</v>
      </c>
      <c r="T21" s="10"/>
      <c r="U21" s="43"/>
      <c r="V21" s="10" t="s">
        <v>0</v>
      </c>
      <c r="W21" s="43">
        <v>125.6</v>
      </c>
      <c r="X21" s="10">
        <v>1</v>
      </c>
      <c r="Y21" s="43"/>
      <c r="Z21" s="10"/>
      <c r="AA21" s="10"/>
    </row>
    <row r="22" spans="1:27" ht="40" customHeight="1" x14ac:dyDescent="0.2">
      <c r="A22" s="10">
        <v>3</v>
      </c>
      <c r="B22" s="10" t="s">
        <v>863</v>
      </c>
      <c r="C22" s="10"/>
      <c r="D22" s="10"/>
      <c r="E22" s="10" t="s">
        <v>719</v>
      </c>
      <c r="F22" s="10"/>
      <c r="G22" s="10" t="s">
        <v>58</v>
      </c>
      <c r="H22" s="10"/>
      <c r="I22" s="10" t="s">
        <v>389</v>
      </c>
      <c r="J22" s="10" t="s">
        <v>261</v>
      </c>
      <c r="K22" s="10" t="s">
        <v>899</v>
      </c>
      <c r="L22" s="10">
        <v>1960</v>
      </c>
      <c r="M22" s="10"/>
      <c r="N22" s="10"/>
      <c r="O22" s="10"/>
      <c r="P22" s="10"/>
      <c r="Q22" s="42"/>
      <c r="R22" s="43"/>
      <c r="S22" s="10" t="s">
        <v>65</v>
      </c>
      <c r="T22" s="10"/>
      <c r="U22" s="43"/>
      <c r="V22" s="10" t="s">
        <v>0</v>
      </c>
      <c r="W22" s="43">
        <v>9.6</v>
      </c>
      <c r="X22" s="10">
        <v>1</v>
      </c>
      <c r="Y22" s="43"/>
      <c r="Z22" s="10"/>
      <c r="AA22" s="10"/>
    </row>
    <row r="23" spans="1:27" ht="40" customHeight="1" thickBot="1" x14ac:dyDescent="0.25">
      <c r="A23" s="10">
        <v>3</v>
      </c>
      <c r="B23" s="10" t="s">
        <v>863</v>
      </c>
      <c r="C23" s="10"/>
      <c r="D23" s="10"/>
      <c r="E23" s="10" t="s">
        <v>719</v>
      </c>
      <c r="F23" s="10"/>
      <c r="G23" s="10" t="s">
        <v>58</v>
      </c>
      <c r="H23" s="10"/>
      <c r="I23" s="10" t="s">
        <v>389</v>
      </c>
      <c r="J23" s="10" t="s">
        <v>261</v>
      </c>
      <c r="K23" s="10" t="s">
        <v>899</v>
      </c>
      <c r="L23" s="10">
        <v>1960</v>
      </c>
      <c r="M23" s="10"/>
      <c r="N23" s="10"/>
      <c r="O23" s="10"/>
      <c r="P23" s="10"/>
      <c r="Q23" s="42"/>
      <c r="R23" s="43"/>
      <c r="S23" s="10" t="s">
        <v>435</v>
      </c>
      <c r="T23" s="10"/>
      <c r="U23" s="43"/>
      <c r="V23" s="10" t="s">
        <v>0</v>
      </c>
      <c r="W23" s="43">
        <v>0.9</v>
      </c>
      <c r="X23" s="10">
        <v>1</v>
      </c>
      <c r="Y23" s="43"/>
      <c r="Z23" s="10"/>
      <c r="AA23" s="10"/>
    </row>
    <row r="24" spans="1:27" ht="40" customHeight="1" thickBot="1" x14ac:dyDescent="0.25">
      <c r="A24" s="10">
        <v>3</v>
      </c>
      <c r="B24" s="10" t="s">
        <v>863</v>
      </c>
      <c r="C24" s="10"/>
      <c r="D24" s="10"/>
      <c r="E24" s="10" t="s">
        <v>900</v>
      </c>
      <c r="F24" s="10"/>
      <c r="G24" s="10" t="s">
        <v>58</v>
      </c>
      <c r="H24" s="10"/>
      <c r="I24" s="10" t="s">
        <v>389</v>
      </c>
      <c r="J24" s="10" t="s">
        <v>261</v>
      </c>
      <c r="K24" s="10" t="s">
        <v>896</v>
      </c>
      <c r="L24" s="10">
        <v>1960</v>
      </c>
      <c r="M24" s="10"/>
      <c r="N24" s="10"/>
      <c r="O24" s="10"/>
      <c r="P24" s="10"/>
      <c r="Q24" s="42"/>
      <c r="R24" s="43"/>
      <c r="S24" s="10" t="s">
        <v>30</v>
      </c>
      <c r="T24" s="10"/>
      <c r="U24" s="43"/>
      <c r="V24" s="10" t="s">
        <v>0</v>
      </c>
      <c r="W24" s="43">
        <v>17.3</v>
      </c>
      <c r="X24" s="10">
        <v>1</v>
      </c>
      <c r="Y24" s="74"/>
    </row>
    <row r="25" spans="1:27" ht="40" customHeight="1" x14ac:dyDescent="0.2">
      <c r="A25" s="10">
        <v>3</v>
      </c>
      <c r="B25" s="10" t="s">
        <v>863</v>
      </c>
      <c r="C25" s="10"/>
      <c r="D25" s="10"/>
      <c r="E25" s="10" t="s">
        <v>900</v>
      </c>
      <c r="F25" s="10"/>
      <c r="G25" s="10" t="s">
        <v>58</v>
      </c>
      <c r="H25" s="10"/>
      <c r="I25" s="10" t="s">
        <v>389</v>
      </c>
      <c r="J25" s="10" t="s">
        <v>261</v>
      </c>
      <c r="K25" s="10" t="s">
        <v>896</v>
      </c>
      <c r="L25" s="10">
        <v>1960</v>
      </c>
      <c r="M25" s="10"/>
      <c r="N25" s="10"/>
      <c r="O25" s="10"/>
      <c r="P25" s="10"/>
      <c r="Q25" s="42"/>
      <c r="R25" s="43"/>
      <c r="S25" s="10" t="s">
        <v>67</v>
      </c>
      <c r="T25" s="10"/>
      <c r="U25" s="43"/>
      <c r="V25" s="10" t="s">
        <v>0</v>
      </c>
      <c r="W25" s="43">
        <v>143.1</v>
      </c>
      <c r="X25" s="10">
        <v>1</v>
      </c>
      <c r="Y25" s="43"/>
      <c r="Z25" s="10"/>
      <c r="AA25" s="10"/>
    </row>
    <row r="26" spans="1:27" ht="40" customHeight="1" thickBot="1" x14ac:dyDescent="0.25">
      <c r="A26" s="10">
        <v>3</v>
      </c>
      <c r="B26" s="10" t="s">
        <v>863</v>
      </c>
      <c r="C26" s="10"/>
      <c r="D26" s="10"/>
      <c r="E26" s="10" t="s">
        <v>900</v>
      </c>
      <c r="F26" s="10"/>
      <c r="G26" s="10" t="s">
        <v>58</v>
      </c>
      <c r="H26" s="10"/>
      <c r="I26" s="10" t="s">
        <v>389</v>
      </c>
      <c r="J26" s="10" t="s">
        <v>261</v>
      </c>
      <c r="K26" s="10" t="s">
        <v>896</v>
      </c>
      <c r="L26" s="10">
        <v>1960</v>
      </c>
      <c r="M26" s="10"/>
      <c r="N26" s="10"/>
      <c r="O26" s="10"/>
      <c r="P26" s="10"/>
      <c r="Q26" s="42"/>
      <c r="R26" s="43"/>
      <c r="S26" s="10" t="s">
        <v>435</v>
      </c>
      <c r="T26" s="10"/>
      <c r="U26" s="43"/>
      <c r="V26" s="10" t="s">
        <v>0</v>
      </c>
      <c r="W26" s="43">
        <v>1.2</v>
      </c>
      <c r="X26" s="10">
        <v>1</v>
      </c>
      <c r="Y26" s="43"/>
      <c r="Z26" s="10"/>
      <c r="AA26" s="10"/>
    </row>
    <row r="27" spans="1:27" ht="40" customHeight="1" thickBot="1" x14ac:dyDescent="0.25">
      <c r="A27" s="10">
        <v>3</v>
      </c>
      <c r="B27" s="10" t="s">
        <v>863</v>
      </c>
      <c r="C27" s="10"/>
      <c r="D27" s="10"/>
      <c r="E27" s="10" t="s">
        <v>900</v>
      </c>
      <c r="F27" s="10"/>
      <c r="G27" s="10" t="s">
        <v>58</v>
      </c>
      <c r="H27" s="10"/>
      <c r="I27" s="10" t="s">
        <v>389</v>
      </c>
      <c r="J27" s="10" t="s">
        <v>261</v>
      </c>
      <c r="K27" s="10" t="s">
        <v>897</v>
      </c>
      <c r="L27" s="10">
        <v>1960</v>
      </c>
      <c r="M27" s="10"/>
      <c r="N27" s="10"/>
      <c r="O27" s="10"/>
      <c r="P27" s="10"/>
      <c r="Q27" s="42"/>
      <c r="R27" s="43"/>
      <c r="S27" s="10" t="s">
        <v>30</v>
      </c>
      <c r="T27" s="10"/>
      <c r="U27" s="43"/>
      <c r="V27" s="10" t="s">
        <v>0</v>
      </c>
      <c r="W27" s="43">
        <v>37.700000000000003</v>
      </c>
      <c r="X27" s="10">
        <v>1</v>
      </c>
      <c r="Y27" s="74"/>
    </row>
    <row r="28" spans="1:27" ht="40" customHeight="1" x14ac:dyDescent="0.2">
      <c r="A28" s="10">
        <v>3</v>
      </c>
      <c r="B28" s="10" t="s">
        <v>863</v>
      </c>
      <c r="C28" s="10"/>
      <c r="D28" s="10"/>
      <c r="E28" s="10" t="s">
        <v>900</v>
      </c>
      <c r="F28" s="10"/>
      <c r="G28" s="10" t="s">
        <v>58</v>
      </c>
      <c r="H28" s="10"/>
      <c r="I28" s="10" t="s">
        <v>389</v>
      </c>
      <c r="J28" s="10" t="s">
        <v>261</v>
      </c>
      <c r="K28" s="10" t="s">
        <v>897</v>
      </c>
      <c r="L28" s="10">
        <v>1960</v>
      </c>
      <c r="M28" s="10"/>
      <c r="N28" s="10"/>
      <c r="O28" s="10"/>
      <c r="P28" s="10"/>
      <c r="Q28" s="42"/>
      <c r="R28" s="43"/>
      <c r="S28" s="10" t="s">
        <v>67</v>
      </c>
      <c r="T28" s="10"/>
      <c r="U28" s="43"/>
      <c r="V28" s="10" t="s">
        <v>0</v>
      </c>
      <c r="W28" s="43">
        <v>161.5</v>
      </c>
      <c r="X28" s="10">
        <v>1</v>
      </c>
      <c r="Y28" s="43"/>
      <c r="Z28" s="10"/>
      <c r="AA28" s="10"/>
    </row>
    <row r="29" spans="1:27" ht="40" customHeight="1" x14ac:dyDescent="0.2">
      <c r="A29" s="10">
        <v>3</v>
      </c>
      <c r="B29" s="10" t="s">
        <v>863</v>
      </c>
      <c r="C29" s="10"/>
      <c r="D29" s="10"/>
      <c r="E29" s="10" t="s">
        <v>900</v>
      </c>
      <c r="F29" s="10"/>
      <c r="G29" s="10" t="s">
        <v>58</v>
      </c>
      <c r="H29" s="10"/>
      <c r="I29" s="10" t="s">
        <v>389</v>
      </c>
      <c r="J29" s="10" t="s">
        <v>261</v>
      </c>
      <c r="K29" s="10" t="s">
        <v>897</v>
      </c>
      <c r="L29" s="10">
        <v>1960</v>
      </c>
      <c r="M29" s="10"/>
      <c r="N29" s="10"/>
      <c r="O29" s="10"/>
      <c r="P29" s="10"/>
      <c r="Q29" s="42"/>
      <c r="R29" s="43"/>
      <c r="S29" s="10" t="s">
        <v>435</v>
      </c>
      <c r="T29" s="10"/>
      <c r="U29" s="43"/>
      <c r="V29" s="10" t="s">
        <v>0</v>
      </c>
      <c r="W29" s="43">
        <v>1.3</v>
      </c>
      <c r="X29" s="10">
        <v>1</v>
      </c>
      <c r="Y29" s="43"/>
      <c r="Z29" s="10"/>
      <c r="AA29" s="10"/>
    </row>
    <row r="30" spans="1:27" ht="40" customHeight="1" x14ac:dyDescent="0.2">
      <c r="A30" s="10">
        <v>3</v>
      </c>
      <c r="B30" s="10" t="s">
        <v>863</v>
      </c>
      <c r="C30" s="10"/>
      <c r="D30" s="10"/>
      <c r="E30" s="10" t="s">
        <v>900</v>
      </c>
      <c r="F30" s="10"/>
      <c r="G30" s="10" t="s">
        <v>58</v>
      </c>
      <c r="H30" s="10"/>
      <c r="I30" s="10" t="s">
        <v>389</v>
      </c>
      <c r="J30" s="10" t="s">
        <v>261</v>
      </c>
      <c r="K30" s="10" t="s">
        <v>898</v>
      </c>
      <c r="L30" s="10">
        <v>1960</v>
      </c>
      <c r="M30" s="10"/>
      <c r="N30" s="10"/>
      <c r="O30" s="10"/>
      <c r="P30" s="10"/>
      <c r="Q30" s="42"/>
      <c r="R30" s="43"/>
      <c r="S30" s="10" t="s">
        <v>30</v>
      </c>
      <c r="T30" s="10"/>
      <c r="U30" s="43"/>
      <c r="V30" s="10" t="s">
        <v>0</v>
      </c>
      <c r="W30" s="43">
        <v>34</v>
      </c>
      <c r="X30" s="10">
        <v>1</v>
      </c>
      <c r="AA30" s="10"/>
    </row>
    <row r="31" spans="1:27" ht="40" customHeight="1" x14ac:dyDescent="0.2">
      <c r="A31" s="10">
        <v>3</v>
      </c>
      <c r="B31" s="10" t="s">
        <v>863</v>
      </c>
      <c r="C31" s="10"/>
      <c r="D31" s="10"/>
      <c r="E31" s="10" t="s">
        <v>900</v>
      </c>
      <c r="F31" s="10"/>
      <c r="G31" s="10" t="s">
        <v>58</v>
      </c>
      <c r="H31" s="10"/>
      <c r="I31" s="10" t="s">
        <v>389</v>
      </c>
      <c r="J31" s="10" t="s">
        <v>261</v>
      </c>
      <c r="K31" s="10" t="s">
        <v>898</v>
      </c>
      <c r="L31" s="10">
        <v>1960</v>
      </c>
      <c r="M31" s="10"/>
      <c r="N31" s="10"/>
      <c r="O31" s="10"/>
      <c r="P31" s="10"/>
      <c r="Q31" s="42"/>
      <c r="R31" s="43"/>
      <c r="S31" s="10" t="s">
        <v>67</v>
      </c>
      <c r="T31" s="10"/>
      <c r="U31" s="43"/>
      <c r="V31" s="10" t="s">
        <v>0</v>
      </c>
      <c r="W31" s="43">
        <v>43.2</v>
      </c>
      <c r="X31" s="10">
        <v>1</v>
      </c>
      <c r="Y31" s="43"/>
      <c r="Z31" s="10"/>
      <c r="AA31" s="10"/>
    </row>
    <row r="32" spans="1:27" ht="40" customHeight="1" x14ac:dyDescent="0.2">
      <c r="A32" s="10">
        <v>3</v>
      </c>
      <c r="B32" s="10" t="s">
        <v>863</v>
      </c>
      <c r="C32" s="10"/>
      <c r="D32" s="10"/>
      <c r="E32" s="10" t="s">
        <v>900</v>
      </c>
      <c r="F32" s="10"/>
      <c r="G32" s="10" t="s">
        <v>58</v>
      </c>
      <c r="H32" s="10"/>
      <c r="I32" s="10" t="s">
        <v>389</v>
      </c>
      <c r="J32" s="10" t="s">
        <v>261</v>
      </c>
      <c r="K32" s="10" t="s">
        <v>898</v>
      </c>
      <c r="L32" s="10">
        <v>1960</v>
      </c>
      <c r="M32" s="10"/>
      <c r="N32" s="10"/>
      <c r="O32" s="10"/>
      <c r="P32" s="10"/>
      <c r="Q32" s="42"/>
      <c r="R32" s="43"/>
      <c r="S32" s="10" t="s">
        <v>65</v>
      </c>
      <c r="T32" s="10"/>
      <c r="U32" s="43"/>
      <c r="V32" s="10" t="s">
        <v>0</v>
      </c>
      <c r="W32" s="43">
        <v>39.200000000000003</v>
      </c>
      <c r="X32" s="10">
        <v>1</v>
      </c>
      <c r="Y32" s="43"/>
      <c r="Z32" s="10"/>
      <c r="AA32" s="10"/>
    </row>
    <row r="33" spans="1:27" ht="40" customHeight="1" x14ac:dyDescent="0.2">
      <c r="A33" s="10">
        <v>3</v>
      </c>
      <c r="B33" s="10" t="s">
        <v>863</v>
      </c>
      <c r="C33" s="10"/>
      <c r="D33" s="10"/>
      <c r="E33" s="10" t="s">
        <v>900</v>
      </c>
      <c r="F33" s="10"/>
      <c r="G33" s="10" t="s">
        <v>58</v>
      </c>
      <c r="H33" s="10"/>
      <c r="I33" s="10" t="s">
        <v>389</v>
      </c>
      <c r="J33" s="10" t="s">
        <v>261</v>
      </c>
      <c r="K33" s="10" t="s">
        <v>898</v>
      </c>
      <c r="L33" s="10">
        <v>1960</v>
      </c>
      <c r="M33" s="10"/>
      <c r="N33" s="10"/>
      <c r="O33" s="10"/>
      <c r="P33" s="10"/>
      <c r="Q33" s="42"/>
      <c r="R33" s="43"/>
      <c r="S33" s="10" t="s">
        <v>435</v>
      </c>
      <c r="T33" s="10"/>
      <c r="U33" s="43"/>
      <c r="V33" s="10" t="s">
        <v>0</v>
      </c>
      <c r="W33" s="43">
        <v>6.2</v>
      </c>
      <c r="X33" s="10">
        <v>1</v>
      </c>
      <c r="Y33" s="43"/>
      <c r="Z33" s="10"/>
      <c r="AA33" s="10"/>
    </row>
    <row r="34" spans="1:27" ht="40" customHeight="1" x14ac:dyDescent="0.2">
      <c r="A34" s="10">
        <v>3</v>
      </c>
      <c r="B34" s="10" t="s">
        <v>863</v>
      </c>
      <c r="C34" s="10"/>
      <c r="D34" s="10"/>
      <c r="E34" s="10" t="s">
        <v>900</v>
      </c>
      <c r="F34" s="10"/>
      <c r="G34" s="10" t="s">
        <v>58</v>
      </c>
      <c r="H34" s="10"/>
      <c r="I34" s="10" t="s">
        <v>389</v>
      </c>
      <c r="J34" s="10" t="s">
        <v>261</v>
      </c>
      <c r="K34" s="10" t="s">
        <v>899</v>
      </c>
      <c r="L34" s="10">
        <v>1980</v>
      </c>
      <c r="M34" s="10"/>
      <c r="N34" s="10"/>
      <c r="O34" s="10"/>
      <c r="P34" s="10"/>
      <c r="Q34" s="42"/>
      <c r="R34" s="43"/>
      <c r="S34" s="10" t="s">
        <v>30</v>
      </c>
      <c r="T34" s="10"/>
      <c r="U34" s="43"/>
      <c r="V34" s="10" t="s">
        <v>0</v>
      </c>
      <c r="W34" s="43">
        <v>27.4</v>
      </c>
      <c r="X34" s="10">
        <v>1</v>
      </c>
    </row>
    <row r="35" spans="1:27" ht="40" customHeight="1" x14ac:dyDescent="0.2">
      <c r="A35" s="10">
        <v>3</v>
      </c>
      <c r="B35" s="10" t="s">
        <v>863</v>
      </c>
      <c r="C35" s="10"/>
      <c r="D35" s="10"/>
      <c r="E35" s="10" t="s">
        <v>900</v>
      </c>
      <c r="F35" s="10"/>
      <c r="G35" s="10" t="s">
        <v>58</v>
      </c>
      <c r="H35" s="10"/>
      <c r="I35" s="10" t="s">
        <v>389</v>
      </c>
      <c r="J35" s="10" t="s">
        <v>261</v>
      </c>
      <c r="K35" s="10" t="s">
        <v>899</v>
      </c>
      <c r="L35" s="10">
        <v>1980</v>
      </c>
      <c r="M35" s="10"/>
      <c r="N35" s="10"/>
      <c r="O35" s="10"/>
      <c r="P35" s="10"/>
      <c r="Q35" s="42"/>
      <c r="R35" s="43"/>
      <c r="S35" s="10" t="s">
        <v>67</v>
      </c>
      <c r="T35" s="10"/>
      <c r="U35" s="43"/>
      <c r="V35" s="10" t="s">
        <v>0</v>
      </c>
      <c r="W35" s="43">
        <v>139.19999999999999</v>
      </c>
      <c r="X35" s="10">
        <v>1</v>
      </c>
      <c r="Y35" s="43"/>
      <c r="Z35" s="10"/>
      <c r="AA35" s="10"/>
    </row>
    <row r="36" spans="1:27" ht="40" customHeight="1" x14ac:dyDescent="0.2">
      <c r="A36" s="10">
        <v>3</v>
      </c>
      <c r="B36" s="10" t="s">
        <v>863</v>
      </c>
      <c r="C36" s="10"/>
      <c r="D36" s="10"/>
      <c r="E36" s="10" t="s">
        <v>900</v>
      </c>
      <c r="F36" s="10"/>
      <c r="G36" s="10" t="s">
        <v>58</v>
      </c>
      <c r="H36" s="10"/>
      <c r="I36" s="10" t="s">
        <v>389</v>
      </c>
      <c r="J36" s="10" t="s">
        <v>261</v>
      </c>
      <c r="K36" s="10" t="s">
        <v>899</v>
      </c>
      <c r="L36" s="10">
        <v>1980</v>
      </c>
      <c r="M36" s="10"/>
      <c r="N36" s="10"/>
      <c r="O36" s="10"/>
      <c r="P36" s="10"/>
      <c r="Q36" s="42"/>
      <c r="R36" s="43"/>
      <c r="S36" s="10" t="s">
        <v>65</v>
      </c>
      <c r="T36" s="10"/>
      <c r="U36" s="43"/>
      <c r="V36" s="10" t="s">
        <v>0</v>
      </c>
      <c r="W36" s="43">
        <v>4.4000000000000004</v>
      </c>
      <c r="X36" s="10">
        <v>1</v>
      </c>
      <c r="Y36" s="43"/>
      <c r="Z36" s="10"/>
      <c r="AA36" s="10"/>
    </row>
    <row r="37" spans="1:27" ht="40" customHeight="1" x14ac:dyDescent="0.2">
      <c r="A37" s="10">
        <v>3</v>
      </c>
      <c r="B37" s="10" t="s">
        <v>863</v>
      </c>
      <c r="C37" s="10"/>
      <c r="D37" s="10"/>
      <c r="E37" s="10" t="s">
        <v>900</v>
      </c>
      <c r="F37" s="10"/>
      <c r="G37" s="10" t="s">
        <v>58</v>
      </c>
      <c r="H37" s="10"/>
      <c r="I37" s="10" t="s">
        <v>389</v>
      </c>
      <c r="J37" s="10" t="s">
        <v>261</v>
      </c>
      <c r="K37" s="10" t="s">
        <v>899</v>
      </c>
      <c r="L37" s="10">
        <v>1980</v>
      </c>
      <c r="M37" s="10"/>
      <c r="N37" s="10"/>
      <c r="O37" s="10"/>
      <c r="P37" s="10"/>
      <c r="Q37" s="42"/>
      <c r="R37" s="43"/>
      <c r="S37" s="10" t="s">
        <v>435</v>
      </c>
      <c r="T37" s="10"/>
      <c r="U37" s="43"/>
      <c r="V37" s="10" t="s">
        <v>0</v>
      </c>
      <c r="W37" s="43">
        <v>1.8</v>
      </c>
      <c r="X37" s="10">
        <v>1</v>
      </c>
      <c r="Y37" s="43"/>
      <c r="Z37" s="10"/>
      <c r="AA37" s="10"/>
    </row>
  </sheetData>
  <hyperlinks>
    <hyperlink ref="D10" r:id="rId1" xr:uid="{00000000-0004-0000-1D00-000000000000}"/>
  </hyperlinks>
  <pageMargins left="0.7" right="0.7" top="0.75" bottom="0.75" header="0.3" footer="0.3"/>
  <pageSetup paperSize="9" orientation="portrait"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tabColor rgb="FF92D050"/>
  </sheetPr>
  <dimension ref="A1:Z29"/>
  <sheetViews>
    <sheetView zoomScaleNormal="100" workbookViewId="0"/>
  </sheetViews>
  <sheetFormatPr baseColWidth="10" defaultColWidth="8.83203125" defaultRowHeight="15" x14ac:dyDescent="0.2"/>
  <cols>
    <col min="1" max="1" width="4" style="12" customWidth="1"/>
    <col min="2" max="2" width="14.5" style="12" customWidth="1"/>
    <col min="3" max="3" width="60.6640625" style="12" customWidth="1"/>
    <col min="4" max="4" width="21.1640625" style="12" customWidth="1"/>
    <col min="5" max="5" width="25" style="35" customWidth="1"/>
    <col min="6" max="6" width="21.6640625" style="11" customWidth="1"/>
    <col min="7" max="7" width="9.1640625" style="35"/>
    <col min="8" max="8" width="17.33203125" style="11" customWidth="1"/>
    <col min="9" max="9" width="27.6640625" style="11" customWidth="1"/>
    <col min="10" max="10" width="38.33203125" style="11" customWidth="1"/>
    <col min="11" max="11" width="26.5" style="11" customWidth="1"/>
    <col min="12" max="13" width="22.5" style="11" customWidth="1"/>
    <col min="14" max="14" width="23" style="11" customWidth="1"/>
    <col min="15" max="15" width="13.33203125" style="11" customWidth="1"/>
    <col min="16" max="16" width="13.5" style="11" customWidth="1"/>
    <col min="17" max="17" width="12.1640625" style="11" customWidth="1"/>
    <col min="18" max="18" width="13.33203125" style="11" customWidth="1"/>
    <col min="19" max="19" width="12.5" style="10" customWidth="1"/>
    <col min="20" max="20" width="9.1640625" style="11"/>
    <col min="21" max="21" width="13.1640625" style="11" customWidth="1"/>
    <col min="22" max="22" width="9.1640625" style="11"/>
    <col min="23" max="23" width="12.83203125" style="43" customWidth="1"/>
    <col min="24" max="24" width="10.1640625" style="10" customWidth="1"/>
    <col min="25" max="25" width="11.5" style="11" bestFit="1" customWidth="1"/>
    <col min="26" max="26" width="9.1640625" style="11"/>
  </cols>
  <sheetData>
    <row r="1" spans="1:26"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413</v>
      </c>
      <c r="R1" s="44" t="s">
        <v>414</v>
      </c>
      <c r="S1" s="44" t="s">
        <v>193</v>
      </c>
      <c r="T1" s="44" t="s">
        <v>419</v>
      </c>
      <c r="U1" s="44" t="s">
        <v>519</v>
      </c>
      <c r="V1" s="44" t="s">
        <v>192</v>
      </c>
      <c r="W1" s="44" t="s">
        <v>384</v>
      </c>
      <c r="X1" s="44" t="s">
        <v>459</v>
      </c>
      <c r="Y1" s="44" t="s">
        <v>242</v>
      </c>
      <c r="Z1" s="44" t="s">
        <v>191</v>
      </c>
    </row>
    <row r="2" spans="1:26" ht="40" customHeight="1" x14ac:dyDescent="0.2">
      <c r="A2" s="12">
        <v>1</v>
      </c>
      <c r="B2" s="10" t="s">
        <v>722</v>
      </c>
      <c r="C2" s="33" t="s">
        <v>468</v>
      </c>
      <c r="D2" s="68" t="s">
        <v>840</v>
      </c>
      <c r="E2" s="10" t="s">
        <v>225</v>
      </c>
      <c r="F2" s="33"/>
      <c r="G2" s="10" t="s">
        <v>58</v>
      </c>
      <c r="H2" s="10" t="s">
        <v>229</v>
      </c>
      <c r="I2" s="10" t="s">
        <v>70</v>
      </c>
      <c r="J2" s="10" t="s">
        <v>467</v>
      </c>
      <c r="K2" s="10" t="s">
        <v>228</v>
      </c>
      <c r="L2" s="10"/>
      <c r="M2" s="10">
        <v>20</v>
      </c>
      <c r="N2" s="10">
        <f>4*M2</f>
        <v>80</v>
      </c>
      <c r="O2" s="10">
        <f>4*N2</f>
        <v>320</v>
      </c>
      <c r="P2" s="10"/>
      <c r="Q2" s="43">
        <v>10339</v>
      </c>
      <c r="R2" s="43">
        <f t="shared" ref="R2:R9" si="0">Q2/O2</f>
        <v>32.309375000000003</v>
      </c>
      <c r="S2" s="10" t="s">
        <v>30</v>
      </c>
      <c r="T2" s="10" t="s">
        <v>28</v>
      </c>
      <c r="U2" s="43">
        <f t="shared" ref="U2:U9" si="1">W2*Q2</f>
        <v>3660006</v>
      </c>
      <c r="V2" s="10" t="s">
        <v>244</v>
      </c>
      <c r="W2" s="43">
        <v>354</v>
      </c>
      <c r="X2" s="10">
        <v>4</v>
      </c>
      <c r="Y2" s="43">
        <f>U2/O2</f>
        <v>11437.518749999999</v>
      </c>
      <c r="Z2" s="10"/>
    </row>
    <row r="3" spans="1:26" ht="40" customHeight="1" x14ac:dyDescent="0.2">
      <c r="A3" s="12">
        <v>1</v>
      </c>
      <c r="B3" s="10" t="s">
        <v>721</v>
      </c>
      <c r="E3" s="10" t="s">
        <v>225</v>
      </c>
      <c r="F3" s="10"/>
      <c r="G3" s="10" t="s">
        <v>58</v>
      </c>
      <c r="H3" s="10"/>
      <c r="I3" s="10" t="s">
        <v>70</v>
      </c>
      <c r="J3" s="10" t="s">
        <v>466</v>
      </c>
      <c r="K3" s="10" t="s">
        <v>227</v>
      </c>
      <c r="L3" s="10"/>
      <c r="M3" s="10">
        <v>12</v>
      </c>
      <c r="N3" s="10">
        <f>4*M3</f>
        <v>48</v>
      </c>
      <c r="O3" s="10">
        <f>4*N3</f>
        <v>192</v>
      </c>
      <c r="P3" s="10"/>
      <c r="Q3" s="43">
        <v>5425</v>
      </c>
      <c r="R3" s="43">
        <f t="shared" si="0"/>
        <v>28.255208333333332</v>
      </c>
      <c r="S3" s="10" t="s">
        <v>30</v>
      </c>
      <c r="T3" s="10"/>
      <c r="U3" s="43">
        <f t="shared" si="1"/>
        <v>2712500</v>
      </c>
      <c r="V3" s="10" t="s">
        <v>244</v>
      </c>
      <c r="W3" s="43">
        <v>500</v>
      </c>
      <c r="X3" s="10">
        <v>4</v>
      </c>
      <c r="Y3" s="43">
        <f t="shared" ref="Y3:Y9" si="2">U3/O3</f>
        <v>14127.604166666666</v>
      </c>
      <c r="Z3" s="10"/>
    </row>
    <row r="4" spans="1:26" ht="40" customHeight="1" x14ac:dyDescent="0.2">
      <c r="A4" s="12">
        <v>1</v>
      </c>
      <c r="B4" s="10" t="s">
        <v>721</v>
      </c>
      <c r="E4" s="10" t="s">
        <v>225</v>
      </c>
      <c r="F4" s="10"/>
      <c r="G4" s="10" t="s">
        <v>58</v>
      </c>
      <c r="H4" s="10"/>
      <c r="I4" s="10" t="s">
        <v>426</v>
      </c>
      <c r="J4" s="10" t="s">
        <v>465</v>
      </c>
      <c r="K4" s="10" t="s">
        <v>226</v>
      </c>
      <c r="L4" s="10"/>
      <c r="M4" s="10">
        <v>2</v>
      </c>
      <c r="N4" s="10">
        <v>1</v>
      </c>
      <c r="O4" s="10">
        <v>4</v>
      </c>
      <c r="P4" s="10"/>
      <c r="Q4" s="43">
        <v>119</v>
      </c>
      <c r="R4" s="43">
        <f t="shared" si="0"/>
        <v>29.75</v>
      </c>
      <c r="S4" s="10" t="s">
        <v>30</v>
      </c>
      <c r="T4" s="10"/>
      <c r="U4" s="43">
        <f t="shared" si="1"/>
        <v>5712</v>
      </c>
      <c r="V4" s="10" t="s">
        <v>244</v>
      </c>
      <c r="W4" s="43">
        <v>48</v>
      </c>
      <c r="X4" s="10">
        <v>1</v>
      </c>
      <c r="Y4" s="43">
        <f t="shared" si="2"/>
        <v>1428</v>
      </c>
      <c r="Z4" s="10"/>
    </row>
    <row r="5" spans="1:26" ht="40" customHeight="1" x14ac:dyDescent="0.2">
      <c r="A5" s="12">
        <v>1</v>
      </c>
      <c r="B5" s="10" t="s">
        <v>721</v>
      </c>
      <c r="E5" s="10" t="s">
        <v>225</v>
      </c>
      <c r="F5" s="10"/>
      <c r="G5" s="10" t="s">
        <v>58</v>
      </c>
      <c r="H5" s="10"/>
      <c r="I5" s="10" t="s">
        <v>426</v>
      </c>
      <c r="J5" s="10" t="s">
        <v>464</v>
      </c>
      <c r="K5" s="10" t="s">
        <v>226</v>
      </c>
      <c r="L5" s="10"/>
      <c r="M5" s="10">
        <v>2</v>
      </c>
      <c r="N5" s="10">
        <v>1</v>
      </c>
      <c r="O5" s="10">
        <v>4</v>
      </c>
      <c r="P5" s="10"/>
      <c r="Q5" s="43">
        <v>134</v>
      </c>
      <c r="R5" s="43">
        <f t="shared" si="0"/>
        <v>33.5</v>
      </c>
      <c r="S5" s="10" t="s">
        <v>30</v>
      </c>
      <c r="T5" s="10"/>
      <c r="U5" s="43">
        <f t="shared" si="1"/>
        <v>7102</v>
      </c>
      <c r="V5" s="10" t="s">
        <v>244</v>
      </c>
      <c r="W5" s="43">
        <v>53</v>
      </c>
      <c r="X5" s="10">
        <v>1</v>
      </c>
      <c r="Y5" s="43">
        <f t="shared" si="2"/>
        <v>1775.5</v>
      </c>
      <c r="Z5" s="10"/>
    </row>
    <row r="6" spans="1:26" ht="40" customHeight="1" x14ac:dyDescent="0.2">
      <c r="A6" s="12">
        <v>1</v>
      </c>
      <c r="B6" s="10" t="s">
        <v>721</v>
      </c>
      <c r="E6" s="10" t="s">
        <v>225</v>
      </c>
      <c r="F6" s="10"/>
      <c r="G6" s="10" t="s">
        <v>58</v>
      </c>
      <c r="H6" s="10"/>
      <c r="I6" s="10" t="s">
        <v>426</v>
      </c>
      <c r="J6" s="10" t="s">
        <v>463</v>
      </c>
      <c r="K6" s="10" t="s">
        <v>226</v>
      </c>
      <c r="L6" s="10"/>
      <c r="M6" s="10">
        <v>2</v>
      </c>
      <c r="N6" s="10">
        <v>1</v>
      </c>
      <c r="O6" s="10">
        <v>4</v>
      </c>
      <c r="P6" s="10"/>
      <c r="Q6" s="43">
        <v>140</v>
      </c>
      <c r="R6" s="43">
        <f t="shared" si="0"/>
        <v>35</v>
      </c>
      <c r="S6" s="10" t="s">
        <v>30</v>
      </c>
      <c r="T6" s="10"/>
      <c r="U6" s="43">
        <f t="shared" si="1"/>
        <v>7280</v>
      </c>
      <c r="V6" s="10" t="s">
        <v>244</v>
      </c>
      <c r="W6" s="43">
        <v>52</v>
      </c>
      <c r="X6" s="10">
        <v>1</v>
      </c>
      <c r="Y6" s="43">
        <f t="shared" si="2"/>
        <v>1820</v>
      </c>
      <c r="Z6" s="10"/>
    </row>
    <row r="7" spans="1:26" ht="40" customHeight="1" x14ac:dyDescent="0.2">
      <c r="A7" s="12">
        <v>1</v>
      </c>
      <c r="B7" s="10" t="s">
        <v>721</v>
      </c>
      <c r="E7" s="10" t="s">
        <v>225</v>
      </c>
      <c r="F7" s="10"/>
      <c r="G7" s="10" t="s">
        <v>58</v>
      </c>
      <c r="H7" s="10"/>
      <c r="I7" s="10" t="s">
        <v>426</v>
      </c>
      <c r="J7" s="10" t="s">
        <v>462</v>
      </c>
      <c r="K7" s="10" t="s">
        <v>226</v>
      </c>
      <c r="L7" s="10"/>
      <c r="M7" s="10">
        <v>2</v>
      </c>
      <c r="N7" s="10">
        <v>1</v>
      </c>
      <c r="O7" s="10">
        <v>4</v>
      </c>
      <c r="P7" s="10"/>
      <c r="Q7" s="43">
        <v>120</v>
      </c>
      <c r="R7" s="43">
        <f t="shared" si="0"/>
        <v>30</v>
      </c>
      <c r="S7" s="10" t="s">
        <v>30</v>
      </c>
      <c r="T7" s="10"/>
      <c r="U7" s="43">
        <f t="shared" si="1"/>
        <v>7680</v>
      </c>
      <c r="V7" s="10" t="s">
        <v>244</v>
      </c>
      <c r="W7" s="43">
        <v>64</v>
      </c>
      <c r="X7" s="10">
        <v>1</v>
      </c>
      <c r="Y7" s="43">
        <f t="shared" si="2"/>
        <v>1920</v>
      </c>
      <c r="Z7" s="10"/>
    </row>
    <row r="8" spans="1:26" ht="40" customHeight="1" x14ac:dyDescent="0.2">
      <c r="A8" s="12">
        <v>1</v>
      </c>
      <c r="B8" s="10" t="s">
        <v>721</v>
      </c>
      <c r="E8" s="10" t="s">
        <v>225</v>
      </c>
      <c r="F8" s="10"/>
      <c r="G8" s="10" t="s">
        <v>58</v>
      </c>
      <c r="H8" s="10"/>
      <c r="I8" s="10" t="s">
        <v>426</v>
      </c>
      <c r="J8" s="10" t="s">
        <v>461</v>
      </c>
      <c r="K8" s="10" t="s">
        <v>224</v>
      </c>
      <c r="L8" s="10"/>
      <c r="M8" s="10">
        <v>2</v>
      </c>
      <c r="N8" s="10">
        <v>1</v>
      </c>
      <c r="O8" s="10">
        <v>4</v>
      </c>
      <c r="P8" s="10"/>
      <c r="Q8" s="43">
        <v>138</v>
      </c>
      <c r="R8" s="43">
        <f t="shared" si="0"/>
        <v>34.5</v>
      </c>
      <c r="S8" s="10" t="s">
        <v>30</v>
      </c>
      <c r="T8" s="10"/>
      <c r="U8" s="43">
        <f t="shared" si="1"/>
        <v>21804</v>
      </c>
      <c r="V8" s="10" t="s">
        <v>244</v>
      </c>
      <c r="W8" s="43">
        <v>158</v>
      </c>
      <c r="X8" s="10">
        <v>1</v>
      </c>
      <c r="Y8" s="43">
        <f t="shared" si="2"/>
        <v>5451</v>
      </c>
      <c r="Z8" s="10"/>
    </row>
    <row r="9" spans="1:26" ht="40" customHeight="1" x14ac:dyDescent="0.2">
      <c r="A9" s="9">
        <v>1</v>
      </c>
      <c r="B9" s="10" t="s">
        <v>721</v>
      </c>
      <c r="E9" s="10" t="s">
        <v>225</v>
      </c>
      <c r="F9" s="10"/>
      <c r="G9" s="10" t="s">
        <v>58</v>
      </c>
      <c r="H9" s="10"/>
      <c r="I9" s="10" t="s">
        <v>426</v>
      </c>
      <c r="J9" s="10" t="s">
        <v>460</v>
      </c>
      <c r="K9" s="10" t="s">
        <v>224</v>
      </c>
      <c r="L9" s="10"/>
      <c r="M9" s="10">
        <v>2</v>
      </c>
      <c r="N9" s="10">
        <v>1</v>
      </c>
      <c r="O9" s="10">
        <v>4</v>
      </c>
      <c r="P9" s="10"/>
      <c r="Q9" s="43">
        <v>155</v>
      </c>
      <c r="R9" s="43">
        <f t="shared" si="0"/>
        <v>38.75</v>
      </c>
      <c r="S9" s="10" t="s">
        <v>30</v>
      </c>
      <c r="T9" s="10"/>
      <c r="U9" s="43">
        <f t="shared" si="1"/>
        <v>19375</v>
      </c>
      <c r="V9" s="10" t="s">
        <v>244</v>
      </c>
      <c r="W9" s="43">
        <v>125</v>
      </c>
      <c r="X9" s="10">
        <v>1</v>
      </c>
      <c r="Y9" s="43">
        <f t="shared" si="2"/>
        <v>4843.75</v>
      </c>
      <c r="Z9" s="10"/>
    </row>
    <row r="10" spans="1:26" s="5" customFormat="1" ht="40" customHeight="1" x14ac:dyDescent="0.2">
      <c r="A10" s="9">
        <v>2</v>
      </c>
      <c r="B10" s="10" t="s">
        <v>724</v>
      </c>
      <c r="C10" s="10" t="s">
        <v>631</v>
      </c>
      <c r="D10" s="10" t="s">
        <v>841</v>
      </c>
      <c r="E10" s="10" t="s">
        <v>225</v>
      </c>
      <c r="F10" s="10"/>
      <c r="G10" s="10" t="s">
        <v>58</v>
      </c>
      <c r="H10" s="10"/>
      <c r="I10" s="10" t="s">
        <v>426</v>
      </c>
      <c r="J10" s="10" t="s">
        <v>629</v>
      </c>
      <c r="K10" s="10" t="s">
        <v>590</v>
      </c>
      <c r="L10" s="10">
        <v>2000</v>
      </c>
      <c r="M10" s="10"/>
      <c r="N10" s="10"/>
      <c r="O10" s="10"/>
      <c r="P10" s="10"/>
      <c r="Q10" s="10"/>
      <c r="R10" s="43">
        <v>30</v>
      </c>
      <c r="S10" s="10" t="s">
        <v>65</v>
      </c>
      <c r="T10" s="10"/>
      <c r="U10" s="10"/>
      <c r="V10" s="10" t="s">
        <v>0</v>
      </c>
      <c r="W10" s="43">
        <v>86</v>
      </c>
      <c r="X10" s="10">
        <v>1</v>
      </c>
      <c r="Y10" s="10"/>
      <c r="Z10" s="10"/>
    </row>
    <row r="11" spans="1:26" ht="40" customHeight="1" x14ac:dyDescent="0.2">
      <c r="A11" s="9">
        <v>2</v>
      </c>
      <c r="B11" s="10" t="s">
        <v>723</v>
      </c>
      <c r="E11" s="10" t="s">
        <v>225</v>
      </c>
      <c r="F11" s="10"/>
      <c r="G11" s="10" t="s">
        <v>58</v>
      </c>
      <c r="H11" s="10"/>
      <c r="I11" s="10" t="s">
        <v>426</v>
      </c>
      <c r="J11" s="10" t="s">
        <v>629</v>
      </c>
      <c r="K11" s="10"/>
      <c r="L11" s="10"/>
      <c r="M11" s="10"/>
      <c r="N11" s="10"/>
      <c r="O11" s="10"/>
      <c r="P11" s="10"/>
      <c r="Q11" s="10"/>
      <c r="R11" s="43">
        <v>30</v>
      </c>
      <c r="S11" s="10" t="s">
        <v>67</v>
      </c>
      <c r="T11" s="10"/>
      <c r="U11" s="10"/>
      <c r="V11" s="10" t="s">
        <v>0</v>
      </c>
      <c r="W11" s="43">
        <v>88</v>
      </c>
      <c r="X11" s="10">
        <v>1</v>
      </c>
      <c r="Y11" s="10"/>
      <c r="Z11" s="10"/>
    </row>
    <row r="12" spans="1:26" ht="40" customHeight="1" x14ac:dyDescent="0.2">
      <c r="A12" s="9">
        <v>2</v>
      </c>
      <c r="B12" s="10" t="s">
        <v>723</v>
      </c>
      <c r="E12" s="10" t="s">
        <v>225</v>
      </c>
      <c r="F12" s="10"/>
      <c r="G12" s="10" t="s">
        <v>58</v>
      </c>
      <c r="H12" s="10"/>
      <c r="I12" s="10" t="s">
        <v>426</v>
      </c>
      <c r="J12" s="10" t="s">
        <v>629</v>
      </c>
      <c r="K12" s="10"/>
      <c r="L12" s="10"/>
      <c r="M12" s="10"/>
      <c r="N12" s="10"/>
      <c r="O12" s="10"/>
      <c r="P12" s="10"/>
      <c r="Q12" s="10"/>
      <c r="R12" s="43">
        <v>30</v>
      </c>
      <c r="S12" s="10" t="s">
        <v>435</v>
      </c>
      <c r="T12" s="10"/>
      <c r="U12" s="10"/>
      <c r="V12" s="10" t="s">
        <v>0</v>
      </c>
      <c r="W12" s="43">
        <v>5</v>
      </c>
      <c r="X12" s="10">
        <v>1</v>
      </c>
      <c r="Y12" s="10"/>
      <c r="Z12" s="10"/>
    </row>
    <row r="13" spans="1:26" ht="40" customHeight="1" x14ac:dyDescent="0.2">
      <c r="A13" s="9">
        <v>2</v>
      </c>
      <c r="B13" s="10" t="s">
        <v>723</v>
      </c>
      <c r="E13" s="10" t="s">
        <v>225</v>
      </c>
      <c r="F13" s="10"/>
      <c r="G13" s="10" t="s">
        <v>58</v>
      </c>
      <c r="H13" s="10"/>
      <c r="I13" s="10" t="s">
        <v>426</v>
      </c>
      <c r="J13" s="10" t="s">
        <v>629</v>
      </c>
      <c r="K13" s="10"/>
      <c r="L13" s="10"/>
      <c r="M13" s="10"/>
      <c r="N13" s="10"/>
      <c r="O13" s="10"/>
      <c r="P13" s="10"/>
      <c r="Q13" s="10"/>
      <c r="R13" s="43">
        <v>30</v>
      </c>
      <c r="S13" s="10" t="s">
        <v>30</v>
      </c>
      <c r="T13" s="10"/>
      <c r="U13" s="10"/>
      <c r="V13" s="10" t="s">
        <v>0</v>
      </c>
      <c r="W13" s="43">
        <f>2+5</f>
        <v>7</v>
      </c>
      <c r="X13" s="10">
        <v>1</v>
      </c>
      <c r="Y13" s="10"/>
      <c r="Z13" s="10"/>
    </row>
    <row r="14" spans="1:26" ht="40" customHeight="1" x14ac:dyDescent="0.2">
      <c r="A14" s="9">
        <v>2</v>
      </c>
      <c r="B14" s="10" t="s">
        <v>723</v>
      </c>
      <c r="E14" s="10" t="s">
        <v>225</v>
      </c>
      <c r="F14" s="10"/>
      <c r="G14" s="10" t="s">
        <v>58</v>
      </c>
      <c r="H14" s="10"/>
      <c r="I14" s="10" t="s">
        <v>426</v>
      </c>
      <c r="J14" s="10" t="s">
        <v>629</v>
      </c>
      <c r="K14" s="10"/>
      <c r="L14" s="10"/>
      <c r="M14" s="10"/>
      <c r="N14" s="10"/>
      <c r="O14" s="10"/>
      <c r="P14" s="10"/>
      <c r="Q14" s="10"/>
      <c r="R14" s="43">
        <v>30</v>
      </c>
      <c r="S14" s="10" t="s">
        <v>290</v>
      </c>
      <c r="T14" s="10"/>
      <c r="U14" s="10"/>
      <c r="V14" s="10" t="s">
        <v>0</v>
      </c>
      <c r="W14" s="43">
        <v>2</v>
      </c>
      <c r="X14" s="10">
        <v>1</v>
      </c>
      <c r="Y14" s="10"/>
      <c r="Z14" s="10"/>
    </row>
    <row r="15" spans="1:26" ht="40" customHeight="1" x14ac:dyDescent="0.2">
      <c r="A15" s="9">
        <v>2</v>
      </c>
      <c r="B15" s="10" t="s">
        <v>723</v>
      </c>
      <c r="E15" s="10" t="s">
        <v>225</v>
      </c>
      <c r="F15" s="10"/>
      <c r="G15" s="10" t="s">
        <v>58</v>
      </c>
      <c r="H15" s="10"/>
      <c r="I15" s="10" t="s">
        <v>426</v>
      </c>
      <c r="J15" s="10" t="s">
        <v>630</v>
      </c>
      <c r="K15" s="10" t="s">
        <v>590</v>
      </c>
      <c r="L15" s="10">
        <v>2000</v>
      </c>
      <c r="M15" s="10"/>
      <c r="N15" s="10"/>
      <c r="O15" s="10"/>
      <c r="P15" s="10"/>
      <c r="Q15" s="10"/>
      <c r="R15" s="43">
        <v>30</v>
      </c>
      <c r="S15" s="10" t="s">
        <v>65</v>
      </c>
      <c r="T15" s="10"/>
      <c r="U15" s="10"/>
      <c r="V15" s="10" t="s">
        <v>0</v>
      </c>
      <c r="W15" s="43">
        <f>269+98</f>
        <v>367</v>
      </c>
      <c r="X15" s="10">
        <v>1</v>
      </c>
      <c r="Y15" s="10"/>
      <c r="Z15" s="10"/>
    </row>
    <row r="16" spans="1:26" ht="40" customHeight="1" x14ac:dyDescent="0.2">
      <c r="A16" s="9">
        <v>2</v>
      </c>
      <c r="B16" s="10" t="s">
        <v>723</v>
      </c>
      <c r="E16" s="10" t="s">
        <v>225</v>
      </c>
      <c r="F16" s="10"/>
      <c r="G16" s="10" t="s">
        <v>58</v>
      </c>
      <c r="H16" s="10"/>
      <c r="I16" s="10" t="s">
        <v>426</v>
      </c>
      <c r="J16" s="10" t="s">
        <v>630</v>
      </c>
      <c r="K16" s="10"/>
      <c r="L16" s="10"/>
      <c r="M16" s="10"/>
      <c r="N16" s="10"/>
      <c r="O16" s="10"/>
      <c r="P16" s="10"/>
      <c r="Q16" s="10"/>
      <c r="R16" s="43">
        <v>30</v>
      </c>
      <c r="S16" s="10" t="s">
        <v>67</v>
      </c>
      <c r="T16" s="10"/>
      <c r="U16" s="10"/>
      <c r="V16" s="10" t="s">
        <v>0</v>
      </c>
      <c r="W16" s="43">
        <v>52</v>
      </c>
      <c r="X16" s="10">
        <v>1</v>
      </c>
      <c r="Y16" s="10"/>
      <c r="Z16" s="10"/>
    </row>
    <row r="17" spans="1:26" ht="40" customHeight="1" x14ac:dyDescent="0.2">
      <c r="A17" s="9">
        <v>2</v>
      </c>
      <c r="B17" s="10" t="s">
        <v>723</v>
      </c>
      <c r="E17" s="10" t="s">
        <v>225</v>
      </c>
      <c r="F17" s="10"/>
      <c r="G17" s="10" t="s">
        <v>58</v>
      </c>
      <c r="H17" s="10"/>
      <c r="I17" s="10" t="s">
        <v>426</v>
      </c>
      <c r="J17" s="10" t="s">
        <v>630</v>
      </c>
      <c r="K17" s="10"/>
      <c r="L17" s="10"/>
      <c r="M17" s="10"/>
      <c r="N17" s="10"/>
      <c r="O17" s="10"/>
      <c r="P17" s="10"/>
      <c r="Q17" s="10"/>
      <c r="R17" s="43">
        <v>30</v>
      </c>
      <c r="S17" s="10" t="s">
        <v>435</v>
      </c>
      <c r="T17" s="10"/>
      <c r="U17" s="10"/>
      <c r="V17" s="10" t="s">
        <v>0</v>
      </c>
      <c r="W17" s="43">
        <v>2</v>
      </c>
      <c r="X17" s="10">
        <v>1</v>
      </c>
      <c r="Y17" s="10"/>
      <c r="Z17" s="10"/>
    </row>
    <row r="18" spans="1:26" ht="40" customHeight="1" x14ac:dyDescent="0.2">
      <c r="A18" s="9">
        <v>2</v>
      </c>
      <c r="B18" s="10" t="s">
        <v>723</v>
      </c>
      <c r="E18" s="10" t="s">
        <v>225</v>
      </c>
      <c r="F18" s="10"/>
      <c r="G18" s="10" t="s">
        <v>58</v>
      </c>
      <c r="H18" s="10"/>
      <c r="I18" s="10" t="s">
        <v>426</v>
      </c>
      <c r="J18" s="10" t="s">
        <v>630</v>
      </c>
      <c r="K18" s="10"/>
      <c r="L18" s="10"/>
      <c r="M18" s="10"/>
      <c r="N18" s="10"/>
      <c r="O18" s="10"/>
      <c r="P18" s="10"/>
      <c r="Q18" s="10"/>
      <c r="R18" s="43">
        <v>30</v>
      </c>
      <c r="S18" s="10" t="s">
        <v>30</v>
      </c>
      <c r="T18" s="10"/>
      <c r="U18" s="10"/>
      <c r="V18" s="10" t="s">
        <v>0</v>
      </c>
      <c r="W18" s="43">
        <v>1</v>
      </c>
      <c r="X18" s="10">
        <v>1</v>
      </c>
      <c r="Y18" s="10"/>
      <c r="Z18" s="10"/>
    </row>
    <row r="19" spans="1:26" ht="40" customHeight="1" x14ac:dyDescent="0.2">
      <c r="A19" s="9">
        <v>2</v>
      </c>
      <c r="B19" s="10" t="s">
        <v>723</v>
      </c>
      <c r="E19" s="10" t="s">
        <v>225</v>
      </c>
      <c r="F19" s="10"/>
      <c r="G19" s="10" t="s">
        <v>58</v>
      </c>
      <c r="H19" s="10"/>
      <c r="I19" s="10" t="s">
        <v>426</v>
      </c>
      <c r="J19" s="10" t="s">
        <v>630</v>
      </c>
      <c r="K19" s="10"/>
      <c r="L19" s="10"/>
      <c r="M19" s="10"/>
      <c r="N19" s="10"/>
      <c r="O19" s="10"/>
      <c r="P19" s="10"/>
      <c r="Q19" s="10"/>
      <c r="R19" s="43">
        <v>30</v>
      </c>
      <c r="S19" s="10" t="s">
        <v>290</v>
      </c>
      <c r="T19" s="10"/>
      <c r="U19" s="10"/>
      <c r="V19" s="10" t="s">
        <v>0</v>
      </c>
      <c r="W19" s="43">
        <v>1</v>
      </c>
      <c r="X19" s="10">
        <v>1</v>
      </c>
      <c r="Y19" s="10"/>
      <c r="Z19" s="10"/>
    </row>
    <row r="20" spans="1:26" ht="40" customHeight="1" x14ac:dyDescent="0.2">
      <c r="A20" s="9">
        <v>2</v>
      </c>
      <c r="B20" s="10" t="s">
        <v>723</v>
      </c>
      <c r="E20" s="10" t="s">
        <v>225</v>
      </c>
      <c r="F20" s="10"/>
      <c r="G20" s="10" t="s">
        <v>58</v>
      </c>
      <c r="H20" s="10"/>
      <c r="I20" s="10" t="s">
        <v>70</v>
      </c>
      <c r="J20" s="10" t="s">
        <v>633</v>
      </c>
      <c r="K20" s="10" t="s">
        <v>632</v>
      </c>
      <c r="L20" s="10">
        <v>2000</v>
      </c>
      <c r="M20" s="10"/>
      <c r="N20" s="10"/>
      <c r="O20" s="10"/>
      <c r="P20" s="10"/>
      <c r="Q20" s="10"/>
      <c r="R20" s="43">
        <v>30</v>
      </c>
      <c r="S20" s="10" t="s">
        <v>65</v>
      </c>
      <c r="T20" s="10"/>
      <c r="U20" s="10"/>
      <c r="V20" s="10" t="s">
        <v>0</v>
      </c>
      <c r="W20" s="43">
        <f>1258+613</f>
        <v>1871</v>
      </c>
      <c r="X20" s="10">
        <v>4</v>
      </c>
      <c r="Y20" s="10"/>
      <c r="Z20" s="10"/>
    </row>
    <row r="21" spans="1:26" ht="40" customHeight="1" x14ac:dyDescent="0.2">
      <c r="A21" s="9">
        <v>2</v>
      </c>
      <c r="B21" s="10" t="s">
        <v>723</v>
      </c>
      <c r="E21" s="10" t="s">
        <v>225</v>
      </c>
      <c r="F21" s="10"/>
      <c r="G21" s="10" t="s">
        <v>58</v>
      </c>
      <c r="H21" s="10"/>
      <c r="I21" s="10" t="s">
        <v>70</v>
      </c>
      <c r="J21" s="10" t="s">
        <v>633</v>
      </c>
      <c r="K21" s="10"/>
      <c r="L21" s="10"/>
      <c r="M21" s="10"/>
      <c r="N21" s="10"/>
      <c r="O21" s="10"/>
      <c r="P21" s="10"/>
      <c r="Q21" s="10"/>
      <c r="R21" s="43">
        <v>30</v>
      </c>
      <c r="S21" s="10" t="s">
        <v>67</v>
      </c>
      <c r="T21" s="10"/>
      <c r="U21" s="10"/>
      <c r="V21" s="10" t="s">
        <v>0</v>
      </c>
      <c r="W21" s="43">
        <v>18</v>
      </c>
      <c r="X21" s="10">
        <v>4</v>
      </c>
      <c r="Y21" s="10"/>
      <c r="Z21" s="10"/>
    </row>
    <row r="22" spans="1:26" ht="40" customHeight="1" x14ac:dyDescent="0.2">
      <c r="A22" s="9">
        <v>2</v>
      </c>
      <c r="B22" s="10" t="s">
        <v>723</v>
      </c>
      <c r="E22" s="10" t="s">
        <v>225</v>
      </c>
      <c r="F22" s="10"/>
      <c r="G22" s="10" t="s">
        <v>58</v>
      </c>
      <c r="H22" s="10"/>
      <c r="I22" s="10" t="s">
        <v>70</v>
      </c>
      <c r="J22" s="10" t="s">
        <v>633</v>
      </c>
      <c r="K22" s="10"/>
      <c r="L22" s="10"/>
      <c r="M22" s="10"/>
      <c r="N22" s="10"/>
      <c r="O22" s="10"/>
      <c r="P22" s="10"/>
      <c r="Q22" s="10"/>
      <c r="R22" s="43">
        <v>30</v>
      </c>
      <c r="S22" s="10" t="s">
        <v>435</v>
      </c>
      <c r="T22" s="10"/>
      <c r="U22" s="10"/>
      <c r="V22" s="10" t="s">
        <v>0</v>
      </c>
      <c r="W22" s="43">
        <v>2</v>
      </c>
      <c r="X22" s="10">
        <v>4</v>
      </c>
      <c r="Y22" s="10"/>
      <c r="Z22" s="10"/>
    </row>
    <row r="23" spans="1:26" ht="40" customHeight="1" x14ac:dyDescent="0.2">
      <c r="A23" s="9">
        <v>2</v>
      </c>
      <c r="B23" s="10" t="s">
        <v>723</v>
      </c>
      <c r="E23" s="10" t="s">
        <v>225</v>
      </c>
      <c r="F23" s="10"/>
      <c r="G23" s="10" t="s">
        <v>58</v>
      </c>
      <c r="H23" s="10"/>
      <c r="I23" s="10" t="s">
        <v>70</v>
      </c>
      <c r="J23" s="10" t="s">
        <v>633</v>
      </c>
      <c r="K23" s="10"/>
      <c r="L23" s="10"/>
      <c r="M23" s="10"/>
      <c r="N23" s="10"/>
      <c r="O23" s="10"/>
      <c r="P23" s="10"/>
      <c r="Q23" s="10"/>
      <c r="R23" s="43">
        <v>30</v>
      </c>
      <c r="S23" s="10" t="s">
        <v>30</v>
      </c>
      <c r="T23" s="10"/>
      <c r="U23" s="10"/>
      <c r="V23" s="10" t="s">
        <v>0</v>
      </c>
      <c r="W23" s="43">
        <f>33+26</f>
        <v>59</v>
      </c>
      <c r="X23" s="10">
        <v>4</v>
      </c>
      <c r="Y23" s="10"/>
      <c r="Z23" s="10"/>
    </row>
    <row r="24" spans="1:26" ht="40" customHeight="1" x14ac:dyDescent="0.2">
      <c r="A24" s="9">
        <v>2</v>
      </c>
      <c r="B24" s="10" t="s">
        <v>723</v>
      </c>
      <c r="E24" s="10" t="s">
        <v>225</v>
      </c>
      <c r="F24" s="10"/>
      <c r="G24" s="10" t="s">
        <v>58</v>
      </c>
      <c r="H24" s="10"/>
      <c r="I24" s="10" t="s">
        <v>70</v>
      </c>
      <c r="J24" s="10" t="s">
        <v>633</v>
      </c>
      <c r="K24" s="10"/>
      <c r="L24" s="10"/>
      <c r="M24" s="10"/>
      <c r="N24" s="10"/>
      <c r="O24" s="10"/>
      <c r="P24" s="10"/>
      <c r="Q24" s="10"/>
      <c r="R24" s="43">
        <v>30</v>
      </c>
      <c r="S24" s="10" t="s">
        <v>290</v>
      </c>
      <c r="T24" s="10"/>
      <c r="U24" s="10"/>
      <c r="V24" s="10" t="s">
        <v>0</v>
      </c>
      <c r="W24" s="43">
        <v>2</v>
      </c>
      <c r="X24" s="10">
        <v>4</v>
      </c>
      <c r="Y24" s="10"/>
      <c r="Z24" s="10"/>
    </row>
    <row r="25" spans="1:26" ht="40" customHeight="1" x14ac:dyDescent="0.2">
      <c r="A25" s="10">
        <v>4</v>
      </c>
      <c r="B25" s="10" t="s">
        <v>888</v>
      </c>
      <c r="C25" s="10" t="s">
        <v>890</v>
      </c>
      <c r="D25" s="10" t="s">
        <v>889</v>
      </c>
      <c r="E25" s="10" t="s">
        <v>225</v>
      </c>
      <c r="F25" s="10"/>
      <c r="G25" s="10" t="s">
        <v>58</v>
      </c>
      <c r="H25" s="10"/>
      <c r="I25" s="10" t="s">
        <v>426</v>
      </c>
      <c r="J25" s="10" t="s">
        <v>261</v>
      </c>
      <c r="K25" s="10" t="s">
        <v>903</v>
      </c>
      <c r="L25" s="10">
        <v>1945</v>
      </c>
      <c r="M25" s="10"/>
      <c r="N25" s="10"/>
      <c r="O25" s="10"/>
      <c r="P25" s="10"/>
      <c r="Q25" s="10"/>
      <c r="R25" s="43"/>
      <c r="S25" s="10" t="s">
        <v>30</v>
      </c>
      <c r="V25" s="10" t="s">
        <v>0</v>
      </c>
      <c r="W25" s="43">
        <v>7</v>
      </c>
      <c r="X25" s="10">
        <v>1</v>
      </c>
    </row>
    <row r="26" spans="1:26" ht="40" customHeight="1" x14ac:dyDescent="0.2">
      <c r="A26" s="10">
        <v>4</v>
      </c>
      <c r="B26" s="10" t="s">
        <v>863</v>
      </c>
      <c r="C26" s="10"/>
      <c r="D26" s="10"/>
      <c r="E26" s="10" t="s">
        <v>225</v>
      </c>
      <c r="F26" s="10"/>
      <c r="G26" s="10" t="s">
        <v>58</v>
      </c>
      <c r="H26" s="10"/>
      <c r="I26" s="10" t="s">
        <v>426</v>
      </c>
      <c r="J26" s="10" t="s">
        <v>261</v>
      </c>
      <c r="K26" s="10" t="s">
        <v>903</v>
      </c>
      <c r="L26" s="10">
        <v>1945</v>
      </c>
      <c r="M26" s="10"/>
      <c r="N26" s="10"/>
      <c r="O26" s="10"/>
      <c r="P26" s="10"/>
      <c r="Q26" s="10"/>
      <c r="R26" s="43"/>
      <c r="S26" s="10" t="s">
        <v>243</v>
      </c>
      <c r="T26" s="10"/>
      <c r="U26" s="10"/>
      <c r="V26" s="10" t="s">
        <v>0</v>
      </c>
      <c r="W26" s="43">
        <v>2</v>
      </c>
      <c r="X26" s="10">
        <v>1</v>
      </c>
      <c r="Y26" s="10"/>
      <c r="Z26" s="10"/>
    </row>
    <row r="27" spans="1:26" ht="40" customHeight="1" x14ac:dyDescent="0.2">
      <c r="A27" s="10">
        <v>4</v>
      </c>
      <c r="B27" s="10" t="s">
        <v>884</v>
      </c>
      <c r="E27" s="10" t="s">
        <v>225</v>
      </c>
      <c r="F27" s="10"/>
      <c r="G27" s="10" t="s">
        <v>58</v>
      </c>
      <c r="H27" s="10"/>
      <c r="I27" s="10" t="s">
        <v>426</v>
      </c>
      <c r="J27" s="10" t="s">
        <v>261</v>
      </c>
      <c r="K27" s="10" t="s">
        <v>903</v>
      </c>
      <c r="L27" s="10">
        <v>1945</v>
      </c>
      <c r="M27" s="10"/>
      <c r="N27" s="10"/>
      <c r="O27" s="10"/>
      <c r="P27" s="10"/>
      <c r="Q27" s="10"/>
      <c r="R27" s="43"/>
      <c r="S27" s="10" t="s">
        <v>67</v>
      </c>
      <c r="T27" s="10"/>
      <c r="U27" s="10"/>
      <c r="V27" s="10" t="s">
        <v>0</v>
      </c>
      <c r="W27" s="43">
        <v>88</v>
      </c>
      <c r="X27" s="10">
        <v>1</v>
      </c>
      <c r="Y27" s="10"/>
      <c r="Z27" s="10"/>
    </row>
    <row r="28" spans="1:26" ht="40" customHeight="1" x14ac:dyDescent="0.2">
      <c r="A28" s="10">
        <v>4</v>
      </c>
      <c r="B28" s="10" t="s">
        <v>885</v>
      </c>
      <c r="E28" s="10" t="s">
        <v>225</v>
      </c>
      <c r="F28" s="10"/>
      <c r="G28" s="10" t="s">
        <v>58</v>
      </c>
      <c r="H28" s="10"/>
      <c r="I28" s="10" t="s">
        <v>426</v>
      </c>
      <c r="J28" s="10" t="s">
        <v>261</v>
      </c>
      <c r="K28" s="10" t="s">
        <v>903</v>
      </c>
      <c r="L28" s="10">
        <v>1945</v>
      </c>
      <c r="M28" s="10"/>
      <c r="N28" s="10"/>
      <c r="O28" s="10"/>
      <c r="P28" s="10"/>
      <c r="Q28" s="10"/>
      <c r="R28" s="43"/>
      <c r="S28" s="10" t="s">
        <v>65</v>
      </c>
      <c r="T28" s="10"/>
      <c r="U28" s="10"/>
      <c r="V28" s="10" t="s">
        <v>0</v>
      </c>
      <c r="W28" s="43">
        <v>221</v>
      </c>
      <c r="X28" s="10">
        <v>1</v>
      </c>
      <c r="Y28" s="10"/>
      <c r="Z28" s="10"/>
    </row>
    <row r="29" spans="1:26" ht="40" customHeight="1" x14ac:dyDescent="0.2">
      <c r="A29" s="10">
        <v>4</v>
      </c>
      <c r="B29" s="10" t="s">
        <v>886</v>
      </c>
      <c r="E29" s="10" t="s">
        <v>225</v>
      </c>
      <c r="F29" s="10"/>
      <c r="G29" s="10" t="s">
        <v>58</v>
      </c>
      <c r="H29" s="10"/>
      <c r="I29" s="10" t="s">
        <v>426</v>
      </c>
      <c r="J29" s="10" t="s">
        <v>261</v>
      </c>
      <c r="K29" s="10" t="s">
        <v>903</v>
      </c>
      <c r="L29" s="10">
        <v>1945</v>
      </c>
      <c r="M29" s="10"/>
      <c r="N29" s="10"/>
      <c r="O29" s="10"/>
      <c r="P29" s="10"/>
      <c r="Q29" s="10"/>
      <c r="R29" s="43"/>
      <c r="S29" s="10" t="s">
        <v>435</v>
      </c>
      <c r="T29" s="10"/>
      <c r="U29" s="10"/>
      <c r="V29" s="10" t="s">
        <v>0</v>
      </c>
      <c r="W29" s="43">
        <v>5</v>
      </c>
      <c r="X29" s="10">
        <v>1</v>
      </c>
      <c r="Y29" s="10"/>
      <c r="Z29" s="10"/>
    </row>
  </sheetData>
  <hyperlinks>
    <hyperlink ref="D2" r:id="rId1" xr:uid="{00000000-0004-0000-1E00-000000000000}"/>
    <hyperlink ref="D25" r:id="rId2" xr:uid="{00000000-0004-0000-1E00-000001000000}"/>
  </hyperlinks>
  <pageMargins left="0.7" right="0.7" top="0.75" bottom="0.75" header="0.3" footer="0.3"/>
  <pageSetup paperSize="9" orientation="portrait"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tabColor rgb="FF00B050"/>
  </sheetPr>
  <dimension ref="A1:AA69"/>
  <sheetViews>
    <sheetView zoomScaleNormal="100" workbookViewId="0"/>
  </sheetViews>
  <sheetFormatPr baseColWidth="10" defaultColWidth="9.1640625" defaultRowHeight="15" x14ac:dyDescent="0.2"/>
  <cols>
    <col min="1" max="1" width="4.5" style="11" customWidth="1"/>
    <col min="2" max="2" width="18.1640625" style="11" customWidth="1"/>
    <col min="3" max="3" width="57" style="10" customWidth="1"/>
    <col min="4" max="4" width="16.33203125" style="10" customWidth="1"/>
    <col min="5" max="6" width="25" style="11" customWidth="1"/>
    <col min="7" max="7" width="15.5" style="10" customWidth="1"/>
    <col min="8" max="8" width="17.1640625" style="10" customWidth="1"/>
    <col min="9" max="9" width="27.6640625" style="10" customWidth="1"/>
    <col min="10" max="10" width="20" style="11" customWidth="1"/>
    <col min="11" max="11" width="34.33203125" style="11" customWidth="1"/>
    <col min="12" max="13" width="22.5" style="10" customWidth="1"/>
    <col min="14" max="14" width="23" style="10" customWidth="1"/>
    <col min="15" max="15" width="16.83203125" style="10" customWidth="1"/>
    <col min="16" max="16" width="16.5" style="10" customWidth="1"/>
    <col min="17" max="17" width="23.5" style="43" customWidth="1"/>
    <col min="18" max="18" width="17.6640625" style="43" customWidth="1"/>
    <col min="19" max="19" width="22.33203125" style="10" customWidth="1"/>
    <col min="20" max="20" width="16.83203125" style="43" customWidth="1"/>
    <col min="21" max="21" width="14.33203125" style="43" customWidth="1"/>
    <col min="22" max="22" width="13.1640625" style="10" customWidth="1"/>
    <col min="23" max="23" width="15.1640625" style="43" customWidth="1"/>
    <col min="24" max="24" width="13.33203125" style="10" customWidth="1"/>
    <col min="25" max="25" width="12.5" style="43" bestFit="1" customWidth="1"/>
    <col min="26" max="26" width="10.1640625" style="11" customWidth="1"/>
    <col min="27" max="27" width="36" style="10" customWidth="1"/>
    <col min="28" max="16384" width="9.1640625" style="11"/>
  </cols>
  <sheetData>
    <row r="1" spans="1:27"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241</v>
      </c>
      <c r="R1" s="44" t="s">
        <v>414</v>
      </c>
      <c r="S1" s="44" t="s">
        <v>193</v>
      </c>
      <c r="T1" s="44" t="s">
        <v>419</v>
      </c>
      <c r="U1" s="44" t="s">
        <v>519</v>
      </c>
      <c r="V1" s="44" t="s">
        <v>192</v>
      </c>
      <c r="W1" s="44" t="s">
        <v>384</v>
      </c>
      <c r="X1" s="44" t="s">
        <v>416</v>
      </c>
      <c r="Y1" s="44" t="s">
        <v>242</v>
      </c>
      <c r="Z1" s="44" t="s">
        <v>191</v>
      </c>
      <c r="AA1" s="44" t="s">
        <v>190</v>
      </c>
    </row>
    <row r="2" spans="1:27" ht="40" customHeight="1" x14ac:dyDescent="0.2">
      <c r="A2" s="10">
        <v>1</v>
      </c>
      <c r="B2" s="10" t="s">
        <v>744</v>
      </c>
      <c r="C2" s="10" t="s">
        <v>904</v>
      </c>
      <c r="D2" s="10" t="s">
        <v>842</v>
      </c>
      <c r="E2" s="10" t="s">
        <v>50</v>
      </c>
      <c r="F2" s="10" t="s">
        <v>49</v>
      </c>
      <c r="G2" s="10" t="s">
        <v>58</v>
      </c>
      <c r="H2" s="10" t="s">
        <v>377</v>
      </c>
      <c r="I2" s="10" t="s">
        <v>389</v>
      </c>
      <c r="J2" s="10" t="s">
        <v>48</v>
      </c>
      <c r="K2" s="10" t="s">
        <v>46</v>
      </c>
      <c r="L2" s="10" t="s">
        <v>28</v>
      </c>
      <c r="M2" s="10">
        <v>1</v>
      </c>
      <c r="N2" s="10">
        <v>1</v>
      </c>
      <c r="O2" s="10">
        <v>4</v>
      </c>
      <c r="P2" s="43">
        <v>240</v>
      </c>
      <c r="Q2" s="43">
        <f t="shared" ref="Q2:Q17" si="0">P2*0.9</f>
        <v>216</v>
      </c>
      <c r="R2" s="43">
        <f t="shared" ref="R2:R17" si="1">Q2/O2</f>
        <v>54</v>
      </c>
      <c r="S2" s="10" t="s">
        <v>30</v>
      </c>
      <c r="U2" s="43">
        <f>(0.006+0.059+0.469+8.358+0.065)*1000</f>
        <v>8957</v>
      </c>
      <c r="V2" s="10" t="s">
        <v>244</v>
      </c>
      <c r="W2" s="43">
        <f t="shared" ref="W2:W16" si="2">U2/Q2</f>
        <v>41.467592592592595</v>
      </c>
      <c r="X2" s="10">
        <v>1</v>
      </c>
      <c r="Y2" s="43">
        <f t="shared" ref="Y2:Y29" si="3">U2/O2</f>
        <v>2239.25</v>
      </c>
      <c r="Z2" s="10"/>
      <c r="AA2" s="10" t="s">
        <v>59</v>
      </c>
    </row>
    <row r="3" spans="1:27" ht="40" customHeight="1" x14ac:dyDescent="0.2">
      <c r="A3" s="10">
        <v>1</v>
      </c>
      <c r="B3" s="10" t="s">
        <v>745</v>
      </c>
      <c r="C3" s="10" t="s">
        <v>28</v>
      </c>
      <c r="E3" s="10" t="s">
        <v>50</v>
      </c>
      <c r="F3" s="10"/>
      <c r="G3" s="10" t="s">
        <v>58</v>
      </c>
      <c r="H3" s="10" t="s">
        <v>28</v>
      </c>
      <c r="I3" s="10" t="s">
        <v>389</v>
      </c>
      <c r="J3" s="10" t="s">
        <v>48</v>
      </c>
      <c r="K3" s="10" t="s">
        <v>28</v>
      </c>
      <c r="L3" s="10" t="s">
        <v>28</v>
      </c>
      <c r="M3" s="10">
        <v>1</v>
      </c>
      <c r="N3" s="10">
        <v>1</v>
      </c>
      <c r="O3" s="10">
        <v>4</v>
      </c>
      <c r="P3" s="43">
        <v>240</v>
      </c>
      <c r="Q3" s="43">
        <f t="shared" si="0"/>
        <v>216</v>
      </c>
      <c r="R3" s="43">
        <f t="shared" si="1"/>
        <v>54</v>
      </c>
      <c r="S3" s="10" t="s">
        <v>65</v>
      </c>
      <c r="T3" s="43">
        <v>2320</v>
      </c>
      <c r="U3" s="43">
        <f>86.801*T3</f>
        <v>201378.32</v>
      </c>
      <c r="V3" s="10" t="s">
        <v>244</v>
      </c>
      <c r="W3" s="43">
        <f t="shared" si="2"/>
        <v>932.30703703703705</v>
      </c>
      <c r="X3" s="10">
        <v>1</v>
      </c>
      <c r="Y3" s="43">
        <f t="shared" si="3"/>
        <v>50344.58</v>
      </c>
      <c r="Z3" s="10"/>
      <c r="AA3" s="10" t="s">
        <v>43</v>
      </c>
    </row>
    <row r="4" spans="1:27" ht="40" customHeight="1" x14ac:dyDescent="0.2">
      <c r="A4" s="10">
        <v>1</v>
      </c>
      <c r="B4" s="10" t="s">
        <v>745</v>
      </c>
      <c r="C4" s="10" t="s">
        <v>28</v>
      </c>
      <c r="E4" s="10" t="s">
        <v>50</v>
      </c>
      <c r="F4" s="10"/>
      <c r="G4" s="10" t="s">
        <v>58</v>
      </c>
      <c r="H4" s="10" t="s">
        <v>28</v>
      </c>
      <c r="I4" s="10" t="s">
        <v>389</v>
      </c>
      <c r="J4" s="10" t="s">
        <v>48</v>
      </c>
      <c r="K4" s="10" t="s">
        <v>28</v>
      </c>
      <c r="L4" s="10" t="s">
        <v>28</v>
      </c>
      <c r="M4" s="10">
        <v>1</v>
      </c>
      <c r="N4" s="10">
        <v>1</v>
      </c>
      <c r="O4" s="10">
        <v>4</v>
      </c>
      <c r="P4" s="43">
        <v>240</v>
      </c>
      <c r="Q4" s="43">
        <f t="shared" si="0"/>
        <v>216</v>
      </c>
      <c r="R4" s="43">
        <f t="shared" si="1"/>
        <v>54</v>
      </c>
      <c r="S4" s="10" t="s">
        <v>412</v>
      </c>
      <c r="U4" s="43">
        <f>0.002*1000</f>
        <v>2</v>
      </c>
      <c r="V4" s="10" t="s">
        <v>244</v>
      </c>
      <c r="W4" s="43">
        <f t="shared" si="2"/>
        <v>9.2592592592592587E-3</v>
      </c>
      <c r="X4" s="10">
        <v>1</v>
      </c>
      <c r="Y4" s="43">
        <f t="shared" si="3"/>
        <v>0.5</v>
      </c>
      <c r="Z4" s="10"/>
      <c r="AA4" s="10" t="s">
        <v>29</v>
      </c>
    </row>
    <row r="5" spans="1:27" ht="40" customHeight="1" x14ac:dyDescent="0.2">
      <c r="A5" s="10">
        <v>1</v>
      </c>
      <c r="B5" s="10" t="s">
        <v>745</v>
      </c>
      <c r="E5" s="10" t="s">
        <v>50</v>
      </c>
      <c r="F5" s="10"/>
      <c r="G5" s="10" t="s">
        <v>58</v>
      </c>
      <c r="I5" s="10" t="s">
        <v>389</v>
      </c>
      <c r="J5" s="10" t="s">
        <v>48</v>
      </c>
      <c r="K5" s="10"/>
      <c r="M5" s="10">
        <v>1</v>
      </c>
      <c r="N5" s="10">
        <v>1</v>
      </c>
      <c r="O5" s="10">
        <v>4</v>
      </c>
      <c r="P5" s="43">
        <v>240</v>
      </c>
      <c r="Q5" s="43">
        <f t="shared" si="0"/>
        <v>216</v>
      </c>
      <c r="R5" s="43">
        <f t="shared" si="1"/>
        <v>54</v>
      </c>
      <c r="S5" s="10" t="s">
        <v>67</v>
      </c>
      <c r="T5" s="43">
        <v>450</v>
      </c>
      <c r="U5" s="43">
        <f>12.51*T5</f>
        <v>5629.5</v>
      </c>
      <c r="V5" s="10" t="s">
        <v>244</v>
      </c>
      <c r="W5" s="43">
        <f t="shared" si="2"/>
        <v>26.0625</v>
      </c>
      <c r="X5" s="10">
        <v>1</v>
      </c>
      <c r="Y5" s="43">
        <f t="shared" si="3"/>
        <v>1407.375</v>
      </c>
      <c r="Z5" s="10"/>
    </row>
    <row r="6" spans="1:27" ht="40" customHeight="1" x14ac:dyDescent="0.2">
      <c r="A6" s="10">
        <v>1</v>
      </c>
      <c r="B6" s="10" t="s">
        <v>745</v>
      </c>
      <c r="C6" s="10" t="s">
        <v>28</v>
      </c>
      <c r="E6" s="10" t="s">
        <v>50</v>
      </c>
      <c r="F6" s="10"/>
      <c r="G6" s="10" t="s">
        <v>58</v>
      </c>
      <c r="H6" s="10" t="s">
        <v>28</v>
      </c>
      <c r="I6" s="10" t="s">
        <v>389</v>
      </c>
      <c r="J6" s="10" t="s">
        <v>47</v>
      </c>
      <c r="K6" s="10" t="s">
        <v>46</v>
      </c>
      <c r="L6" s="10" t="s">
        <v>28</v>
      </c>
      <c r="M6" s="10">
        <v>1</v>
      </c>
      <c r="N6" s="10">
        <v>1</v>
      </c>
      <c r="O6" s="10">
        <v>3</v>
      </c>
      <c r="P6" s="43">
        <v>180</v>
      </c>
      <c r="Q6" s="43">
        <f t="shared" si="0"/>
        <v>162</v>
      </c>
      <c r="R6" s="43">
        <f t="shared" si="1"/>
        <v>54</v>
      </c>
      <c r="S6" s="10" t="s">
        <v>30</v>
      </c>
      <c r="U6" s="43">
        <f>(0.005+0.046+0.397+6.868+0.065)*1000</f>
        <v>7381.0000000000009</v>
      </c>
      <c r="V6" s="10" t="s">
        <v>244</v>
      </c>
      <c r="W6" s="43">
        <f t="shared" si="2"/>
        <v>45.561728395061735</v>
      </c>
      <c r="X6" s="10">
        <v>1</v>
      </c>
      <c r="Y6" s="43">
        <f t="shared" si="3"/>
        <v>2460.3333333333335</v>
      </c>
      <c r="Z6" s="10"/>
    </row>
    <row r="7" spans="1:27" ht="40" customHeight="1" x14ac:dyDescent="0.2">
      <c r="A7" s="10">
        <v>1</v>
      </c>
      <c r="B7" s="10" t="s">
        <v>745</v>
      </c>
      <c r="C7" s="10" t="s">
        <v>28</v>
      </c>
      <c r="E7" s="10" t="s">
        <v>50</v>
      </c>
      <c r="F7" s="10"/>
      <c r="G7" s="10" t="s">
        <v>58</v>
      </c>
      <c r="H7" s="10" t="s">
        <v>28</v>
      </c>
      <c r="I7" s="10" t="s">
        <v>389</v>
      </c>
      <c r="J7" s="10" t="s">
        <v>47</v>
      </c>
      <c r="K7" s="10" t="s">
        <v>28</v>
      </c>
      <c r="L7" s="10" t="s">
        <v>28</v>
      </c>
      <c r="M7" s="10">
        <v>1</v>
      </c>
      <c r="N7" s="10">
        <v>1</v>
      </c>
      <c r="O7" s="10">
        <v>3</v>
      </c>
      <c r="P7" s="43">
        <v>180</v>
      </c>
      <c r="Q7" s="43">
        <f t="shared" si="0"/>
        <v>162</v>
      </c>
      <c r="R7" s="43">
        <f t="shared" si="1"/>
        <v>54</v>
      </c>
      <c r="S7" s="10" t="s">
        <v>65</v>
      </c>
      <c r="T7" s="43">
        <v>2320</v>
      </c>
      <c r="U7" s="43">
        <f>71.28*T7</f>
        <v>165369.60000000001</v>
      </c>
      <c r="V7" s="10" t="s">
        <v>244</v>
      </c>
      <c r="W7" s="43">
        <f t="shared" si="2"/>
        <v>1020.8000000000001</v>
      </c>
      <c r="X7" s="10">
        <v>1</v>
      </c>
      <c r="Y7" s="43">
        <f t="shared" si="3"/>
        <v>55123.200000000004</v>
      </c>
      <c r="Z7" s="10"/>
      <c r="AA7" s="10" t="s">
        <v>43</v>
      </c>
    </row>
    <row r="8" spans="1:27" ht="40" customHeight="1" x14ac:dyDescent="0.2">
      <c r="A8" s="10">
        <v>1</v>
      </c>
      <c r="B8" s="10" t="s">
        <v>745</v>
      </c>
      <c r="C8" s="10" t="s">
        <v>28</v>
      </c>
      <c r="E8" s="10" t="s">
        <v>50</v>
      </c>
      <c r="F8" s="10"/>
      <c r="G8" s="10" t="s">
        <v>58</v>
      </c>
      <c r="H8" s="10" t="s">
        <v>28</v>
      </c>
      <c r="I8" s="10" t="s">
        <v>389</v>
      </c>
      <c r="J8" s="10" t="s">
        <v>47</v>
      </c>
      <c r="K8" s="10" t="s">
        <v>28</v>
      </c>
      <c r="L8" s="10" t="s">
        <v>28</v>
      </c>
      <c r="M8" s="10">
        <v>1</v>
      </c>
      <c r="N8" s="10">
        <v>1</v>
      </c>
      <c r="O8" s="10">
        <v>3</v>
      </c>
      <c r="P8" s="43">
        <v>180</v>
      </c>
      <c r="Q8" s="43">
        <f t="shared" si="0"/>
        <v>162</v>
      </c>
      <c r="R8" s="43">
        <f t="shared" si="1"/>
        <v>54</v>
      </c>
      <c r="S8" s="10" t="s">
        <v>412</v>
      </c>
      <c r="U8" s="43">
        <f>0.001*1000</f>
        <v>1</v>
      </c>
      <c r="V8" s="10" t="s">
        <v>244</v>
      </c>
      <c r="W8" s="43">
        <f t="shared" si="2"/>
        <v>6.1728395061728392E-3</v>
      </c>
      <c r="X8" s="10">
        <v>1</v>
      </c>
      <c r="Y8" s="43">
        <f t="shared" si="3"/>
        <v>0.33333333333333331</v>
      </c>
      <c r="Z8" s="10"/>
      <c r="AA8" s="10" t="s">
        <v>29</v>
      </c>
    </row>
    <row r="9" spans="1:27" ht="40" customHeight="1" x14ac:dyDescent="0.2">
      <c r="A9" s="10">
        <v>1</v>
      </c>
      <c r="B9" s="10" t="s">
        <v>745</v>
      </c>
      <c r="E9" s="10" t="s">
        <v>50</v>
      </c>
      <c r="F9" s="10"/>
      <c r="G9" s="10" t="s">
        <v>58</v>
      </c>
      <c r="I9" s="10" t="s">
        <v>389</v>
      </c>
      <c r="J9" s="10" t="s">
        <v>47</v>
      </c>
      <c r="K9" s="10"/>
      <c r="M9" s="10">
        <v>1</v>
      </c>
      <c r="N9" s="10">
        <v>1</v>
      </c>
      <c r="O9" s="10">
        <v>3</v>
      </c>
      <c r="P9" s="43">
        <v>180</v>
      </c>
      <c r="Q9" s="43">
        <f t="shared" si="0"/>
        <v>162</v>
      </c>
      <c r="R9" s="43">
        <f t="shared" si="1"/>
        <v>54</v>
      </c>
      <c r="S9" s="10" t="s">
        <v>67</v>
      </c>
      <c r="T9" s="43">
        <v>450</v>
      </c>
      <c r="U9" s="43">
        <f>(1.329+10.208)*T9</f>
        <v>5191.6500000000005</v>
      </c>
      <c r="V9" s="10" t="s">
        <v>244</v>
      </c>
      <c r="W9" s="43">
        <f t="shared" si="2"/>
        <v>32.047222222222224</v>
      </c>
      <c r="X9" s="10">
        <v>1</v>
      </c>
      <c r="Y9" s="43">
        <f t="shared" si="3"/>
        <v>1730.5500000000002</v>
      </c>
      <c r="Z9" s="10"/>
      <c r="AA9" s="10" t="s">
        <v>417</v>
      </c>
    </row>
    <row r="10" spans="1:27" ht="40" customHeight="1" x14ac:dyDescent="0.2">
      <c r="A10" s="10">
        <v>1</v>
      </c>
      <c r="B10" s="10" t="s">
        <v>745</v>
      </c>
      <c r="C10" s="10" t="s">
        <v>28</v>
      </c>
      <c r="E10" s="10" t="s">
        <v>38</v>
      </c>
      <c r="F10" s="10" t="s">
        <v>35</v>
      </c>
      <c r="G10" s="10" t="s">
        <v>58</v>
      </c>
      <c r="H10" s="10" t="s">
        <v>28</v>
      </c>
      <c r="I10" s="10" t="s">
        <v>432</v>
      </c>
      <c r="J10" s="10" t="s">
        <v>44</v>
      </c>
      <c r="K10" s="10" t="s">
        <v>45</v>
      </c>
      <c r="L10" s="10" t="s">
        <v>28</v>
      </c>
      <c r="M10" s="10">
        <v>1</v>
      </c>
      <c r="N10" s="10">
        <v>1</v>
      </c>
      <c r="O10" s="10">
        <v>3</v>
      </c>
      <c r="P10" s="43">
        <v>168</v>
      </c>
      <c r="Q10" s="43">
        <f t="shared" si="0"/>
        <v>151.20000000000002</v>
      </c>
      <c r="R10" s="43">
        <f t="shared" si="1"/>
        <v>50.400000000000006</v>
      </c>
      <c r="S10" s="10" t="s">
        <v>30</v>
      </c>
      <c r="U10" s="43">
        <f>(0.04+0.043+0.24+5.594+0.065)*1000</f>
        <v>5982</v>
      </c>
      <c r="V10" s="10" t="s">
        <v>244</v>
      </c>
      <c r="W10" s="43">
        <f t="shared" si="2"/>
        <v>39.563492063492056</v>
      </c>
      <c r="X10" s="10">
        <v>2</v>
      </c>
      <c r="Y10" s="43">
        <f t="shared" si="3"/>
        <v>1994</v>
      </c>
      <c r="Z10" s="10"/>
      <c r="AA10" s="10" t="s">
        <v>51</v>
      </c>
    </row>
    <row r="11" spans="1:27" ht="40" customHeight="1" x14ac:dyDescent="0.2">
      <c r="A11" s="10">
        <v>1</v>
      </c>
      <c r="B11" s="10" t="s">
        <v>745</v>
      </c>
      <c r="C11" s="10" t="s">
        <v>28</v>
      </c>
      <c r="E11" s="10" t="s">
        <v>38</v>
      </c>
      <c r="F11" s="10"/>
      <c r="G11" s="10" t="s">
        <v>58</v>
      </c>
      <c r="H11" s="10" t="s">
        <v>28</v>
      </c>
      <c r="I11" s="10" t="s">
        <v>432</v>
      </c>
      <c r="J11" s="10" t="s">
        <v>44</v>
      </c>
      <c r="K11" s="10" t="s">
        <v>28</v>
      </c>
      <c r="L11" s="10" t="s">
        <v>28</v>
      </c>
      <c r="M11" s="10">
        <v>1</v>
      </c>
      <c r="N11" s="10">
        <v>1</v>
      </c>
      <c r="O11" s="10">
        <v>3</v>
      </c>
      <c r="P11" s="43">
        <v>168</v>
      </c>
      <c r="Q11" s="43">
        <f t="shared" si="0"/>
        <v>151.20000000000002</v>
      </c>
      <c r="R11" s="43">
        <f t="shared" si="1"/>
        <v>50.400000000000006</v>
      </c>
      <c r="S11" s="10" t="s">
        <v>65</v>
      </c>
      <c r="T11" s="43">
        <v>2320</v>
      </c>
      <c r="U11" s="43">
        <f>58.08*T11</f>
        <v>134745.60000000001</v>
      </c>
      <c r="V11" s="10" t="s">
        <v>244</v>
      </c>
      <c r="W11" s="43">
        <f t="shared" si="2"/>
        <v>891.17460317460313</v>
      </c>
      <c r="X11" s="10">
        <v>2</v>
      </c>
      <c r="Y11" s="43">
        <f t="shared" si="3"/>
        <v>44915.200000000004</v>
      </c>
      <c r="Z11" s="10"/>
      <c r="AA11" s="10" t="s">
        <v>43</v>
      </c>
    </row>
    <row r="12" spans="1:27" ht="40" customHeight="1" x14ac:dyDescent="0.2">
      <c r="A12" s="10">
        <v>1</v>
      </c>
      <c r="B12" s="10" t="s">
        <v>745</v>
      </c>
      <c r="C12" s="10" t="s">
        <v>28</v>
      </c>
      <c r="E12" s="10" t="s">
        <v>38</v>
      </c>
      <c r="F12" s="10"/>
      <c r="G12" s="10" t="s">
        <v>58</v>
      </c>
      <c r="H12" s="10" t="s">
        <v>28</v>
      </c>
      <c r="I12" s="10" t="s">
        <v>432</v>
      </c>
      <c r="J12" s="10" t="s">
        <v>44</v>
      </c>
      <c r="K12" s="10" t="s">
        <v>28</v>
      </c>
      <c r="L12" s="10" t="s">
        <v>28</v>
      </c>
      <c r="M12" s="10">
        <v>1</v>
      </c>
      <c r="N12" s="10">
        <v>1</v>
      </c>
      <c r="O12" s="10">
        <v>3</v>
      </c>
      <c r="P12" s="43">
        <v>168</v>
      </c>
      <c r="Q12" s="43">
        <f t="shared" si="0"/>
        <v>151.20000000000002</v>
      </c>
      <c r="R12" s="43">
        <f t="shared" si="1"/>
        <v>50.400000000000006</v>
      </c>
      <c r="S12" s="10" t="s">
        <v>412</v>
      </c>
      <c r="U12" s="43">
        <f>0.001*1000</f>
        <v>1</v>
      </c>
      <c r="V12" s="10" t="s">
        <v>244</v>
      </c>
      <c r="W12" s="43">
        <f t="shared" si="2"/>
        <v>6.6137566137566134E-3</v>
      </c>
      <c r="X12" s="10">
        <v>2</v>
      </c>
      <c r="Y12" s="43">
        <f t="shared" si="3"/>
        <v>0.33333333333333331</v>
      </c>
      <c r="Z12" s="10"/>
      <c r="AA12" s="10" t="s">
        <v>29</v>
      </c>
    </row>
    <row r="13" spans="1:27" ht="40" customHeight="1" x14ac:dyDescent="0.2">
      <c r="A13" s="10">
        <v>1</v>
      </c>
      <c r="B13" s="10" t="s">
        <v>745</v>
      </c>
      <c r="C13" s="10" t="s">
        <v>28</v>
      </c>
      <c r="E13" s="10" t="s">
        <v>38</v>
      </c>
      <c r="F13" s="10"/>
      <c r="G13" s="10" t="s">
        <v>58</v>
      </c>
      <c r="H13" s="10" t="s">
        <v>28</v>
      </c>
      <c r="I13" s="10" t="s">
        <v>432</v>
      </c>
      <c r="J13" s="10" t="s">
        <v>44</v>
      </c>
      <c r="K13" s="10" t="s">
        <v>28</v>
      </c>
      <c r="L13" s="10" t="s">
        <v>28</v>
      </c>
      <c r="M13" s="10">
        <v>1</v>
      </c>
      <c r="N13" s="10">
        <v>1</v>
      </c>
      <c r="O13" s="10">
        <v>3</v>
      </c>
      <c r="P13" s="43">
        <v>168</v>
      </c>
      <c r="Q13" s="43">
        <f t="shared" si="0"/>
        <v>151.20000000000002</v>
      </c>
      <c r="R13" s="43">
        <f t="shared" si="1"/>
        <v>50.400000000000006</v>
      </c>
      <c r="S13" s="10" t="s">
        <v>67</v>
      </c>
      <c r="T13" s="43">
        <v>450</v>
      </c>
      <c r="U13" s="43">
        <f>(1.223+8.769)*T13</f>
        <v>4496.4000000000005</v>
      </c>
      <c r="V13" s="10" t="s">
        <v>244</v>
      </c>
      <c r="W13" s="43">
        <f t="shared" si="2"/>
        <v>29.738095238095237</v>
      </c>
      <c r="X13" s="10">
        <v>2</v>
      </c>
      <c r="Y13" s="43">
        <f t="shared" si="3"/>
        <v>1498.8000000000002</v>
      </c>
      <c r="Z13" s="10"/>
      <c r="AA13" s="10" t="s">
        <v>417</v>
      </c>
    </row>
    <row r="14" spans="1:27" ht="40" customHeight="1" x14ac:dyDescent="0.2">
      <c r="A14" s="10">
        <v>1</v>
      </c>
      <c r="B14" s="10" t="s">
        <v>745</v>
      </c>
      <c r="E14" s="10" t="s">
        <v>38</v>
      </c>
      <c r="F14" s="10"/>
      <c r="G14" s="10" t="s">
        <v>58</v>
      </c>
      <c r="I14" s="10" t="s">
        <v>432</v>
      </c>
      <c r="J14" s="10" t="s">
        <v>44</v>
      </c>
      <c r="K14" s="10"/>
      <c r="M14" s="10">
        <v>1</v>
      </c>
      <c r="N14" s="10">
        <v>1</v>
      </c>
      <c r="O14" s="10">
        <v>3</v>
      </c>
      <c r="P14" s="43">
        <v>168</v>
      </c>
      <c r="Q14" s="43">
        <f t="shared" si="0"/>
        <v>151.20000000000002</v>
      </c>
      <c r="R14" s="43">
        <f t="shared" si="1"/>
        <v>50.400000000000006</v>
      </c>
      <c r="S14" s="10" t="s">
        <v>67</v>
      </c>
      <c r="T14" s="43">
        <v>450</v>
      </c>
      <c r="U14" s="43">
        <f>8.769*T14</f>
        <v>3946.05</v>
      </c>
      <c r="V14" s="10" t="s">
        <v>244</v>
      </c>
      <c r="W14" s="43">
        <f t="shared" si="2"/>
        <v>26.098214285714285</v>
      </c>
      <c r="X14" s="10">
        <v>2</v>
      </c>
      <c r="Y14" s="43">
        <f t="shared" si="3"/>
        <v>1315.3500000000001</v>
      </c>
      <c r="Z14" s="10"/>
    </row>
    <row r="15" spans="1:27" ht="40" customHeight="1" x14ac:dyDescent="0.2">
      <c r="A15" s="10">
        <v>1</v>
      </c>
      <c r="B15" s="10" t="s">
        <v>745</v>
      </c>
      <c r="C15" s="10" t="s">
        <v>28</v>
      </c>
      <c r="E15" s="10" t="s">
        <v>38</v>
      </c>
      <c r="F15" s="10" t="s">
        <v>35</v>
      </c>
      <c r="G15" s="10" t="s">
        <v>58</v>
      </c>
      <c r="H15" s="10" t="s">
        <v>28</v>
      </c>
      <c r="I15" s="10" t="s">
        <v>432</v>
      </c>
      <c r="J15" s="10" t="s">
        <v>41</v>
      </c>
      <c r="K15" s="10" t="s">
        <v>42</v>
      </c>
      <c r="L15" s="10" t="s">
        <v>28</v>
      </c>
      <c r="M15" s="10">
        <v>2</v>
      </c>
      <c r="N15" s="10">
        <v>1</v>
      </c>
      <c r="O15" s="10">
        <v>3</v>
      </c>
      <c r="P15" s="43">
        <v>168</v>
      </c>
      <c r="Q15" s="43">
        <f t="shared" si="0"/>
        <v>151.20000000000002</v>
      </c>
      <c r="R15" s="43">
        <f t="shared" si="1"/>
        <v>50.400000000000006</v>
      </c>
      <c r="S15" s="10" t="s">
        <v>30</v>
      </c>
      <c r="U15" s="43">
        <f>(0.004+0.021+0.24+4.443+0.065)*1000</f>
        <v>4773</v>
      </c>
      <c r="V15" s="10" t="s">
        <v>244</v>
      </c>
      <c r="W15" s="43">
        <f t="shared" si="2"/>
        <v>31.567460317460313</v>
      </c>
      <c r="X15" s="10">
        <v>2</v>
      </c>
      <c r="Y15" s="43">
        <f t="shared" si="3"/>
        <v>1591</v>
      </c>
      <c r="Z15" s="10"/>
    </row>
    <row r="16" spans="1:27" ht="40" customHeight="1" x14ac:dyDescent="0.2">
      <c r="A16" s="10">
        <v>1</v>
      </c>
      <c r="B16" s="10" t="s">
        <v>745</v>
      </c>
      <c r="C16" s="10" t="s">
        <v>28</v>
      </c>
      <c r="E16" s="10" t="s">
        <v>38</v>
      </c>
      <c r="F16" s="10"/>
      <c r="G16" s="10" t="s">
        <v>58</v>
      </c>
      <c r="H16" s="10" t="s">
        <v>28</v>
      </c>
      <c r="I16" s="10" t="s">
        <v>432</v>
      </c>
      <c r="J16" s="10" t="s">
        <v>41</v>
      </c>
      <c r="K16" s="10" t="s">
        <v>28</v>
      </c>
      <c r="L16" s="10" t="s">
        <v>28</v>
      </c>
      <c r="M16" s="10">
        <v>2</v>
      </c>
      <c r="N16" s="10">
        <v>1</v>
      </c>
      <c r="O16" s="10">
        <v>3</v>
      </c>
      <c r="P16" s="43">
        <v>168</v>
      </c>
      <c r="Q16" s="43">
        <f t="shared" si="0"/>
        <v>151.20000000000002</v>
      </c>
      <c r="R16" s="43">
        <f t="shared" si="1"/>
        <v>50.400000000000006</v>
      </c>
      <c r="S16" s="10" t="s">
        <v>65</v>
      </c>
      <c r="T16" s="43">
        <v>2320</v>
      </c>
      <c r="U16" s="43">
        <f>45.936*T16</f>
        <v>106571.52</v>
      </c>
      <c r="V16" s="10" t="s">
        <v>244</v>
      </c>
      <c r="W16" s="43">
        <f t="shared" si="2"/>
        <v>704.83809523809521</v>
      </c>
      <c r="X16" s="10">
        <v>2</v>
      </c>
      <c r="Y16" s="43">
        <f t="shared" si="3"/>
        <v>35523.840000000004</v>
      </c>
      <c r="Z16" s="10"/>
      <c r="AA16" s="10" t="s">
        <v>43</v>
      </c>
    </row>
    <row r="17" spans="1:27" ht="40" customHeight="1" x14ac:dyDescent="0.2">
      <c r="A17" s="10">
        <v>1</v>
      </c>
      <c r="B17" s="10" t="s">
        <v>745</v>
      </c>
      <c r="E17" s="10" t="s">
        <v>38</v>
      </c>
      <c r="F17" s="10"/>
      <c r="G17" s="10" t="s">
        <v>58</v>
      </c>
      <c r="H17" s="10" t="s">
        <v>28</v>
      </c>
      <c r="I17" s="10" t="s">
        <v>432</v>
      </c>
      <c r="J17" s="10" t="s">
        <v>41</v>
      </c>
      <c r="K17" s="10" t="s">
        <v>28</v>
      </c>
      <c r="L17" s="10" t="s">
        <v>28</v>
      </c>
      <c r="M17" s="10">
        <v>2</v>
      </c>
      <c r="N17" s="10">
        <v>1</v>
      </c>
      <c r="O17" s="10">
        <v>3</v>
      </c>
      <c r="P17" s="43">
        <v>168</v>
      </c>
      <c r="Q17" s="43">
        <f t="shared" si="0"/>
        <v>151.20000000000002</v>
      </c>
      <c r="R17" s="43">
        <f t="shared" si="1"/>
        <v>50.400000000000006</v>
      </c>
      <c r="S17" s="10" t="s">
        <v>412</v>
      </c>
      <c r="U17" s="43">
        <f>0.001*1000</f>
        <v>1</v>
      </c>
      <c r="V17" s="10" t="s">
        <v>244</v>
      </c>
      <c r="W17" s="43">
        <f t="shared" ref="W17:W45" si="4">U17/Q17</f>
        <v>6.6137566137566134E-3</v>
      </c>
      <c r="X17" s="10">
        <v>2</v>
      </c>
      <c r="Y17" s="43">
        <f t="shared" si="3"/>
        <v>0.33333333333333331</v>
      </c>
      <c r="Z17" s="10"/>
      <c r="AA17" s="10" t="s">
        <v>29</v>
      </c>
    </row>
    <row r="18" spans="1:27" ht="40" customHeight="1" x14ac:dyDescent="0.2">
      <c r="A18" s="10">
        <v>1</v>
      </c>
      <c r="B18" s="10" t="s">
        <v>745</v>
      </c>
      <c r="E18" s="10" t="s">
        <v>38</v>
      </c>
      <c r="F18" s="10"/>
      <c r="G18" s="10" t="s">
        <v>58</v>
      </c>
      <c r="H18" s="10" t="s">
        <v>28</v>
      </c>
      <c r="I18" s="10" t="s">
        <v>432</v>
      </c>
      <c r="J18" s="10" t="s">
        <v>41</v>
      </c>
      <c r="K18" s="10" t="s">
        <v>28</v>
      </c>
      <c r="L18" s="10" t="s">
        <v>28</v>
      </c>
      <c r="M18" s="10">
        <v>2</v>
      </c>
      <c r="N18" s="10">
        <v>1</v>
      </c>
      <c r="O18" s="10">
        <v>3</v>
      </c>
      <c r="P18" s="43">
        <v>168</v>
      </c>
      <c r="Q18" s="43">
        <f t="shared" ref="Q18:Q26" si="5">P18*0.9</f>
        <v>151.20000000000002</v>
      </c>
      <c r="R18" s="43">
        <f t="shared" ref="R18:R31" si="6">Q18/O18</f>
        <v>50.400000000000006</v>
      </c>
      <c r="S18" s="10" t="s">
        <v>5</v>
      </c>
      <c r="T18" s="43">
        <v>450</v>
      </c>
      <c r="U18" s="43">
        <f>(1.223+1.59+8.36)*T18</f>
        <v>5027.8500000000004</v>
      </c>
      <c r="V18" s="10" t="s">
        <v>244</v>
      </c>
      <c r="W18" s="43">
        <f t="shared" si="4"/>
        <v>33.25297619047619</v>
      </c>
      <c r="X18" s="10">
        <v>2</v>
      </c>
      <c r="Y18" s="43">
        <f t="shared" si="3"/>
        <v>1675.95</v>
      </c>
      <c r="Z18" s="10"/>
      <c r="AA18" s="10" t="s">
        <v>418</v>
      </c>
    </row>
    <row r="19" spans="1:27" ht="40" customHeight="1" x14ac:dyDescent="0.2">
      <c r="A19" s="10">
        <v>1</v>
      </c>
      <c r="B19" s="10" t="s">
        <v>745</v>
      </c>
      <c r="E19" s="10" t="s">
        <v>38</v>
      </c>
      <c r="F19" s="10" t="s">
        <v>35</v>
      </c>
      <c r="G19" s="10" t="s">
        <v>58</v>
      </c>
      <c r="H19" s="10" t="s">
        <v>28</v>
      </c>
      <c r="I19" s="10" t="s">
        <v>432</v>
      </c>
      <c r="J19" s="10" t="s">
        <v>39</v>
      </c>
      <c r="K19" s="10" t="s">
        <v>40</v>
      </c>
      <c r="L19" s="10" t="s">
        <v>28</v>
      </c>
      <c r="M19" s="10">
        <v>1</v>
      </c>
      <c r="N19" s="10">
        <v>1</v>
      </c>
      <c r="O19" s="10">
        <v>4</v>
      </c>
      <c r="P19" s="43">
        <v>216</v>
      </c>
      <c r="Q19" s="43">
        <f t="shared" si="5"/>
        <v>194.4</v>
      </c>
      <c r="R19" s="43">
        <f t="shared" si="6"/>
        <v>48.6</v>
      </c>
      <c r="S19" s="10" t="s">
        <v>30</v>
      </c>
      <c r="U19" s="43">
        <f>(0.005+0.005+0.379+7.175+0.065)*1000</f>
        <v>7629</v>
      </c>
      <c r="V19" s="10" t="s">
        <v>244</v>
      </c>
      <c r="W19" s="43">
        <f t="shared" si="4"/>
        <v>39.243827160493829</v>
      </c>
      <c r="X19" s="10">
        <v>2</v>
      </c>
      <c r="Y19" s="43">
        <f t="shared" si="3"/>
        <v>1907.25</v>
      </c>
      <c r="Z19" s="10"/>
    </row>
    <row r="20" spans="1:27" ht="40" customHeight="1" x14ac:dyDescent="0.2">
      <c r="A20" s="10">
        <v>1</v>
      </c>
      <c r="B20" s="10" t="s">
        <v>745</v>
      </c>
      <c r="E20" s="10" t="s">
        <v>38</v>
      </c>
      <c r="F20" s="10"/>
      <c r="G20" s="10" t="s">
        <v>58</v>
      </c>
      <c r="H20" s="10" t="s">
        <v>28</v>
      </c>
      <c r="I20" s="10" t="s">
        <v>432</v>
      </c>
      <c r="J20" s="10" t="s">
        <v>39</v>
      </c>
      <c r="K20" s="10" t="s">
        <v>28</v>
      </c>
      <c r="L20" s="10" t="s">
        <v>28</v>
      </c>
      <c r="M20" s="10">
        <v>1</v>
      </c>
      <c r="N20" s="10">
        <v>1</v>
      </c>
      <c r="O20" s="10">
        <v>4</v>
      </c>
      <c r="P20" s="43">
        <v>216</v>
      </c>
      <c r="Q20" s="43">
        <f t="shared" si="5"/>
        <v>194.4</v>
      </c>
      <c r="R20" s="43">
        <f t="shared" si="6"/>
        <v>48.6</v>
      </c>
      <c r="S20" s="10" t="s">
        <v>65</v>
      </c>
      <c r="T20" s="43">
        <v>2320</v>
      </c>
      <c r="U20" s="43">
        <f>74.448*T20</f>
        <v>172719.35999999999</v>
      </c>
      <c r="V20" s="10" t="s">
        <v>244</v>
      </c>
      <c r="W20" s="43">
        <f t="shared" si="4"/>
        <v>888.474074074074</v>
      </c>
      <c r="X20" s="10">
        <v>2</v>
      </c>
      <c r="Y20" s="43">
        <f t="shared" si="3"/>
        <v>43179.839999999997</v>
      </c>
      <c r="Z20" s="10"/>
      <c r="AA20" s="10" t="s">
        <v>43</v>
      </c>
    </row>
    <row r="21" spans="1:27" ht="40" customHeight="1" x14ac:dyDescent="0.2">
      <c r="A21" s="10">
        <v>1</v>
      </c>
      <c r="B21" s="10" t="s">
        <v>745</v>
      </c>
      <c r="E21" s="10" t="s">
        <v>38</v>
      </c>
      <c r="F21" s="10"/>
      <c r="G21" s="10" t="s">
        <v>58</v>
      </c>
      <c r="H21" s="10" t="s">
        <v>28</v>
      </c>
      <c r="I21" s="10" t="s">
        <v>432</v>
      </c>
      <c r="J21" s="10" t="s">
        <v>39</v>
      </c>
      <c r="K21" s="10" t="s">
        <v>28</v>
      </c>
      <c r="L21" s="10" t="s">
        <v>28</v>
      </c>
      <c r="M21" s="10">
        <v>1</v>
      </c>
      <c r="N21" s="10">
        <v>1</v>
      </c>
      <c r="O21" s="10">
        <v>4</v>
      </c>
      <c r="P21" s="43">
        <v>216</v>
      </c>
      <c r="Q21" s="43">
        <f t="shared" si="5"/>
        <v>194.4</v>
      </c>
      <c r="R21" s="43">
        <f t="shared" si="6"/>
        <v>48.6</v>
      </c>
      <c r="S21" s="10" t="s">
        <v>412</v>
      </c>
      <c r="U21" s="43">
        <v>2</v>
      </c>
      <c r="V21" s="10" t="s">
        <v>244</v>
      </c>
      <c r="W21" s="43">
        <f t="shared" si="4"/>
        <v>1.0288065843621399E-2</v>
      </c>
      <c r="X21" s="10">
        <v>2</v>
      </c>
      <c r="Y21" s="43">
        <f t="shared" si="3"/>
        <v>0.5</v>
      </c>
      <c r="Z21" s="10"/>
      <c r="AA21" s="10" t="s">
        <v>29</v>
      </c>
    </row>
    <row r="22" spans="1:27" ht="40" customHeight="1" x14ac:dyDescent="0.2">
      <c r="A22" s="10">
        <v>1</v>
      </c>
      <c r="B22" s="10" t="s">
        <v>745</v>
      </c>
      <c r="E22" s="10" t="s">
        <v>38</v>
      </c>
      <c r="F22" s="10"/>
      <c r="G22" s="10" t="s">
        <v>58</v>
      </c>
      <c r="H22" s="10" t="s">
        <v>28</v>
      </c>
      <c r="I22" s="10" t="s">
        <v>432</v>
      </c>
      <c r="J22" s="10" t="s">
        <v>39</v>
      </c>
      <c r="K22" s="10" t="s">
        <v>28</v>
      </c>
      <c r="L22" s="10" t="s">
        <v>28</v>
      </c>
      <c r="M22" s="10">
        <v>1</v>
      </c>
      <c r="N22" s="10">
        <v>1</v>
      </c>
      <c r="O22" s="10">
        <v>4</v>
      </c>
      <c r="P22" s="43">
        <v>216</v>
      </c>
      <c r="Q22" s="43">
        <f t="shared" si="5"/>
        <v>194.4</v>
      </c>
      <c r="R22" s="43">
        <f t="shared" si="6"/>
        <v>48.6</v>
      </c>
      <c r="S22" s="10" t="s">
        <v>5</v>
      </c>
      <c r="T22" s="43">
        <v>450</v>
      </c>
      <c r="U22" s="43">
        <f>(1.582+11.24)*T22</f>
        <v>5769.9000000000005</v>
      </c>
      <c r="V22" s="10" t="s">
        <v>244</v>
      </c>
      <c r="W22" s="43">
        <f t="shared" si="4"/>
        <v>29.680555555555557</v>
      </c>
      <c r="X22" s="10">
        <v>2</v>
      </c>
      <c r="Y22" s="43">
        <f t="shared" si="3"/>
        <v>1442.4750000000001</v>
      </c>
      <c r="Z22" s="10"/>
      <c r="AA22" s="10" t="s">
        <v>417</v>
      </c>
    </row>
    <row r="23" spans="1:27" ht="40" customHeight="1" x14ac:dyDescent="0.2">
      <c r="A23" s="10">
        <v>1</v>
      </c>
      <c r="B23" s="10" t="s">
        <v>745</v>
      </c>
      <c r="E23" s="10" t="s">
        <v>38</v>
      </c>
      <c r="F23" s="10" t="s">
        <v>35</v>
      </c>
      <c r="G23" s="10" t="s">
        <v>58</v>
      </c>
      <c r="H23" s="10" t="s">
        <v>28</v>
      </c>
      <c r="I23" s="10" t="s">
        <v>432</v>
      </c>
      <c r="J23" s="10" t="s">
        <v>36</v>
      </c>
      <c r="K23" s="10" t="s">
        <v>28</v>
      </c>
      <c r="L23" s="10" t="s">
        <v>28</v>
      </c>
      <c r="M23" s="10">
        <v>1</v>
      </c>
      <c r="N23" s="10">
        <v>1</v>
      </c>
      <c r="O23" s="10">
        <v>4</v>
      </c>
      <c r="P23" s="43">
        <v>216</v>
      </c>
      <c r="Q23" s="43">
        <f t="shared" si="5"/>
        <v>194.4</v>
      </c>
      <c r="R23" s="43">
        <f t="shared" si="6"/>
        <v>48.6</v>
      </c>
      <c r="S23" s="10" t="s">
        <v>30</v>
      </c>
      <c r="U23" s="43">
        <f>(0.005+0.028+0.448+5.667+0.065)*1000</f>
        <v>6213</v>
      </c>
      <c r="V23" s="10" t="s">
        <v>244</v>
      </c>
      <c r="W23" s="43">
        <f t="shared" si="4"/>
        <v>31.959876543209877</v>
      </c>
      <c r="X23" s="10">
        <v>2</v>
      </c>
      <c r="Y23" s="43">
        <f t="shared" si="3"/>
        <v>1553.25</v>
      </c>
      <c r="Z23" s="10"/>
    </row>
    <row r="24" spans="1:27" ht="40" customHeight="1" x14ac:dyDescent="0.2">
      <c r="A24" s="10">
        <v>1</v>
      </c>
      <c r="B24" s="10" t="s">
        <v>745</v>
      </c>
      <c r="E24" s="10" t="s">
        <v>38</v>
      </c>
      <c r="F24" s="10"/>
      <c r="G24" s="10" t="s">
        <v>58</v>
      </c>
      <c r="H24" s="10" t="s">
        <v>28</v>
      </c>
      <c r="I24" s="10" t="s">
        <v>432</v>
      </c>
      <c r="J24" s="10" t="s">
        <v>36</v>
      </c>
      <c r="K24" s="10" t="s">
        <v>28</v>
      </c>
      <c r="L24" s="10" t="s">
        <v>28</v>
      </c>
      <c r="M24" s="10">
        <v>1</v>
      </c>
      <c r="N24" s="10">
        <v>1</v>
      </c>
      <c r="O24" s="10">
        <v>4</v>
      </c>
      <c r="P24" s="43">
        <v>216</v>
      </c>
      <c r="Q24" s="43">
        <f t="shared" si="5"/>
        <v>194.4</v>
      </c>
      <c r="R24" s="43">
        <f t="shared" si="6"/>
        <v>48.6</v>
      </c>
      <c r="S24" s="10" t="s">
        <v>65</v>
      </c>
      <c r="T24" s="43">
        <v>2320</v>
      </c>
      <c r="U24" s="43">
        <f>58.608*T24</f>
        <v>135970.56</v>
      </c>
      <c r="V24" s="10" t="s">
        <v>244</v>
      </c>
      <c r="W24" s="43">
        <f t="shared" si="4"/>
        <v>699.43703703703704</v>
      </c>
      <c r="X24" s="10">
        <v>2</v>
      </c>
      <c r="Y24" s="43">
        <f t="shared" si="3"/>
        <v>33992.639999999999</v>
      </c>
      <c r="Z24" s="10"/>
      <c r="AA24" s="10" t="s">
        <v>43</v>
      </c>
    </row>
    <row r="25" spans="1:27" ht="40" customHeight="1" x14ac:dyDescent="0.2">
      <c r="A25" s="10">
        <v>1</v>
      </c>
      <c r="B25" s="10" t="s">
        <v>745</v>
      </c>
      <c r="E25" s="10" t="s">
        <v>38</v>
      </c>
      <c r="F25" s="10"/>
      <c r="G25" s="10" t="s">
        <v>58</v>
      </c>
      <c r="H25" s="10" t="s">
        <v>28</v>
      </c>
      <c r="I25" s="10" t="s">
        <v>432</v>
      </c>
      <c r="J25" s="10" t="s">
        <v>36</v>
      </c>
      <c r="K25" s="10" t="s">
        <v>28</v>
      </c>
      <c r="L25" s="10" t="s">
        <v>28</v>
      </c>
      <c r="M25" s="10">
        <v>1</v>
      </c>
      <c r="N25" s="10">
        <v>1</v>
      </c>
      <c r="O25" s="10">
        <v>4</v>
      </c>
      <c r="P25" s="43">
        <v>216</v>
      </c>
      <c r="Q25" s="43">
        <f t="shared" si="5"/>
        <v>194.4</v>
      </c>
      <c r="R25" s="43">
        <f t="shared" si="6"/>
        <v>48.6</v>
      </c>
      <c r="S25" s="10" t="s">
        <v>412</v>
      </c>
      <c r="U25" s="43">
        <f>1.566</f>
        <v>1.5660000000000001</v>
      </c>
      <c r="V25" s="10" t="s">
        <v>244</v>
      </c>
      <c r="W25" s="43">
        <f t="shared" si="4"/>
        <v>8.0555555555555554E-3</v>
      </c>
      <c r="X25" s="10">
        <v>2</v>
      </c>
      <c r="Y25" s="43">
        <f t="shared" si="3"/>
        <v>0.39150000000000001</v>
      </c>
      <c r="Z25" s="10"/>
      <c r="AA25" s="10" t="s">
        <v>29</v>
      </c>
    </row>
    <row r="26" spans="1:27" ht="40" customHeight="1" x14ac:dyDescent="0.2">
      <c r="A26" s="10">
        <v>1</v>
      </c>
      <c r="B26" s="10" t="s">
        <v>745</v>
      </c>
      <c r="E26" s="10" t="s">
        <v>38</v>
      </c>
      <c r="F26" s="10"/>
      <c r="G26" s="10" t="s">
        <v>58</v>
      </c>
      <c r="H26" s="10" t="s">
        <v>28</v>
      </c>
      <c r="I26" s="10" t="s">
        <v>432</v>
      </c>
      <c r="J26" s="10" t="s">
        <v>36</v>
      </c>
      <c r="K26" s="10" t="s">
        <v>28</v>
      </c>
      <c r="L26" s="10" t="s">
        <v>28</v>
      </c>
      <c r="M26" s="10">
        <v>1</v>
      </c>
      <c r="N26" s="10">
        <v>1</v>
      </c>
      <c r="O26" s="10">
        <v>4</v>
      </c>
      <c r="P26" s="43">
        <v>216</v>
      </c>
      <c r="Q26" s="43">
        <f t="shared" si="5"/>
        <v>194.4</v>
      </c>
      <c r="R26" s="43">
        <f t="shared" si="6"/>
        <v>48.6</v>
      </c>
      <c r="S26" s="10" t="s">
        <v>67</v>
      </c>
      <c r="T26" s="43">
        <v>450</v>
      </c>
      <c r="U26" s="43">
        <f>(1.582+2.041+10.48)*T26</f>
        <v>6346.35</v>
      </c>
      <c r="V26" s="10" t="s">
        <v>244</v>
      </c>
      <c r="W26" s="43">
        <f t="shared" si="4"/>
        <v>32.645833333333336</v>
      </c>
      <c r="X26" s="10">
        <v>2</v>
      </c>
      <c r="Y26" s="43">
        <f t="shared" si="3"/>
        <v>1586.5875000000001</v>
      </c>
      <c r="Z26" s="10"/>
      <c r="AA26" s="10" t="s">
        <v>417</v>
      </c>
    </row>
    <row r="27" spans="1:27" ht="40" customHeight="1" x14ac:dyDescent="0.2">
      <c r="A27" s="10">
        <v>1</v>
      </c>
      <c r="B27" s="10" t="s">
        <v>745</v>
      </c>
      <c r="E27" s="10" t="s">
        <v>38</v>
      </c>
      <c r="F27" s="10" t="s">
        <v>35</v>
      </c>
      <c r="G27" s="10" t="s">
        <v>58</v>
      </c>
      <c r="H27" s="10" t="s">
        <v>28</v>
      </c>
      <c r="I27" s="10" t="s">
        <v>439</v>
      </c>
      <c r="J27" s="10" t="s">
        <v>424</v>
      </c>
      <c r="K27" s="10" t="s">
        <v>34</v>
      </c>
      <c r="M27" s="10">
        <v>4</v>
      </c>
      <c r="N27" s="10" t="s">
        <v>33</v>
      </c>
      <c r="O27" s="10">
        <v>68</v>
      </c>
      <c r="P27" s="43" t="s">
        <v>31</v>
      </c>
      <c r="Q27" s="43">
        <v>2505.6</v>
      </c>
      <c r="R27" s="43">
        <f t="shared" si="6"/>
        <v>36.847058823529409</v>
      </c>
      <c r="S27" s="10" t="s">
        <v>30</v>
      </c>
      <c r="U27" s="43">
        <f>(0.069+0.103+72.386+45.26+4.692+1.298)*1000</f>
        <v>123808</v>
      </c>
      <c r="V27" s="10" t="s">
        <v>244</v>
      </c>
      <c r="W27" s="43">
        <f t="shared" si="4"/>
        <v>49.412515964240107</v>
      </c>
      <c r="X27" s="10">
        <v>3</v>
      </c>
      <c r="Y27" s="43">
        <f t="shared" si="3"/>
        <v>1820.7058823529412</v>
      </c>
      <c r="Z27" s="10"/>
      <c r="AA27" s="10" t="s">
        <v>32</v>
      </c>
    </row>
    <row r="28" spans="1:27" ht="40" customHeight="1" x14ac:dyDescent="0.2">
      <c r="A28" s="10">
        <v>1</v>
      </c>
      <c r="B28" s="10" t="s">
        <v>745</v>
      </c>
      <c r="E28" s="10" t="s">
        <v>38</v>
      </c>
      <c r="F28" s="10"/>
      <c r="G28" s="10" t="s">
        <v>58</v>
      </c>
      <c r="H28" s="10" t="s">
        <v>28</v>
      </c>
      <c r="I28" s="10" t="s">
        <v>439</v>
      </c>
      <c r="J28" s="10" t="s">
        <v>424</v>
      </c>
      <c r="K28" s="10" t="s">
        <v>28</v>
      </c>
      <c r="L28" s="10" t="s">
        <v>28</v>
      </c>
      <c r="M28" s="10">
        <v>4</v>
      </c>
      <c r="N28" s="10" t="s">
        <v>421</v>
      </c>
      <c r="O28" s="10">
        <v>68</v>
      </c>
      <c r="P28" s="43">
        <v>2784</v>
      </c>
      <c r="Q28" s="43">
        <v>2505.6</v>
      </c>
      <c r="R28" s="43">
        <f t="shared" si="6"/>
        <v>36.847058823529409</v>
      </c>
      <c r="S28" s="10" t="s">
        <v>65</v>
      </c>
      <c r="T28" s="43">
        <v>2320</v>
      </c>
      <c r="U28" s="43">
        <f>(61.248+612.48+9.048+74.578)*T28</f>
        <v>1757061.28</v>
      </c>
      <c r="V28" s="10" t="s">
        <v>1</v>
      </c>
      <c r="W28" s="43">
        <f t="shared" si="4"/>
        <v>701.25370370370376</v>
      </c>
      <c r="X28" s="10">
        <v>3</v>
      </c>
      <c r="Y28" s="43">
        <f t="shared" si="3"/>
        <v>25839.136470588237</v>
      </c>
      <c r="Z28" s="10"/>
      <c r="AA28" s="10" t="s">
        <v>420</v>
      </c>
    </row>
    <row r="29" spans="1:27" ht="40" customHeight="1" x14ac:dyDescent="0.2">
      <c r="A29" s="10">
        <v>1</v>
      </c>
      <c r="B29" s="10" t="s">
        <v>745</v>
      </c>
      <c r="E29" s="10" t="s">
        <v>38</v>
      </c>
      <c r="F29" s="10"/>
      <c r="G29" s="10" t="s">
        <v>58</v>
      </c>
      <c r="H29" s="10" t="s">
        <v>28</v>
      </c>
      <c r="I29" s="10" t="s">
        <v>439</v>
      </c>
      <c r="J29" s="10" t="s">
        <v>424</v>
      </c>
      <c r="K29" s="10" t="s">
        <v>28</v>
      </c>
      <c r="L29" s="10" t="s">
        <v>28</v>
      </c>
      <c r="M29" s="10">
        <v>4</v>
      </c>
      <c r="N29" s="10" t="s">
        <v>422</v>
      </c>
      <c r="O29" s="10">
        <v>68</v>
      </c>
      <c r="P29" s="43">
        <v>2784</v>
      </c>
      <c r="Q29" s="43">
        <v>2505.6</v>
      </c>
      <c r="R29" s="43">
        <f t="shared" si="6"/>
        <v>36.847058823529409</v>
      </c>
      <c r="S29" s="10" t="s">
        <v>412</v>
      </c>
      <c r="U29" s="43">
        <f>0.02*1000</f>
        <v>20</v>
      </c>
      <c r="V29" s="10" t="s">
        <v>244</v>
      </c>
      <c r="W29" s="43">
        <f t="shared" si="4"/>
        <v>7.9821200510855686E-3</v>
      </c>
      <c r="X29" s="10">
        <v>3</v>
      </c>
      <c r="Y29" s="43">
        <f t="shared" si="3"/>
        <v>0.29411764705882354</v>
      </c>
      <c r="Z29" s="10"/>
      <c r="AA29" s="10" t="s">
        <v>29</v>
      </c>
    </row>
    <row r="30" spans="1:27" ht="40" customHeight="1" x14ac:dyDescent="0.2">
      <c r="A30" s="10">
        <v>1</v>
      </c>
      <c r="B30" s="10" t="s">
        <v>745</v>
      </c>
      <c r="E30" s="10" t="s">
        <v>38</v>
      </c>
      <c r="F30" s="10"/>
      <c r="G30" s="10" t="s">
        <v>58</v>
      </c>
      <c r="H30" s="10" t="s">
        <v>28</v>
      </c>
      <c r="I30" s="10" t="s">
        <v>439</v>
      </c>
      <c r="J30" s="10" t="s">
        <v>424</v>
      </c>
      <c r="K30" s="10" t="s">
        <v>28</v>
      </c>
      <c r="L30" s="10" t="s">
        <v>28</v>
      </c>
      <c r="M30" s="10">
        <v>4</v>
      </c>
      <c r="N30" s="10" t="s">
        <v>423</v>
      </c>
      <c r="O30" s="10">
        <v>68</v>
      </c>
      <c r="P30" s="43">
        <v>2784</v>
      </c>
      <c r="Q30" s="43">
        <v>2505.6</v>
      </c>
      <c r="R30" s="43">
        <f t="shared" si="6"/>
        <v>36.847058823529409</v>
      </c>
      <c r="S30" s="10" t="s">
        <v>5</v>
      </c>
      <c r="T30" s="43">
        <v>450</v>
      </c>
      <c r="U30" s="43">
        <f>(20.165+2.69)*T30</f>
        <v>10284.75</v>
      </c>
      <c r="V30" s="10" t="s">
        <v>244</v>
      </c>
      <c r="W30" s="43">
        <f t="shared" si="4"/>
        <v>4.1047054597701154</v>
      </c>
      <c r="X30" s="10">
        <v>3</v>
      </c>
      <c r="Y30" s="43">
        <f>(U30*T30)/O30</f>
        <v>68060.845588235301</v>
      </c>
      <c r="Z30" s="10"/>
      <c r="AA30" s="10" t="s">
        <v>417</v>
      </c>
    </row>
    <row r="31" spans="1:27" ht="40" customHeight="1" x14ac:dyDescent="0.2">
      <c r="A31" s="10">
        <v>2</v>
      </c>
      <c r="B31" s="10" t="s">
        <v>729</v>
      </c>
      <c r="C31" s="10" t="s">
        <v>375</v>
      </c>
      <c r="D31" s="10" t="s">
        <v>843</v>
      </c>
      <c r="E31" s="10" t="s">
        <v>50</v>
      </c>
      <c r="F31" s="10"/>
      <c r="G31" s="10" t="s">
        <v>58</v>
      </c>
      <c r="H31" s="10" t="s">
        <v>28</v>
      </c>
      <c r="I31" s="10" t="s">
        <v>389</v>
      </c>
      <c r="J31" s="10" t="s">
        <v>373</v>
      </c>
      <c r="K31" s="10" t="s">
        <v>374</v>
      </c>
      <c r="M31" s="10">
        <v>1</v>
      </c>
      <c r="N31" s="10">
        <v>1</v>
      </c>
      <c r="O31" s="10">
        <v>4</v>
      </c>
      <c r="P31" s="43">
        <v>291.3</v>
      </c>
      <c r="Q31" s="43">
        <f>P31*0.9</f>
        <v>262.17</v>
      </c>
      <c r="R31" s="43">
        <f t="shared" si="6"/>
        <v>65.542500000000004</v>
      </c>
      <c r="S31" s="10" t="s">
        <v>65</v>
      </c>
      <c r="T31" s="43">
        <v>2320</v>
      </c>
      <c r="U31" s="43">
        <f>51.78*T31</f>
        <v>120129.60000000001</v>
      </c>
      <c r="V31" s="10" t="s">
        <v>244</v>
      </c>
      <c r="W31" s="43">
        <f t="shared" si="4"/>
        <v>458.21261013845975</v>
      </c>
      <c r="X31" s="10">
        <v>1</v>
      </c>
      <c r="Y31" s="43">
        <f>(U31*T31)/O31</f>
        <v>69675168</v>
      </c>
      <c r="Z31" s="10" t="s">
        <v>376</v>
      </c>
      <c r="AA31" s="10" t="s">
        <v>52</v>
      </c>
    </row>
    <row r="32" spans="1:27" ht="40" customHeight="1" x14ac:dyDescent="0.2">
      <c r="A32" s="10">
        <v>2</v>
      </c>
      <c r="B32" s="10" t="s">
        <v>728</v>
      </c>
      <c r="E32" s="10" t="s">
        <v>50</v>
      </c>
      <c r="F32" s="10"/>
      <c r="G32" s="10" t="s">
        <v>58</v>
      </c>
      <c r="I32" s="10" t="s">
        <v>389</v>
      </c>
      <c r="J32" s="10" t="s">
        <v>373</v>
      </c>
      <c r="K32" s="10"/>
      <c r="M32" s="10">
        <v>1</v>
      </c>
      <c r="N32" s="10">
        <v>1</v>
      </c>
      <c r="O32" s="10">
        <v>4</v>
      </c>
      <c r="P32" s="43">
        <v>291.3</v>
      </c>
      <c r="Q32" s="43">
        <f>P32*0.9</f>
        <v>262.17</v>
      </c>
      <c r="R32" s="43">
        <f>Q32/O32</f>
        <v>65.542500000000004</v>
      </c>
      <c r="S32" s="10" t="s">
        <v>30</v>
      </c>
      <c r="U32" s="43">
        <f>5.18*1000</f>
        <v>5180</v>
      </c>
      <c r="V32" s="10" t="s">
        <v>244</v>
      </c>
      <c r="W32" s="43">
        <f t="shared" si="4"/>
        <v>19.758172178357555</v>
      </c>
      <c r="X32" s="10">
        <v>1</v>
      </c>
      <c r="Y32" s="43">
        <f t="shared" ref="Y32:Y38" si="7">U32/O32</f>
        <v>1295</v>
      </c>
      <c r="Z32" s="10"/>
    </row>
    <row r="33" spans="1:27" ht="40" customHeight="1" x14ac:dyDescent="0.2">
      <c r="A33" s="10">
        <v>2</v>
      </c>
      <c r="B33" s="10" t="s">
        <v>728</v>
      </c>
      <c r="E33" s="10" t="s">
        <v>50</v>
      </c>
      <c r="F33" s="10"/>
      <c r="G33" s="10" t="s">
        <v>58</v>
      </c>
      <c r="I33" s="10" t="s">
        <v>389</v>
      </c>
      <c r="J33" s="10" t="s">
        <v>373</v>
      </c>
      <c r="K33" s="10"/>
      <c r="M33" s="10">
        <v>1</v>
      </c>
      <c r="N33" s="10">
        <v>1</v>
      </c>
      <c r="O33" s="10">
        <v>4</v>
      </c>
      <c r="P33" s="43">
        <v>291.3</v>
      </c>
      <c r="Q33" s="43">
        <f>P33*0.9</f>
        <v>262.17</v>
      </c>
      <c r="R33" s="43">
        <f>Q33/O33</f>
        <v>65.542500000000004</v>
      </c>
      <c r="S33" s="10" t="s">
        <v>290</v>
      </c>
      <c r="U33" s="43">
        <f>0.28*1000</f>
        <v>280</v>
      </c>
      <c r="V33" s="10" t="s">
        <v>244</v>
      </c>
      <c r="W33" s="43">
        <f t="shared" si="4"/>
        <v>1.0680093069382461</v>
      </c>
      <c r="X33" s="10">
        <v>1</v>
      </c>
      <c r="Y33" s="43">
        <f t="shared" si="7"/>
        <v>70</v>
      </c>
      <c r="Z33" s="10"/>
    </row>
    <row r="34" spans="1:27" ht="40" customHeight="1" x14ac:dyDescent="0.2">
      <c r="A34" s="10">
        <v>2</v>
      </c>
      <c r="B34" s="10" t="s">
        <v>728</v>
      </c>
      <c r="E34" s="10" t="s">
        <v>50</v>
      </c>
      <c r="F34" s="10"/>
      <c r="G34" s="10" t="s">
        <v>58</v>
      </c>
      <c r="I34" s="10" t="s">
        <v>389</v>
      </c>
      <c r="J34" s="10" t="s">
        <v>373</v>
      </c>
      <c r="K34" s="10"/>
      <c r="M34" s="10">
        <v>1</v>
      </c>
      <c r="N34" s="10">
        <v>1</v>
      </c>
      <c r="O34" s="10">
        <v>4</v>
      </c>
      <c r="P34" s="43">
        <v>291.3</v>
      </c>
      <c r="Q34" s="43">
        <f>P34*0.9</f>
        <v>262.17</v>
      </c>
      <c r="R34" s="43">
        <f>Q34/O34</f>
        <v>65.542500000000004</v>
      </c>
      <c r="S34" s="10" t="s">
        <v>67</v>
      </c>
      <c r="T34" s="43">
        <v>450</v>
      </c>
      <c r="U34" s="43">
        <f>(0.78+19.19)*T34</f>
        <v>8986.5000000000018</v>
      </c>
      <c r="V34" s="10" t="s">
        <v>244</v>
      </c>
      <c r="W34" s="43">
        <f t="shared" si="4"/>
        <v>34.27737727428768</v>
      </c>
      <c r="X34" s="10">
        <v>1</v>
      </c>
      <c r="Y34" s="43">
        <f t="shared" si="7"/>
        <v>2246.6250000000005</v>
      </c>
      <c r="Z34" s="10"/>
    </row>
    <row r="35" spans="1:27" ht="40" customHeight="1" x14ac:dyDescent="0.2">
      <c r="A35" s="10">
        <v>3</v>
      </c>
      <c r="B35" s="10" t="s">
        <v>730</v>
      </c>
      <c r="C35" s="10" t="s">
        <v>844</v>
      </c>
      <c r="D35" s="10" t="s">
        <v>845</v>
      </c>
      <c r="E35" s="10" t="s">
        <v>38</v>
      </c>
      <c r="F35" s="10"/>
      <c r="G35" s="10" t="s">
        <v>58</v>
      </c>
      <c r="I35" s="10" t="s">
        <v>389</v>
      </c>
      <c r="J35" s="10" t="s">
        <v>373</v>
      </c>
      <c r="K35" s="10"/>
      <c r="M35" s="10">
        <v>3</v>
      </c>
      <c r="N35" s="10">
        <v>1</v>
      </c>
      <c r="O35" s="10">
        <v>4</v>
      </c>
      <c r="Q35" s="43">
        <v>201.6</v>
      </c>
      <c r="R35" s="43">
        <f t="shared" ref="R35:R53" si="8">Q35/O35</f>
        <v>50.4</v>
      </c>
      <c r="S35" s="10" t="s">
        <v>65</v>
      </c>
      <c r="T35" s="43">
        <v>2400</v>
      </c>
      <c r="U35" s="43">
        <f>(12.4+33.2+12.4+33.2+8.5)*T35</f>
        <v>239280</v>
      </c>
      <c r="V35" s="10" t="s">
        <v>244</v>
      </c>
      <c r="W35" s="43">
        <f t="shared" si="4"/>
        <v>1186.9047619047619</v>
      </c>
      <c r="X35" s="10">
        <v>1</v>
      </c>
      <c r="Y35" s="43">
        <f t="shared" si="7"/>
        <v>59820</v>
      </c>
      <c r="Z35" s="10" t="s">
        <v>248</v>
      </c>
      <c r="AA35" s="10" t="s">
        <v>478</v>
      </c>
    </row>
    <row r="36" spans="1:27" ht="40" customHeight="1" x14ac:dyDescent="0.2">
      <c r="A36" s="10">
        <v>3</v>
      </c>
      <c r="B36" s="12" t="s">
        <v>731</v>
      </c>
      <c r="E36" s="10" t="s">
        <v>38</v>
      </c>
      <c r="F36" s="10"/>
      <c r="G36" s="10" t="s">
        <v>58</v>
      </c>
      <c r="I36" s="10" t="s">
        <v>389</v>
      </c>
      <c r="J36" s="10" t="s">
        <v>373</v>
      </c>
      <c r="K36" s="10"/>
      <c r="M36" s="10">
        <v>3</v>
      </c>
      <c r="N36" s="10">
        <v>1</v>
      </c>
      <c r="O36" s="10">
        <v>4</v>
      </c>
      <c r="Q36" s="43">
        <v>201.6</v>
      </c>
      <c r="R36" s="43">
        <f t="shared" si="8"/>
        <v>50.4</v>
      </c>
      <c r="S36" s="10" t="s">
        <v>30</v>
      </c>
      <c r="U36" s="43">
        <f>4790.9+2673+336+1000.9+336+1000.9+215.8+169.9*4+281.6*5</f>
        <v>12441.099999999999</v>
      </c>
      <c r="V36" s="10" t="s">
        <v>244</v>
      </c>
      <c r="W36" s="43">
        <f t="shared" si="4"/>
        <v>61.71180555555555</v>
      </c>
      <c r="X36" s="10">
        <v>1</v>
      </c>
      <c r="Y36" s="43">
        <f t="shared" si="7"/>
        <v>3110.2749999999996</v>
      </c>
      <c r="Z36" s="10"/>
    </row>
    <row r="37" spans="1:27" ht="40" customHeight="1" x14ac:dyDescent="0.2">
      <c r="A37" s="10">
        <v>3</v>
      </c>
      <c r="B37" s="12" t="s">
        <v>731</v>
      </c>
      <c r="E37" s="10" t="s">
        <v>38</v>
      </c>
      <c r="F37" s="10"/>
      <c r="G37" s="10" t="s">
        <v>58</v>
      </c>
      <c r="I37" s="10" t="s">
        <v>389</v>
      </c>
      <c r="J37" s="10" t="s">
        <v>373</v>
      </c>
      <c r="K37" s="10"/>
      <c r="M37" s="10">
        <v>3</v>
      </c>
      <c r="N37" s="10">
        <v>1</v>
      </c>
      <c r="O37" s="10">
        <v>4</v>
      </c>
      <c r="Q37" s="43">
        <v>201.6</v>
      </c>
      <c r="R37" s="43">
        <f t="shared" si="8"/>
        <v>50.4</v>
      </c>
      <c r="S37" s="10" t="s">
        <v>67</v>
      </c>
      <c r="T37" s="43">
        <v>850</v>
      </c>
      <c r="U37" s="43">
        <f>(4+1.7+0.6+0.6+4.1+7*3+2.6)*T37</f>
        <v>29410</v>
      </c>
      <c r="V37" s="10" t="s">
        <v>244</v>
      </c>
      <c r="W37" s="43">
        <f t="shared" si="4"/>
        <v>145.88293650793651</v>
      </c>
      <c r="X37" s="10">
        <v>1</v>
      </c>
      <c r="Y37" s="43">
        <f t="shared" si="7"/>
        <v>7352.5</v>
      </c>
      <c r="Z37" s="10"/>
      <c r="AA37" s="10" t="s">
        <v>596</v>
      </c>
    </row>
    <row r="38" spans="1:27" ht="40" customHeight="1" x14ac:dyDescent="0.2">
      <c r="A38" s="10">
        <v>4</v>
      </c>
      <c r="B38" s="10" t="s">
        <v>733</v>
      </c>
      <c r="C38" s="10" t="s">
        <v>734</v>
      </c>
      <c r="D38" s="10" t="s">
        <v>846</v>
      </c>
      <c r="E38" s="10" t="s">
        <v>479</v>
      </c>
      <c r="F38" s="10"/>
      <c r="G38" s="10" t="s">
        <v>58</v>
      </c>
      <c r="I38" s="10" t="s">
        <v>389</v>
      </c>
      <c r="J38" s="10" t="s">
        <v>481</v>
      </c>
      <c r="K38" s="10"/>
      <c r="L38" s="10">
        <v>1972</v>
      </c>
      <c r="M38" s="10">
        <v>1</v>
      </c>
      <c r="N38" s="10">
        <v>1</v>
      </c>
      <c r="O38" s="10">
        <v>4</v>
      </c>
      <c r="Q38" s="43">
        <v>92.9</v>
      </c>
      <c r="R38" s="43">
        <f t="shared" si="8"/>
        <v>23.225000000000001</v>
      </c>
      <c r="S38" s="10" t="s">
        <v>65</v>
      </c>
      <c r="T38" s="43">
        <v>2320</v>
      </c>
      <c r="U38" s="43">
        <f>(0.23+6.94)*T38</f>
        <v>16634.400000000001</v>
      </c>
      <c r="V38" s="10" t="s">
        <v>244</v>
      </c>
      <c r="W38" s="43">
        <f t="shared" si="4"/>
        <v>179.05705059203444</v>
      </c>
      <c r="X38" s="10">
        <v>1</v>
      </c>
      <c r="Y38" s="43">
        <f t="shared" si="7"/>
        <v>4158.6000000000004</v>
      </c>
      <c r="Z38" s="10" t="s">
        <v>482</v>
      </c>
      <c r="AA38" s="10" t="s">
        <v>478</v>
      </c>
    </row>
    <row r="39" spans="1:27" ht="40" customHeight="1" x14ac:dyDescent="0.2">
      <c r="A39" s="10">
        <v>4</v>
      </c>
      <c r="B39" s="10" t="s">
        <v>732</v>
      </c>
      <c r="E39" s="10" t="s">
        <v>479</v>
      </c>
      <c r="F39" s="10"/>
      <c r="G39" s="10" t="s">
        <v>58</v>
      </c>
      <c r="I39" s="10" t="s">
        <v>389</v>
      </c>
      <c r="J39" s="10" t="s">
        <v>481</v>
      </c>
      <c r="K39" s="10"/>
      <c r="M39" s="10">
        <v>1</v>
      </c>
      <c r="N39" s="10">
        <v>1</v>
      </c>
      <c r="O39" s="10">
        <v>4</v>
      </c>
      <c r="Q39" s="43">
        <v>92.9</v>
      </c>
      <c r="R39" s="43">
        <f t="shared" si="8"/>
        <v>23.225000000000001</v>
      </c>
      <c r="S39" s="10" t="s">
        <v>30</v>
      </c>
      <c r="U39" s="43">
        <f>451.63+215.16+53.43</f>
        <v>720.21999999999991</v>
      </c>
      <c r="V39" s="10" t="s">
        <v>244</v>
      </c>
      <c r="W39" s="43">
        <f t="shared" si="4"/>
        <v>7.7526372443487608</v>
      </c>
      <c r="X39" s="10">
        <v>1</v>
      </c>
      <c r="Y39" s="43">
        <f t="shared" ref="Y39:Y45" si="9">U39/O39</f>
        <v>180.05499999999998</v>
      </c>
      <c r="Z39" s="10"/>
    </row>
    <row r="40" spans="1:27" ht="40" customHeight="1" x14ac:dyDescent="0.2">
      <c r="A40" s="10">
        <v>4</v>
      </c>
      <c r="B40" s="10" t="s">
        <v>732</v>
      </c>
      <c r="E40" s="10" t="s">
        <v>479</v>
      </c>
      <c r="F40" s="10"/>
      <c r="G40" s="10" t="s">
        <v>58</v>
      </c>
      <c r="I40" s="10" t="s">
        <v>389</v>
      </c>
      <c r="J40" s="10" t="s">
        <v>481</v>
      </c>
      <c r="K40" s="10"/>
      <c r="M40" s="10">
        <v>1</v>
      </c>
      <c r="N40" s="10">
        <v>1</v>
      </c>
      <c r="O40" s="10">
        <v>4</v>
      </c>
      <c r="Q40" s="43">
        <v>92.9</v>
      </c>
      <c r="R40" s="43">
        <f t="shared" si="8"/>
        <v>23.225000000000001</v>
      </c>
      <c r="S40" s="10" t="s">
        <v>30</v>
      </c>
      <c r="U40" s="43">
        <v>1865.4</v>
      </c>
      <c r="V40" s="10" t="s">
        <v>244</v>
      </c>
      <c r="W40" s="43">
        <f t="shared" si="4"/>
        <v>20.079655543595262</v>
      </c>
      <c r="X40" s="10">
        <v>1</v>
      </c>
      <c r="Y40" s="43">
        <f t="shared" si="9"/>
        <v>466.35</v>
      </c>
      <c r="Z40" s="10"/>
      <c r="AA40" s="10" t="s">
        <v>625</v>
      </c>
    </row>
    <row r="41" spans="1:27" ht="40" customHeight="1" x14ac:dyDescent="0.2">
      <c r="A41" s="10">
        <v>4</v>
      </c>
      <c r="B41" s="10" t="s">
        <v>732</v>
      </c>
      <c r="E41" s="10" t="s">
        <v>479</v>
      </c>
      <c r="F41" s="10"/>
      <c r="G41" s="10" t="s">
        <v>58</v>
      </c>
      <c r="I41" s="10" t="s">
        <v>389</v>
      </c>
      <c r="J41" s="10" t="s">
        <v>481</v>
      </c>
      <c r="K41" s="10"/>
      <c r="M41" s="10">
        <v>1</v>
      </c>
      <c r="N41" s="10">
        <v>1</v>
      </c>
      <c r="O41" s="10">
        <v>4</v>
      </c>
      <c r="Q41" s="43">
        <v>92.9</v>
      </c>
      <c r="R41" s="43">
        <f t="shared" si="8"/>
        <v>23.225000000000001</v>
      </c>
      <c r="S41" s="10" t="s">
        <v>412</v>
      </c>
      <c r="U41" s="43">
        <v>307.06</v>
      </c>
      <c r="V41" s="10" t="s">
        <v>244</v>
      </c>
      <c r="W41" s="43">
        <f t="shared" si="4"/>
        <v>3.305274488697524</v>
      </c>
      <c r="X41" s="10">
        <v>1</v>
      </c>
      <c r="Y41" s="43">
        <f t="shared" si="9"/>
        <v>76.765000000000001</v>
      </c>
      <c r="Z41" s="10"/>
    </row>
    <row r="42" spans="1:27" ht="40" customHeight="1" x14ac:dyDescent="0.2">
      <c r="A42" s="10">
        <v>4</v>
      </c>
      <c r="B42" s="10" t="s">
        <v>732</v>
      </c>
      <c r="E42" s="10" t="s">
        <v>479</v>
      </c>
      <c r="F42" s="10"/>
      <c r="G42" s="10" t="s">
        <v>58</v>
      </c>
      <c r="I42" s="10" t="s">
        <v>389</v>
      </c>
      <c r="J42" s="10" t="s">
        <v>481</v>
      </c>
      <c r="K42" s="10"/>
      <c r="M42" s="10">
        <v>1</v>
      </c>
      <c r="N42" s="10">
        <v>1</v>
      </c>
      <c r="O42" s="10">
        <v>4</v>
      </c>
      <c r="Q42" s="43">
        <v>92.9</v>
      </c>
      <c r="R42" s="43">
        <f t="shared" si="8"/>
        <v>23.225000000000001</v>
      </c>
      <c r="S42" s="10" t="s">
        <v>30</v>
      </c>
      <c r="U42" s="43">
        <v>45.9</v>
      </c>
      <c r="V42" s="10" t="s">
        <v>244</v>
      </c>
      <c r="W42" s="43">
        <f t="shared" si="4"/>
        <v>0.49407965554359523</v>
      </c>
      <c r="X42" s="10">
        <v>1</v>
      </c>
      <c r="Y42" s="43">
        <f t="shared" si="9"/>
        <v>11.475</v>
      </c>
      <c r="Z42" s="10"/>
    </row>
    <row r="43" spans="1:27" ht="40" customHeight="1" x14ac:dyDescent="0.2">
      <c r="A43" s="10">
        <v>4</v>
      </c>
      <c r="B43" s="10" t="s">
        <v>732</v>
      </c>
      <c r="E43" s="10" t="s">
        <v>479</v>
      </c>
      <c r="F43" s="10"/>
      <c r="G43" s="10" t="s">
        <v>58</v>
      </c>
      <c r="I43" s="10" t="s">
        <v>389</v>
      </c>
      <c r="J43" s="10" t="s">
        <v>481</v>
      </c>
      <c r="K43" s="10"/>
      <c r="M43" s="10">
        <v>1</v>
      </c>
      <c r="N43" s="10">
        <v>1</v>
      </c>
      <c r="O43" s="10">
        <v>4</v>
      </c>
      <c r="Q43" s="43">
        <v>92.9</v>
      </c>
      <c r="R43" s="43">
        <f t="shared" si="8"/>
        <v>23.225000000000001</v>
      </c>
      <c r="S43" s="10" t="s">
        <v>67</v>
      </c>
      <c r="T43" s="43">
        <v>450</v>
      </c>
      <c r="U43" s="43">
        <f>(23.36+3.11+0.32)*T43</f>
        <v>12055.5</v>
      </c>
      <c r="V43" s="10" t="s">
        <v>244</v>
      </c>
      <c r="W43" s="43">
        <f t="shared" si="4"/>
        <v>129.76856835306782</v>
      </c>
      <c r="X43" s="10">
        <v>1</v>
      </c>
      <c r="Y43" s="43">
        <f t="shared" si="9"/>
        <v>3013.875</v>
      </c>
      <c r="Z43" s="10"/>
    </row>
    <row r="44" spans="1:27" ht="40" customHeight="1" x14ac:dyDescent="0.2">
      <c r="A44" s="10">
        <v>4</v>
      </c>
      <c r="B44" s="10" t="s">
        <v>732</v>
      </c>
      <c r="E44" s="10" t="s">
        <v>479</v>
      </c>
      <c r="F44" s="10"/>
      <c r="G44" s="10" t="s">
        <v>58</v>
      </c>
      <c r="I44" s="10" t="s">
        <v>389</v>
      </c>
      <c r="J44" s="10" t="s">
        <v>481</v>
      </c>
      <c r="K44" s="10"/>
      <c r="M44" s="10">
        <v>1</v>
      </c>
      <c r="N44" s="10">
        <v>1</v>
      </c>
      <c r="O44" s="10">
        <v>4</v>
      </c>
      <c r="Q44" s="43">
        <v>92.9</v>
      </c>
      <c r="R44" s="43">
        <f t="shared" si="8"/>
        <v>23.225000000000001</v>
      </c>
      <c r="S44" s="10" t="s">
        <v>435</v>
      </c>
      <c r="U44" s="43">
        <f>115.03</f>
        <v>115.03</v>
      </c>
      <c r="V44" s="10" t="s">
        <v>244</v>
      </c>
      <c r="W44" s="43">
        <f t="shared" si="4"/>
        <v>1.2382131324004304</v>
      </c>
      <c r="X44" s="10">
        <v>1</v>
      </c>
      <c r="Y44" s="43">
        <f t="shared" si="9"/>
        <v>28.7575</v>
      </c>
      <c r="Z44" s="10"/>
    </row>
    <row r="45" spans="1:27" ht="40" customHeight="1" x14ac:dyDescent="0.2">
      <c r="A45" s="10">
        <v>4</v>
      </c>
      <c r="B45" s="10" t="s">
        <v>732</v>
      </c>
      <c r="E45" s="10" t="s">
        <v>479</v>
      </c>
      <c r="F45" s="10"/>
      <c r="G45" s="10" t="s">
        <v>58</v>
      </c>
      <c r="I45" s="10" t="s">
        <v>389</v>
      </c>
      <c r="J45" s="10" t="s">
        <v>480</v>
      </c>
      <c r="K45" s="10"/>
      <c r="L45" s="10">
        <v>1996</v>
      </c>
      <c r="M45" s="10">
        <v>1</v>
      </c>
      <c r="N45" s="10">
        <v>1</v>
      </c>
      <c r="O45" s="10">
        <v>4</v>
      </c>
      <c r="Q45" s="43">
        <v>92.9</v>
      </c>
      <c r="R45" s="43">
        <f t="shared" si="8"/>
        <v>23.225000000000001</v>
      </c>
      <c r="S45" s="10" t="s">
        <v>65</v>
      </c>
      <c r="T45" s="43">
        <v>2320</v>
      </c>
      <c r="U45" s="43">
        <f>1.15*T45</f>
        <v>2668</v>
      </c>
      <c r="V45" s="10" t="s">
        <v>244</v>
      </c>
      <c r="W45" s="43">
        <f t="shared" si="4"/>
        <v>28.719052744886973</v>
      </c>
      <c r="X45" s="10">
        <v>1</v>
      </c>
      <c r="Y45" s="43">
        <f t="shared" si="9"/>
        <v>667</v>
      </c>
      <c r="Z45" s="10"/>
    </row>
    <row r="46" spans="1:27" ht="40" customHeight="1" x14ac:dyDescent="0.2">
      <c r="A46" s="10">
        <v>4</v>
      </c>
      <c r="B46" s="10" t="s">
        <v>732</v>
      </c>
      <c r="E46" s="10" t="s">
        <v>479</v>
      </c>
      <c r="F46" s="10"/>
      <c r="G46" s="10" t="s">
        <v>58</v>
      </c>
      <c r="I46" s="10" t="s">
        <v>389</v>
      </c>
      <c r="J46" s="10" t="s">
        <v>480</v>
      </c>
      <c r="K46" s="10"/>
      <c r="M46" s="10">
        <v>1</v>
      </c>
      <c r="N46" s="10">
        <v>1</v>
      </c>
      <c r="O46" s="10">
        <v>4</v>
      </c>
      <c r="Q46" s="43">
        <v>92.9</v>
      </c>
      <c r="R46" s="43">
        <f t="shared" si="8"/>
        <v>23.225000000000001</v>
      </c>
      <c r="S46" s="10" t="s">
        <v>30</v>
      </c>
      <c r="U46" s="43">
        <f>217.9</f>
        <v>217.9</v>
      </c>
      <c r="V46" s="10" t="s">
        <v>244</v>
      </c>
      <c r="W46" s="43">
        <f t="shared" ref="W46:W53" si="10">U46/Q46</f>
        <v>2.3455328310010763</v>
      </c>
      <c r="X46" s="10">
        <v>1</v>
      </c>
      <c r="Y46" s="43">
        <f t="shared" ref="Y46:Y56" si="11">U46/O46</f>
        <v>54.475000000000001</v>
      </c>
      <c r="Z46" s="10"/>
    </row>
    <row r="47" spans="1:27" ht="40" customHeight="1" x14ac:dyDescent="0.2">
      <c r="A47" s="10">
        <v>4</v>
      </c>
      <c r="B47" s="10" t="s">
        <v>732</v>
      </c>
      <c r="E47" s="10" t="s">
        <v>479</v>
      </c>
      <c r="F47" s="10"/>
      <c r="G47" s="10" t="s">
        <v>58</v>
      </c>
      <c r="I47" s="10" t="s">
        <v>389</v>
      </c>
      <c r="J47" s="10" t="s">
        <v>480</v>
      </c>
      <c r="K47" s="10"/>
      <c r="M47" s="10">
        <v>1</v>
      </c>
      <c r="N47" s="10">
        <v>1</v>
      </c>
      <c r="O47" s="10">
        <v>4</v>
      </c>
      <c r="Q47" s="43">
        <v>92.9</v>
      </c>
      <c r="R47" s="43">
        <f t="shared" si="8"/>
        <v>23.225000000000001</v>
      </c>
      <c r="S47" s="10" t="s">
        <v>30</v>
      </c>
      <c r="U47" s="43">
        <v>1605.5</v>
      </c>
      <c r="V47" s="10" t="s">
        <v>244</v>
      </c>
      <c r="W47" s="43">
        <f t="shared" si="10"/>
        <v>17.282023681377826</v>
      </c>
      <c r="X47" s="10">
        <v>1</v>
      </c>
      <c r="Y47" s="43">
        <f t="shared" si="11"/>
        <v>401.375</v>
      </c>
      <c r="Z47" s="10"/>
      <c r="AA47" s="10" t="s">
        <v>626</v>
      </c>
    </row>
    <row r="48" spans="1:27" ht="40" customHeight="1" x14ac:dyDescent="0.2">
      <c r="A48" s="10">
        <v>4</v>
      </c>
      <c r="B48" s="10" t="s">
        <v>732</v>
      </c>
      <c r="E48" s="10" t="s">
        <v>479</v>
      </c>
      <c r="F48" s="10"/>
      <c r="G48" s="10" t="s">
        <v>58</v>
      </c>
      <c r="I48" s="10" t="s">
        <v>389</v>
      </c>
      <c r="J48" s="10" t="s">
        <v>480</v>
      </c>
      <c r="K48" s="10"/>
      <c r="M48" s="10">
        <v>1</v>
      </c>
      <c r="N48" s="10">
        <v>1</v>
      </c>
      <c r="O48" s="10">
        <v>4</v>
      </c>
      <c r="Q48" s="43">
        <v>92.9</v>
      </c>
      <c r="R48" s="43">
        <f t="shared" si="8"/>
        <v>23.225000000000001</v>
      </c>
      <c r="S48" s="10" t="s">
        <v>412</v>
      </c>
      <c r="U48" s="43">
        <v>139.1</v>
      </c>
      <c r="V48" s="10" t="s">
        <v>244</v>
      </c>
      <c r="W48" s="43">
        <f t="shared" si="10"/>
        <v>1.4973089343379977</v>
      </c>
      <c r="X48" s="10">
        <v>1</v>
      </c>
      <c r="Y48" s="43">
        <f t="shared" si="11"/>
        <v>34.774999999999999</v>
      </c>
      <c r="Z48" s="10"/>
    </row>
    <row r="49" spans="1:27" ht="40" customHeight="1" x14ac:dyDescent="0.2">
      <c r="A49" s="10">
        <v>4</v>
      </c>
      <c r="B49" s="10" t="s">
        <v>732</v>
      </c>
      <c r="E49" s="10" t="s">
        <v>479</v>
      </c>
      <c r="F49" s="10"/>
      <c r="G49" s="10" t="s">
        <v>58</v>
      </c>
      <c r="I49" s="10" t="s">
        <v>389</v>
      </c>
      <c r="J49" s="10" t="s">
        <v>480</v>
      </c>
      <c r="K49" s="10"/>
      <c r="M49" s="10">
        <v>1</v>
      </c>
      <c r="N49" s="10">
        <v>1</v>
      </c>
      <c r="O49" s="10">
        <v>4</v>
      </c>
      <c r="Q49" s="43">
        <v>92.9</v>
      </c>
      <c r="R49" s="43">
        <f t="shared" si="8"/>
        <v>23.225000000000001</v>
      </c>
      <c r="S49" s="10" t="s">
        <v>30</v>
      </c>
      <c r="U49" s="43">
        <v>45.9</v>
      </c>
      <c r="V49" s="10" t="s">
        <v>244</v>
      </c>
      <c r="W49" s="43">
        <f t="shared" si="10"/>
        <v>0.49407965554359523</v>
      </c>
      <c r="X49" s="10">
        <v>1</v>
      </c>
      <c r="Y49" s="43">
        <f t="shared" si="11"/>
        <v>11.475</v>
      </c>
      <c r="Z49" s="10"/>
    </row>
    <row r="50" spans="1:27" ht="40" customHeight="1" x14ac:dyDescent="0.2">
      <c r="A50" s="10">
        <v>4</v>
      </c>
      <c r="B50" s="10" t="s">
        <v>732</v>
      </c>
      <c r="E50" s="10" t="s">
        <v>479</v>
      </c>
      <c r="F50" s="10"/>
      <c r="G50" s="10" t="s">
        <v>58</v>
      </c>
      <c r="I50" s="10" t="s">
        <v>389</v>
      </c>
      <c r="J50" s="10" t="s">
        <v>480</v>
      </c>
      <c r="K50" s="10"/>
      <c r="M50" s="10">
        <v>1</v>
      </c>
      <c r="N50" s="10">
        <v>1</v>
      </c>
      <c r="O50" s="10">
        <v>4</v>
      </c>
      <c r="Q50" s="43">
        <v>92.9</v>
      </c>
      <c r="R50" s="43">
        <f t="shared" si="8"/>
        <v>23.225000000000001</v>
      </c>
      <c r="S50" s="10" t="s">
        <v>290</v>
      </c>
      <c r="U50" s="43">
        <f>243+10</f>
        <v>253</v>
      </c>
      <c r="V50" s="10" t="s">
        <v>244</v>
      </c>
      <c r="W50" s="43">
        <f t="shared" si="10"/>
        <v>2.7233584499461787</v>
      </c>
      <c r="X50" s="10">
        <v>1</v>
      </c>
      <c r="Y50" s="43">
        <f t="shared" si="11"/>
        <v>63.25</v>
      </c>
      <c r="Z50" s="10"/>
    </row>
    <row r="51" spans="1:27" ht="40" customHeight="1" x14ac:dyDescent="0.2">
      <c r="A51" s="10">
        <v>4</v>
      </c>
      <c r="B51" s="10" t="s">
        <v>732</v>
      </c>
      <c r="E51" s="10" t="s">
        <v>479</v>
      </c>
      <c r="F51" s="10"/>
      <c r="G51" s="10" t="s">
        <v>58</v>
      </c>
      <c r="I51" s="10" t="s">
        <v>389</v>
      </c>
      <c r="J51" s="10" t="s">
        <v>480</v>
      </c>
      <c r="K51" s="10"/>
      <c r="M51" s="10">
        <v>1</v>
      </c>
      <c r="N51" s="10">
        <v>1</v>
      </c>
      <c r="O51" s="10">
        <v>4</v>
      </c>
      <c r="Q51" s="43">
        <v>92.9</v>
      </c>
      <c r="R51" s="43">
        <f t="shared" si="8"/>
        <v>23.225000000000001</v>
      </c>
      <c r="S51" s="10" t="s">
        <v>67</v>
      </c>
      <c r="U51" s="43">
        <v>1305</v>
      </c>
      <c r="V51" s="10" t="s">
        <v>244</v>
      </c>
      <c r="W51" s="43">
        <f t="shared" si="10"/>
        <v>14.047362755651237</v>
      </c>
      <c r="X51" s="10">
        <v>1</v>
      </c>
      <c r="Y51" s="43">
        <f t="shared" si="11"/>
        <v>326.25</v>
      </c>
      <c r="Z51" s="10"/>
    </row>
    <row r="52" spans="1:27" ht="40" customHeight="1" x14ac:dyDescent="0.2">
      <c r="A52" s="10">
        <v>4</v>
      </c>
      <c r="B52" s="10" t="s">
        <v>732</v>
      </c>
      <c r="E52" s="10" t="s">
        <v>479</v>
      </c>
      <c r="F52" s="10"/>
      <c r="G52" s="10" t="s">
        <v>58</v>
      </c>
      <c r="I52" s="10" t="s">
        <v>389</v>
      </c>
      <c r="J52" s="10" t="s">
        <v>480</v>
      </c>
      <c r="K52" s="10"/>
      <c r="M52" s="10">
        <v>1</v>
      </c>
      <c r="N52" s="10">
        <v>1</v>
      </c>
      <c r="O52" s="10">
        <v>4</v>
      </c>
      <c r="Q52" s="43">
        <v>92.9</v>
      </c>
      <c r="R52" s="43">
        <f t="shared" si="8"/>
        <v>23.225000000000001</v>
      </c>
      <c r="S52" s="10" t="s">
        <v>67</v>
      </c>
      <c r="T52" s="43">
        <v>450</v>
      </c>
      <c r="U52" s="43">
        <f>(14.7+1.88)*T52</f>
        <v>7460.9999999999991</v>
      </c>
      <c r="V52" s="10" t="s">
        <v>244</v>
      </c>
      <c r="W52" s="43">
        <f>U52/Q52</f>
        <v>80.312163616792233</v>
      </c>
      <c r="X52" s="10">
        <v>1</v>
      </c>
      <c r="Y52" s="43">
        <f>U52/O52</f>
        <v>1865.2499999999998</v>
      </c>
      <c r="Z52" s="10"/>
    </row>
    <row r="53" spans="1:27" ht="40" customHeight="1" x14ac:dyDescent="0.2">
      <c r="A53" s="10">
        <v>4</v>
      </c>
      <c r="B53" s="10" t="s">
        <v>732</v>
      </c>
      <c r="E53" s="10" t="s">
        <v>479</v>
      </c>
      <c r="F53" s="10"/>
      <c r="G53" s="10" t="s">
        <v>58</v>
      </c>
      <c r="I53" s="10" t="s">
        <v>389</v>
      </c>
      <c r="J53" s="10" t="s">
        <v>480</v>
      </c>
      <c r="K53" s="10"/>
      <c r="M53" s="10">
        <v>1</v>
      </c>
      <c r="N53" s="10">
        <v>1</v>
      </c>
      <c r="O53" s="10">
        <v>4</v>
      </c>
      <c r="Q53" s="43">
        <v>92.9</v>
      </c>
      <c r="R53" s="43">
        <f t="shared" si="8"/>
        <v>23.225000000000001</v>
      </c>
      <c r="S53" s="10" t="s">
        <v>435</v>
      </c>
      <c r="U53" s="43">
        <v>115</v>
      </c>
      <c r="V53" s="10" t="s">
        <v>244</v>
      </c>
      <c r="W53" s="43">
        <f t="shared" si="10"/>
        <v>1.2378902045209903</v>
      </c>
      <c r="X53" s="10">
        <v>1</v>
      </c>
      <c r="Y53" s="43">
        <f t="shared" si="11"/>
        <v>28.75</v>
      </c>
      <c r="Z53" s="10"/>
    </row>
    <row r="54" spans="1:27" ht="40" customHeight="1" x14ac:dyDescent="0.2">
      <c r="A54" s="10">
        <v>5</v>
      </c>
      <c r="B54" s="10" t="s">
        <v>736</v>
      </c>
      <c r="C54" s="10" t="s">
        <v>591</v>
      </c>
      <c r="D54" s="10" t="s">
        <v>847</v>
      </c>
      <c r="E54" s="10" t="s">
        <v>38</v>
      </c>
      <c r="F54" s="10"/>
      <c r="G54" s="10" t="s">
        <v>58</v>
      </c>
      <c r="I54" s="10" t="s">
        <v>70</v>
      </c>
      <c r="J54" s="10" t="s">
        <v>480</v>
      </c>
      <c r="K54" s="10"/>
      <c r="M54" s="10">
        <v>7</v>
      </c>
      <c r="N54" s="10">
        <v>63</v>
      </c>
      <c r="O54" s="10">
        <f>4*N54</f>
        <v>252</v>
      </c>
      <c r="P54" s="10">
        <v>3943</v>
      </c>
      <c r="Q54" s="43">
        <f>P54*0.9</f>
        <v>3548.7000000000003</v>
      </c>
      <c r="R54" s="43">
        <f t="shared" ref="R54:R69" si="12">Q54/O54</f>
        <v>14.082142857142859</v>
      </c>
      <c r="S54" s="10" t="s">
        <v>65</v>
      </c>
      <c r="U54" s="43">
        <f>3949*1000</f>
        <v>3949000</v>
      </c>
      <c r="V54" s="10" t="s">
        <v>244</v>
      </c>
      <c r="W54" s="43">
        <f t="shared" ref="W54:W61" si="13">U54/Q54</f>
        <v>1112.8018711077295</v>
      </c>
      <c r="X54" s="10">
        <v>4</v>
      </c>
      <c r="Y54" s="43">
        <f t="shared" si="11"/>
        <v>15670.63492063492</v>
      </c>
      <c r="Z54" s="10"/>
    </row>
    <row r="55" spans="1:27" ht="40" customHeight="1" x14ac:dyDescent="0.2">
      <c r="A55" s="10">
        <v>5</v>
      </c>
      <c r="B55" s="10" t="s">
        <v>735</v>
      </c>
      <c r="E55" s="10" t="s">
        <v>38</v>
      </c>
      <c r="F55" s="10"/>
      <c r="G55" s="10" t="s">
        <v>58</v>
      </c>
      <c r="I55" s="10" t="s">
        <v>70</v>
      </c>
      <c r="J55" s="10" t="s">
        <v>480</v>
      </c>
      <c r="K55" s="10"/>
      <c r="M55" s="10">
        <v>7</v>
      </c>
      <c r="N55" s="10">
        <v>63</v>
      </c>
      <c r="O55" s="10">
        <f>4*N55</f>
        <v>252</v>
      </c>
      <c r="P55" s="10">
        <v>3943</v>
      </c>
      <c r="Q55" s="43">
        <f>P55*0.9</f>
        <v>3548.7000000000003</v>
      </c>
      <c r="R55" s="43">
        <f t="shared" si="12"/>
        <v>14.082142857142859</v>
      </c>
      <c r="S55" s="10" t="s">
        <v>30</v>
      </c>
      <c r="U55" s="43">
        <f>871*1000</f>
        <v>871000</v>
      </c>
      <c r="V55" s="10" t="s">
        <v>244</v>
      </c>
      <c r="W55" s="43">
        <f t="shared" si="13"/>
        <v>245.44199284244934</v>
      </c>
      <c r="X55" s="10">
        <v>4</v>
      </c>
      <c r="Y55" s="43">
        <f t="shared" si="11"/>
        <v>3456.3492063492063</v>
      </c>
      <c r="Z55" s="10"/>
    </row>
    <row r="56" spans="1:27" ht="40" customHeight="1" x14ac:dyDescent="0.2">
      <c r="A56" s="10">
        <v>5</v>
      </c>
      <c r="B56" s="10" t="s">
        <v>735</v>
      </c>
      <c r="E56" s="10" t="s">
        <v>38</v>
      </c>
      <c r="F56" s="10"/>
      <c r="G56" s="10" t="s">
        <v>58</v>
      </c>
      <c r="I56" s="10" t="s">
        <v>70</v>
      </c>
      <c r="J56" s="10" t="s">
        <v>480</v>
      </c>
      <c r="K56" s="10"/>
      <c r="M56" s="10">
        <v>7</v>
      </c>
      <c r="N56" s="10">
        <v>63</v>
      </c>
      <c r="O56" s="10">
        <f>4*N56</f>
        <v>252</v>
      </c>
      <c r="P56" s="10">
        <v>3943</v>
      </c>
      <c r="Q56" s="43">
        <f>P56*0.9</f>
        <v>3548.7000000000003</v>
      </c>
      <c r="R56" s="43">
        <f t="shared" si="12"/>
        <v>14.082142857142859</v>
      </c>
      <c r="S56" s="10" t="s">
        <v>67</v>
      </c>
      <c r="U56" s="43">
        <f>996*1000</f>
        <v>996000</v>
      </c>
      <c r="V56" s="10" t="s">
        <v>244</v>
      </c>
      <c r="W56" s="43">
        <f t="shared" si="13"/>
        <v>280.66615943866765</v>
      </c>
      <c r="X56" s="10">
        <v>4</v>
      </c>
      <c r="Y56" s="43">
        <f t="shared" si="11"/>
        <v>3952.3809523809523</v>
      </c>
      <c r="Z56" s="10"/>
    </row>
    <row r="57" spans="1:27" ht="40" customHeight="1" x14ac:dyDescent="0.2">
      <c r="A57" s="10">
        <v>6</v>
      </c>
      <c r="B57" s="10" t="s">
        <v>738</v>
      </c>
      <c r="C57" s="10" t="s">
        <v>592</v>
      </c>
      <c r="D57" s="10" t="s">
        <v>848</v>
      </c>
      <c r="E57" s="10" t="s">
        <v>50</v>
      </c>
      <c r="F57" s="10"/>
      <c r="G57" s="10" t="s">
        <v>58</v>
      </c>
      <c r="I57" s="10" t="s">
        <v>389</v>
      </c>
      <c r="J57" s="10" t="s">
        <v>593</v>
      </c>
      <c r="K57" s="10" t="s">
        <v>594</v>
      </c>
      <c r="L57" s="10">
        <v>1992</v>
      </c>
      <c r="M57" s="10">
        <v>2</v>
      </c>
      <c r="N57" s="10">
        <v>1</v>
      </c>
      <c r="O57" s="10">
        <v>4</v>
      </c>
      <c r="Q57" s="43">
        <v>128</v>
      </c>
      <c r="R57" s="43">
        <f t="shared" si="12"/>
        <v>32</v>
      </c>
      <c r="S57" s="10" t="s">
        <v>67</v>
      </c>
      <c r="T57" s="43">
        <v>450</v>
      </c>
      <c r="U57" s="43">
        <f>T57*21.5</f>
        <v>9675</v>
      </c>
      <c r="V57" s="10" t="s">
        <v>244</v>
      </c>
      <c r="W57" s="43">
        <f t="shared" si="13"/>
        <v>75.5859375</v>
      </c>
      <c r="X57" s="10">
        <v>1</v>
      </c>
      <c r="Y57" s="43">
        <f>U57/O57</f>
        <v>2418.75</v>
      </c>
      <c r="Z57" s="10"/>
      <c r="AA57" s="10" t="s">
        <v>492</v>
      </c>
    </row>
    <row r="58" spans="1:27" ht="40" customHeight="1" x14ac:dyDescent="0.2">
      <c r="A58" s="10">
        <v>6</v>
      </c>
      <c r="B58" s="10" t="s">
        <v>737</v>
      </c>
      <c r="E58" s="10" t="s">
        <v>50</v>
      </c>
      <c r="F58" s="10"/>
      <c r="G58" s="10" t="s">
        <v>58</v>
      </c>
      <c r="I58" s="10" t="s">
        <v>389</v>
      </c>
      <c r="J58" s="10" t="s">
        <v>593</v>
      </c>
      <c r="K58" s="10"/>
      <c r="M58" s="10">
        <v>2</v>
      </c>
      <c r="N58" s="10">
        <v>1</v>
      </c>
      <c r="O58" s="10">
        <v>4</v>
      </c>
      <c r="Q58" s="43">
        <v>128</v>
      </c>
      <c r="R58" s="43">
        <f t="shared" si="12"/>
        <v>32</v>
      </c>
      <c r="S58" s="10" t="s">
        <v>65</v>
      </c>
      <c r="T58" s="43">
        <v>2320</v>
      </c>
      <c r="U58" s="43">
        <f>(22.3+5.09+5.1)*T58</f>
        <v>75376.800000000003</v>
      </c>
      <c r="V58" s="10" t="s">
        <v>244</v>
      </c>
      <c r="W58" s="43">
        <f t="shared" si="13"/>
        <v>588.88125000000002</v>
      </c>
      <c r="X58" s="10">
        <v>1</v>
      </c>
      <c r="Y58" s="43">
        <f>U58/O58</f>
        <v>18844.2</v>
      </c>
      <c r="Z58" s="10"/>
      <c r="AA58" s="10" t="s">
        <v>595</v>
      </c>
    </row>
    <row r="59" spans="1:27" ht="40" customHeight="1" x14ac:dyDescent="0.2">
      <c r="A59" s="10">
        <v>6</v>
      </c>
      <c r="B59" s="10" t="s">
        <v>737</v>
      </c>
      <c r="E59" s="10" t="s">
        <v>50</v>
      </c>
      <c r="F59" s="10"/>
      <c r="G59" s="10" t="s">
        <v>58</v>
      </c>
      <c r="I59" s="10" t="s">
        <v>389</v>
      </c>
      <c r="J59" s="10" t="s">
        <v>593</v>
      </c>
      <c r="K59" s="10"/>
      <c r="M59" s="10">
        <v>2</v>
      </c>
      <c r="N59" s="10">
        <v>1</v>
      </c>
      <c r="O59" s="10">
        <v>4</v>
      </c>
      <c r="Q59" s="43">
        <v>128</v>
      </c>
      <c r="R59" s="43">
        <f t="shared" si="12"/>
        <v>32</v>
      </c>
      <c r="S59" s="10" t="s">
        <v>30</v>
      </c>
      <c r="U59" s="43">
        <f>1.87*1000</f>
        <v>1870</v>
      </c>
      <c r="V59" s="10" t="s">
        <v>244</v>
      </c>
      <c r="W59" s="43">
        <f t="shared" si="13"/>
        <v>14.609375</v>
      </c>
      <c r="X59" s="10">
        <v>1</v>
      </c>
      <c r="Y59" s="43">
        <f>U59/O59</f>
        <v>467.5</v>
      </c>
      <c r="Z59" s="10"/>
    </row>
    <row r="60" spans="1:27" ht="40" customHeight="1" x14ac:dyDescent="0.2">
      <c r="A60" s="10">
        <v>6</v>
      </c>
      <c r="B60" s="10" t="s">
        <v>737</v>
      </c>
      <c r="E60" s="10" t="s">
        <v>50</v>
      </c>
      <c r="F60" s="10"/>
      <c r="G60" s="10" t="s">
        <v>58</v>
      </c>
      <c r="I60" s="10" t="s">
        <v>389</v>
      </c>
      <c r="J60" s="10" t="s">
        <v>593</v>
      </c>
      <c r="K60" s="10"/>
      <c r="M60" s="10">
        <v>2</v>
      </c>
      <c r="N60" s="10">
        <v>1</v>
      </c>
      <c r="O60" s="10">
        <v>4</v>
      </c>
      <c r="Q60" s="43">
        <v>128</v>
      </c>
      <c r="R60" s="43">
        <f t="shared" si="12"/>
        <v>32</v>
      </c>
      <c r="S60" s="10" t="s">
        <v>412</v>
      </c>
      <c r="U60" s="43">
        <f>0.11*1000</f>
        <v>110</v>
      </c>
      <c r="V60" s="10" t="s">
        <v>244</v>
      </c>
      <c r="W60" s="43">
        <f t="shared" si="13"/>
        <v>0.859375</v>
      </c>
      <c r="X60" s="10">
        <v>1</v>
      </c>
      <c r="Y60" s="43">
        <f>U60/O60</f>
        <v>27.5</v>
      </c>
      <c r="Z60" s="10"/>
    </row>
    <row r="61" spans="1:27" ht="40" customHeight="1" x14ac:dyDescent="0.2">
      <c r="A61" s="10">
        <v>6</v>
      </c>
      <c r="B61" s="10" t="s">
        <v>737</v>
      </c>
      <c r="E61" s="10" t="s">
        <v>50</v>
      </c>
      <c r="F61" s="10"/>
      <c r="G61" s="10" t="s">
        <v>58</v>
      </c>
      <c r="I61" s="10" t="s">
        <v>389</v>
      </c>
      <c r="J61" s="10" t="s">
        <v>593</v>
      </c>
      <c r="K61" s="10"/>
      <c r="M61" s="10">
        <v>2</v>
      </c>
      <c r="N61" s="10">
        <v>1</v>
      </c>
      <c r="O61" s="10">
        <v>4</v>
      </c>
      <c r="Q61" s="43">
        <v>128</v>
      </c>
      <c r="R61" s="43">
        <f t="shared" si="12"/>
        <v>32</v>
      </c>
      <c r="S61" s="10" t="s">
        <v>435</v>
      </c>
      <c r="U61" s="43">
        <v>89.6</v>
      </c>
      <c r="V61" s="10" t="s">
        <v>244</v>
      </c>
      <c r="W61" s="43">
        <f t="shared" si="13"/>
        <v>0.7</v>
      </c>
      <c r="X61" s="10">
        <v>1</v>
      </c>
      <c r="Y61" s="43">
        <f>U61/O61</f>
        <v>22.4</v>
      </c>
      <c r="Z61" s="10"/>
    </row>
    <row r="62" spans="1:27" ht="40" customHeight="1" x14ac:dyDescent="0.2">
      <c r="A62" s="10">
        <v>7</v>
      </c>
      <c r="B62" s="10" t="s">
        <v>740</v>
      </c>
      <c r="C62" s="10" t="s">
        <v>727</v>
      </c>
      <c r="D62" s="10" t="s">
        <v>849</v>
      </c>
      <c r="E62" s="10" t="s">
        <v>604</v>
      </c>
      <c r="F62" s="10" t="s">
        <v>603</v>
      </c>
      <c r="G62" s="10" t="s">
        <v>58</v>
      </c>
      <c r="I62" s="10" t="s">
        <v>70</v>
      </c>
      <c r="J62" s="10" t="s">
        <v>598</v>
      </c>
      <c r="K62" s="10" t="s">
        <v>601</v>
      </c>
      <c r="M62" s="10">
        <v>5</v>
      </c>
      <c r="N62" s="10">
        <v>57</v>
      </c>
      <c r="O62" s="10">
        <f t="shared" ref="O62:O69" si="14">3*N62</f>
        <v>171</v>
      </c>
      <c r="P62" s="10">
        <v>3895</v>
      </c>
      <c r="Q62" s="43">
        <f>(P62-328)*0.9</f>
        <v>3210.3</v>
      </c>
      <c r="R62" s="43">
        <f t="shared" si="12"/>
        <v>18.773684210526316</v>
      </c>
      <c r="S62" s="10" t="s">
        <v>65</v>
      </c>
      <c r="U62" s="43">
        <f>1367845+130537</f>
        <v>1498382</v>
      </c>
      <c r="V62" s="10" t="s">
        <v>244</v>
      </c>
      <c r="W62" s="43">
        <f t="shared" ref="W62:W69" si="15">U62/Q62</f>
        <v>466.74204902968569</v>
      </c>
      <c r="X62" s="10">
        <v>4</v>
      </c>
      <c r="Y62" s="43">
        <f t="shared" ref="Y62:Y69" si="16">U62/O62</f>
        <v>8762.4678362573104</v>
      </c>
      <c r="Z62" s="10" t="s">
        <v>440</v>
      </c>
      <c r="AA62" s="10" t="s">
        <v>600</v>
      </c>
    </row>
    <row r="63" spans="1:27" ht="40" customHeight="1" x14ac:dyDescent="0.2">
      <c r="A63" s="10">
        <v>7</v>
      </c>
      <c r="B63" s="10" t="s">
        <v>739</v>
      </c>
      <c r="E63" s="10" t="s">
        <v>604</v>
      </c>
      <c r="F63" s="10"/>
      <c r="G63" s="10" t="s">
        <v>58</v>
      </c>
      <c r="I63" s="10" t="s">
        <v>70</v>
      </c>
      <c r="J63" s="10" t="s">
        <v>598</v>
      </c>
      <c r="K63" s="10"/>
      <c r="M63" s="10">
        <v>5</v>
      </c>
      <c r="N63" s="10">
        <v>57</v>
      </c>
      <c r="O63" s="10">
        <f t="shared" si="14"/>
        <v>171</v>
      </c>
      <c r="P63" s="10">
        <v>3895</v>
      </c>
      <c r="Q63" s="43">
        <f>(P63-328)*0.9</f>
        <v>3210.3</v>
      </c>
      <c r="R63" s="43">
        <f t="shared" si="12"/>
        <v>18.773684210526316</v>
      </c>
      <c r="S63" s="10" t="s">
        <v>67</v>
      </c>
      <c r="U63" s="43">
        <v>233240</v>
      </c>
      <c r="V63" s="10" t="s">
        <v>244</v>
      </c>
      <c r="W63" s="43">
        <f t="shared" si="15"/>
        <v>72.653646076690649</v>
      </c>
      <c r="X63" s="10">
        <v>4</v>
      </c>
      <c r="Y63" s="43">
        <f t="shared" si="16"/>
        <v>1363.9766081871346</v>
      </c>
      <c r="Z63" s="10"/>
      <c r="AA63" s="10" t="s">
        <v>492</v>
      </c>
    </row>
    <row r="64" spans="1:27" ht="40" customHeight="1" x14ac:dyDescent="0.2">
      <c r="A64" s="10">
        <v>7</v>
      </c>
      <c r="B64" s="10" t="s">
        <v>739</v>
      </c>
      <c r="E64" s="10" t="s">
        <v>604</v>
      </c>
      <c r="F64" s="10"/>
      <c r="G64" s="10" t="s">
        <v>58</v>
      </c>
      <c r="I64" s="10" t="s">
        <v>70</v>
      </c>
      <c r="J64" s="10" t="s">
        <v>598</v>
      </c>
      <c r="K64" s="10"/>
      <c r="M64" s="10">
        <v>5</v>
      </c>
      <c r="N64" s="10">
        <v>57</v>
      </c>
      <c r="O64" s="10">
        <f t="shared" si="14"/>
        <v>171</v>
      </c>
      <c r="P64" s="10">
        <v>3895</v>
      </c>
      <c r="Q64" s="43">
        <f>(P64-328)*0.9</f>
        <v>3210.3</v>
      </c>
      <c r="R64" s="43">
        <f t="shared" si="12"/>
        <v>18.773684210526316</v>
      </c>
      <c r="S64" s="10" t="s">
        <v>71</v>
      </c>
      <c r="U64" s="43">
        <v>225145</v>
      </c>
      <c r="V64" s="10" t="s">
        <v>244</v>
      </c>
      <c r="W64" s="43">
        <f t="shared" si="15"/>
        <v>70.132074883967221</v>
      </c>
      <c r="X64" s="10">
        <v>4</v>
      </c>
      <c r="Y64" s="43">
        <f t="shared" si="16"/>
        <v>1316.6374269005848</v>
      </c>
      <c r="Z64" s="10"/>
    </row>
    <row r="65" spans="1:26" ht="40" customHeight="1" x14ac:dyDescent="0.2">
      <c r="A65" s="10">
        <v>7</v>
      </c>
      <c r="B65" s="10" t="s">
        <v>739</v>
      </c>
      <c r="E65" s="10" t="s">
        <v>604</v>
      </c>
      <c r="F65" s="10"/>
      <c r="G65" s="10" t="s">
        <v>58</v>
      </c>
      <c r="I65" s="10" t="s">
        <v>70</v>
      </c>
      <c r="J65" s="10" t="s">
        <v>598</v>
      </c>
      <c r="K65" s="10"/>
      <c r="M65" s="10">
        <v>5</v>
      </c>
      <c r="N65" s="10">
        <v>57</v>
      </c>
      <c r="O65" s="10">
        <f t="shared" si="14"/>
        <v>171</v>
      </c>
      <c r="P65" s="10">
        <v>3895</v>
      </c>
      <c r="Q65" s="43">
        <f>(P65-328)*0.9</f>
        <v>3210.3</v>
      </c>
      <c r="R65" s="43">
        <f t="shared" si="12"/>
        <v>18.773684210526316</v>
      </c>
      <c r="S65" s="10" t="s">
        <v>30</v>
      </c>
      <c r="U65" s="43">
        <v>115605</v>
      </c>
      <c r="V65" s="10" t="s">
        <v>244</v>
      </c>
      <c r="W65" s="43">
        <f t="shared" si="15"/>
        <v>36.010653209980376</v>
      </c>
      <c r="X65" s="10">
        <v>4</v>
      </c>
      <c r="Y65" s="43">
        <f t="shared" si="16"/>
        <v>676.0526315789474</v>
      </c>
      <c r="Z65" s="10"/>
    </row>
    <row r="66" spans="1:26" ht="40" customHeight="1" x14ac:dyDescent="0.2">
      <c r="A66" s="10">
        <v>7</v>
      </c>
      <c r="B66" s="10" t="s">
        <v>739</v>
      </c>
      <c r="E66" s="10" t="s">
        <v>604</v>
      </c>
      <c r="F66" s="10"/>
      <c r="G66" s="10" t="s">
        <v>58</v>
      </c>
      <c r="I66" s="10" t="s">
        <v>70</v>
      </c>
      <c r="J66" s="10" t="s">
        <v>598</v>
      </c>
      <c r="K66" s="10"/>
      <c r="M66" s="10">
        <v>5</v>
      </c>
      <c r="N66" s="10">
        <v>57</v>
      </c>
      <c r="O66" s="10">
        <f t="shared" si="14"/>
        <v>171</v>
      </c>
      <c r="P66" s="10">
        <v>3895</v>
      </c>
      <c r="Q66" s="43">
        <f>(P66-328)*0.9</f>
        <v>3210.3</v>
      </c>
      <c r="R66" s="43">
        <f t="shared" si="12"/>
        <v>18.773684210526316</v>
      </c>
      <c r="S66" s="10" t="s">
        <v>435</v>
      </c>
      <c r="U66" s="43">
        <v>25563</v>
      </c>
      <c r="V66" s="10" t="s">
        <v>244</v>
      </c>
      <c r="W66" s="43">
        <f t="shared" si="15"/>
        <v>7.9628072142790387</v>
      </c>
      <c r="X66" s="10">
        <v>4</v>
      </c>
      <c r="Y66" s="43">
        <f t="shared" si="16"/>
        <v>149.49122807017545</v>
      </c>
      <c r="Z66" s="10"/>
    </row>
    <row r="67" spans="1:26" ht="40" customHeight="1" x14ac:dyDescent="0.2">
      <c r="A67" s="10">
        <v>7</v>
      </c>
      <c r="B67" s="10" t="s">
        <v>739</v>
      </c>
      <c r="E67" s="10" t="s">
        <v>604</v>
      </c>
      <c r="F67" s="10"/>
      <c r="G67" s="10" t="s">
        <v>58</v>
      </c>
      <c r="I67" s="10" t="s">
        <v>70</v>
      </c>
      <c r="J67" s="10" t="s">
        <v>599</v>
      </c>
      <c r="K67" s="10" t="s">
        <v>602</v>
      </c>
      <c r="M67" s="10">
        <v>8</v>
      </c>
      <c r="N67" s="10">
        <v>91</v>
      </c>
      <c r="O67" s="10">
        <f t="shared" si="14"/>
        <v>273</v>
      </c>
      <c r="P67" s="10">
        <v>5912</v>
      </c>
      <c r="Q67" s="43">
        <f>(P67-565)*0.9</f>
        <v>4812.3</v>
      </c>
      <c r="R67" s="43">
        <f t="shared" si="12"/>
        <v>17.627472527472527</v>
      </c>
      <c r="S67" s="10" t="s">
        <v>65</v>
      </c>
      <c r="U67" s="43">
        <f>8768470+36192</f>
        <v>8804662</v>
      </c>
      <c r="V67" s="10" t="s">
        <v>244</v>
      </c>
      <c r="W67" s="43">
        <f t="shared" si="15"/>
        <v>1829.6161918417388</v>
      </c>
      <c r="X67" s="10">
        <v>4</v>
      </c>
      <c r="Y67" s="43">
        <f t="shared" si="16"/>
        <v>32251.509157509157</v>
      </c>
      <c r="Z67" s="10"/>
    </row>
    <row r="68" spans="1:26" ht="40" customHeight="1" x14ac:dyDescent="0.2">
      <c r="A68" s="10">
        <v>7</v>
      </c>
      <c r="B68" s="10" t="s">
        <v>739</v>
      </c>
      <c r="E68" s="10" t="s">
        <v>604</v>
      </c>
      <c r="F68" s="10"/>
      <c r="G68" s="10" t="s">
        <v>58</v>
      </c>
      <c r="I68" s="10" t="s">
        <v>70</v>
      </c>
      <c r="J68" s="10" t="s">
        <v>599</v>
      </c>
      <c r="K68" s="10"/>
      <c r="M68" s="10">
        <v>8</v>
      </c>
      <c r="N68" s="10">
        <v>91</v>
      </c>
      <c r="O68" s="10">
        <f t="shared" si="14"/>
        <v>273</v>
      </c>
      <c r="P68" s="10">
        <v>5912</v>
      </c>
      <c r="Q68" s="43">
        <f>(P68-565)*0.9</f>
        <v>4812.3</v>
      </c>
      <c r="R68" s="43">
        <f t="shared" si="12"/>
        <v>17.627472527472527</v>
      </c>
      <c r="S68" s="10" t="s">
        <v>30</v>
      </c>
      <c r="U68" s="43">
        <v>388342</v>
      </c>
      <c r="V68" s="10" t="s">
        <v>244</v>
      </c>
      <c r="W68" s="43">
        <f t="shared" si="15"/>
        <v>80.697795233048637</v>
      </c>
      <c r="X68" s="10">
        <v>4</v>
      </c>
      <c r="Y68" s="43">
        <f t="shared" si="16"/>
        <v>1422.4981684981685</v>
      </c>
      <c r="Z68" s="10"/>
    </row>
    <row r="69" spans="1:26" ht="40" customHeight="1" x14ac:dyDescent="0.2">
      <c r="A69" s="10">
        <v>7</v>
      </c>
      <c r="B69" s="10" t="s">
        <v>739</v>
      </c>
      <c r="E69" s="10" t="s">
        <v>604</v>
      </c>
      <c r="F69" s="10"/>
      <c r="G69" s="10" t="s">
        <v>58</v>
      </c>
      <c r="I69" s="10" t="s">
        <v>70</v>
      </c>
      <c r="J69" s="10" t="s">
        <v>599</v>
      </c>
      <c r="K69" s="10"/>
      <c r="M69" s="10">
        <v>8</v>
      </c>
      <c r="N69" s="10">
        <v>91</v>
      </c>
      <c r="O69" s="10">
        <f t="shared" si="14"/>
        <v>273</v>
      </c>
      <c r="P69" s="10">
        <v>5912</v>
      </c>
      <c r="Q69" s="43">
        <f>(P69-565)*0.9</f>
        <v>4812.3</v>
      </c>
      <c r="R69" s="43">
        <f t="shared" si="12"/>
        <v>17.627472527472527</v>
      </c>
      <c r="S69" s="10" t="s">
        <v>435</v>
      </c>
      <c r="U69" s="43">
        <v>31902</v>
      </c>
      <c r="V69" s="10" t="s">
        <v>244</v>
      </c>
      <c r="W69" s="43">
        <f t="shared" si="15"/>
        <v>6.6292625148058102</v>
      </c>
      <c r="X69" s="10">
        <v>4</v>
      </c>
      <c r="Y69" s="43">
        <f t="shared" si="16"/>
        <v>116.85714285714286</v>
      </c>
      <c r="Z69" s="10"/>
    </row>
  </sheetData>
  <pageMargins left="0.7" right="0.7" top="0.75" bottom="0.75" header="0.3" footer="0.3"/>
  <pageSetup paperSize="9"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tabColor rgb="FFFFC000"/>
  </sheetPr>
  <dimension ref="A1:AB3"/>
  <sheetViews>
    <sheetView zoomScaleNormal="100" workbookViewId="0"/>
  </sheetViews>
  <sheetFormatPr baseColWidth="10" defaultColWidth="9.1640625" defaultRowHeight="15" x14ac:dyDescent="0.2"/>
  <cols>
    <col min="1" max="1" width="3.5" style="11" customWidth="1"/>
    <col min="2" max="2" width="16.5" style="11" customWidth="1"/>
    <col min="3" max="3" width="31.5" style="11" customWidth="1"/>
    <col min="4" max="4" width="26" style="11" customWidth="1"/>
    <col min="5" max="6" width="25" style="11" customWidth="1"/>
    <col min="7" max="7" width="9.1640625" style="11"/>
    <col min="8" max="8" width="16.33203125" style="11" customWidth="1"/>
    <col min="9" max="9" width="27.6640625" style="11" customWidth="1"/>
    <col min="10" max="10" width="16" style="11" customWidth="1"/>
    <col min="11" max="11" width="12.5" style="11" customWidth="1"/>
    <col min="12" max="13" width="22.5" style="11" customWidth="1"/>
    <col min="14" max="14" width="23" style="11" customWidth="1"/>
    <col min="15" max="15" width="13.33203125" style="11" customWidth="1"/>
    <col min="16" max="16" width="13.5" style="11" customWidth="1"/>
    <col min="17" max="17" width="12.1640625" style="11" customWidth="1"/>
    <col min="18" max="18" width="13.33203125" style="11" customWidth="1"/>
    <col min="19" max="19" width="12.5" style="11" customWidth="1"/>
    <col min="20" max="20" width="9.1640625" style="11"/>
    <col min="21" max="21" width="11.33203125" style="11" customWidth="1"/>
    <col min="22" max="22" width="9.1640625" style="11"/>
    <col min="23" max="23" width="11.5" style="30" customWidth="1"/>
    <col min="24" max="24" width="10.1640625" style="11" customWidth="1"/>
    <col min="25" max="25" width="11.5" style="11" bestFit="1" customWidth="1"/>
    <col min="26" max="26" width="9.1640625" style="11"/>
    <col min="27" max="27" width="28.6640625" style="11" customWidth="1"/>
    <col min="28" max="28" width="14" style="11" customWidth="1"/>
    <col min="29" max="16384" width="9.1640625" style="11"/>
  </cols>
  <sheetData>
    <row r="1" spans="1:28"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5" t="s">
        <v>195</v>
      </c>
      <c r="P1" s="44" t="s">
        <v>194</v>
      </c>
      <c r="Q1" s="44" t="s">
        <v>413</v>
      </c>
      <c r="R1" s="44" t="s">
        <v>414</v>
      </c>
      <c r="S1" s="44" t="s">
        <v>193</v>
      </c>
      <c r="T1" s="44" t="s">
        <v>419</v>
      </c>
      <c r="U1" s="44" t="s">
        <v>519</v>
      </c>
      <c r="V1" s="44" t="s">
        <v>192</v>
      </c>
      <c r="W1" s="44" t="s">
        <v>384</v>
      </c>
      <c r="X1" s="44" t="s">
        <v>416</v>
      </c>
      <c r="Y1" s="44" t="s">
        <v>242</v>
      </c>
      <c r="Z1" s="45" t="s">
        <v>191</v>
      </c>
      <c r="AA1" s="44" t="s">
        <v>190</v>
      </c>
      <c r="AB1" s="44" t="s">
        <v>190</v>
      </c>
    </row>
    <row r="2" spans="1:28" ht="40" customHeight="1" x14ac:dyDescent="0.2">
      <c r="A2" s="10">
        <v>1</v>
      </c>
      <c r="B2" s="10" t="s">
        <v>726</v>
      </c>
      <c r="C2" s="10" t="s">
        <v>725</v>
      </c>
      <c r="D2" s="10" t="s">
        <v>850</v>
      </c>
      <c r="E2" s="10" t="s">
        <v>471</v>
      </c>
      <c r="F2" s="10" t="s">
        <v>473</v>
      </c>
      <c r="G2" s="10" t="s">
        <v>215</v>
      </c>
      <c r="H2" s="10" t="s">
        <v>474</v>
      </c>
      <c r="I2" s="10" t="s">
        <v>426</v>
      </c>
      <c r="J2" s="10" t="s">
        <v>475</v>
      </c>
      <c r="K2" s="10"/>
      <c r="L2" s="10"/>
      <c r="M2" s="10">
        <v>2</v>
      </c>
      <c r="N2" s="10">
        <v>1</v>
      </c>
      <c r="O2" s="10">
        <v>6.52</v>
      </c>
      <c r="P2" s="10"/>
      <c r="Q2" s="10">
        <v>50</v>
      </c>
      <c r="R2" s="43">
        <f>Q2/O2</f>
        <v>7.6687116564417179</v>
      </c>
      <c r="S2" s="10" t="s">
        <v>67</v>
      </c>
      <c r="T2" s="43">
        <v>670</v>
      </c>
      <c r="U2" s="43">
        <f>W2*Q2</f>
        <v>1702</v>
      </c>
      <c r="V2" s="10" t="s">
        <v>244</v>
      </c>
      <c r="W2" s="43">
        <v>34.04</v>
      </c>
      <c r="X2" s="10">
        <v>1</v>
      </c>
      <c r="Y2" s="43">
        <f>U2/O2</f>
        <v>261.04294478527606</v>
      </c>
      <c r="Z2" s="10"/>
      <c r="AA2" s="10" t="s">
        <v>477</v>
      </c>
      <c r="AB2" s="10"/>
    </row>
    <row r="3" spans="1:28" ht="40" customHeight="1" x14ac:dyDescent="0.2">
      <c r="A3" s="10">
        <v>1</v>
      </c>
      <c r="B3" s="10" t="s">
        <v>472</v>
      </c>
      <c r="C3" s="10"/>
      <c r="D3" s="10"/>
      <c r="E3" s="10"/>
      <c r="F3" s="10"/>
      <c r="G3" s="10" t="s">
        <v>215</v>
      </c>
      <c r="H3" s="10"/>
      <c r="I3" s="10" t="s">
        <v>426</v>
      </c>
      <c r="J3" s="10" t="s">
        <v>476</v>
      </c>
      <c r="K3" s="10"/>
      <c r="L3" s="10"/>
      <c r="M3" s="10">
        <v>2</v>
      </c>
      <c r="N3" s="10">
        <v>1</v>
      </c>
      <c r="O3" s="10">
        <v>6.52</v>
      </c>
      <c r="P3" s="10"/>
      <c r="Q3" s="10">
        <v>50</v>
      </c>
      <c r="R3" s="43">
        <f>Q3/O3</f>
        <v>7.6687116564417179</v>
      </c>
      <c r="S3" s="10" t="s">
        <v>67</v>
      </c>
      <c r="T3" s="43">
        <v>670</v>
      </c>
      <c r="U3" s="43">
        <f>W3*Q3</f>
        <v>1702</v>
      </c>
      <c r="V3" s="10" t="s">
        <v>244</v>
      </c>
      <c r="W3" s="43">
        <v>34.04</v>
      </c>
      <c r="X3" s="10">
        <v>1</v>
      </c>
      <c r="Y3" s="43">
        <f>U3/O3</f>
        <v>261.04294478527606</v>
      </c>
      <c r="Z3" s="10"/>
      <c r="AA3" s="34" t="s">
        <v>605</v>
      </c>
      <c r="AB3" s="10"/>
    </row>
  </sheetData>
  <hyperlinks>
    <hyperlink ref="AA3" r:id="rId1" xr:uid="{00000000-0004-0000-2000-000000000000}"/>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tabColor rgb="FFFF0000"/>
  </sheetPr>
  <dimension ref="A1:AA1"/>
  <sheetViews>
    <sheetView zoomScaleNormal="100" workbookViewId="0"/>
  </sheetViews>
  <sheetFormatPr baseColWidth="10" defaultColWidth="9.1640625" defaultRowHeight="15" x14ac:dyDescent="0.2"/>
  <cols>
    <col min="1" max="1" width="4.33203125" style="11" customWidth="1"/>
    <col min="2" max="2" width="10.6640625" style="11" customWidth="1"/>
    <col min="3" max="4" width="24" style="11" customWidth="1"/>
    <col min="5" max="6" width="25" style="11" customWidth="1"/>
    <col min="7" max="7" width="12.5" style="11" customWidth="1"/>
    <col min="8" max="8" width="16.33203125" style="11" customWidth="1"/>
    <col min="9" max="9" width="27.6640625" style="11" customWidth="1"/>
    <col min="10" max="10" width="17" style="11" customWidth="1"/>
    <col min="11" max="11" width="12.5" style="11" customWidth="1"/>
    <col min="12" max="13" width="22.5" style="11" customWidth="1"/>
    <col min="14" max="14" width="23" style="11" customWidth="1"/>
    <col min="15" max="15" width="13.33203125" style="11" customWidth="1"/>
    <col min="16" max="16" width="13.5" style="11" customWidth="1"/>
    <col min="17" max="17" width="12.1640625" style="11" customWidth="1"/>
    <col min="18" max="18" width="13.33203125" style="11" customWidth="1"/>
    <col min="19" max="19" width="12.5" style="11" customWidth="1"/>
    <col min="20" max="20" width="9.1640625" style="11"/>
    <col min="21" max="21" width="13" style="11" customWidth="1"/>
    <col min="22" max="22" width="9.1640625" style="11"/>
    <col min="23" max="23" width="12.1640625" style="11" customWidth="1"/>
    <col min="24" max="24" width="10.1640625" style="11" customWidth="1"/>
    <col min="25" max="26" width="9.1640625" style="11"/>
    <col min="27" max="27" width="24.6640625" style="11" customWidth="1"/>
    <col min="28" max="16384" width="9.1640625" style="11"/>
  </cols>
  <sheetData>
    <row r="1" spans="1:27"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5" t="s">
        <v>195</v>
      </c>
      <c r="P1" s="44" t="s">
        <v>194</v>
      </c>
      <c r="Q1" s="44" t="s">
        <v>413</v>
      </c>
      <c r="R1" s="44" t="s">
        <v>414</v>
      </c>
      <c r="S1" s="44" t="s">
        <v>193</v>
      </c>
      <c r="T1" s="44" t="s">
        <v>419</v>
      </c>
      <c r="U1" s="44" t="s">
        <v>519</v>
      </c>
      <c r="V1" s="44" t="s">
        <v>192</v>
      </c>
      <c r="W1" s="44" t="s">
        <v>384</v>
      </c>
      <c r="X1" s="44" t="s">
        <v>416</v>
      </c>
      <c r="Y1" s="44" t="s">
        <v>242</v>
      </c>
      <c r="Z1" s="45" t="s">
        <v>191</v>
      </c>
      <c r="AA1" s="44" t="s">
        <v>190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H29"/>
  <sheetViews>
    <sheetView zoomScaleNormal="100" workbookViewId="0">
      <selection activeCell="G25" sqref="G25"/>
    </sheetView>
  </sheetViews>
  <sheetFormatPr baseColWidth="10" defaultColWidth="8.83203125" defaultRowHeight="15" x14ac:dyDescent="0.2"/>
  <cols>
    <col min="2" max="2" width="31.6640625" customWidth="1"/>
    <col min="3" max="3" width="13.1640625" customWidth="1"/>
    <col min="4" max="4" width="13.83203125" customWidth="1"/>
    <col min="5" max="5" width="13.1640625" customWidth="1"/>
    <col min="6" max="6" width="13.33203125" customWidth="1"/>
    <col min="7" max="7" width="16" customWidth="1"/>
    <col min="8" max="8" width="14" customWidth="1"/>
  </cols>
  <sheetData>
    <row r="2" spans="1:8" ht="26.25" customHeight="1" x14ac:dyDescent="0.2">
      <c r="B2" s="73" t="s">
        <v>857</v>
      </c>
      <c r="C2" s="2"/>
    </row>
    <row r="3" spans="1:8" ht="26.25" customHeight="1" x14ac:dyDescent="0.2">
      <c r="B3" s="60" t="s">
        <v>2</v>
      </c>
      <c r="C3" s="1" t="s">
        <v>3</v>
      </c>
      <c r="D3" s="1" t="s">
        <v>4</v>
      </c>
      <c r="E3" s="1" t="s">
        <v>5</v>
      </c>
      <c r="F3" s="1" t="s">
        <v>6</v>
      </c>
      <c r="G3" s="1" t="s">
        <v>7</v>
      </c>
      <c r="H3" s="1" t="s">
        <v>437</v>
      </c>
    </row>
    <row r="4" spans="1:8" x14ac:dyDescent="0.2">
      <c r="A4" s="53"/>
      <c r="B4" s="63" t="s">
        <v>8</v>
      </c>
      <c r="C4" s="61" t="s">
        <v>232</v>
      </c>
      <c r="D4" s="61" t="s">
        <v>232</v>
      </c>
      <c r="E4" s="61" t="s">
        <v>232</v>
      </c>
      <c r="F4" s="61"/>
      <c r="G4" s="62" t="s">
        <v>232</v>
      </c>
      <c r="H4" s="62" t="s">
        <v>232</v>
      </c>
    </row>
    <row r="5" spans="1:8" x14ac:dyDescent="0.2">
      <c r="A5" s="53"/>
      <c r="B5" s="64" t="s">
        <v>10</v>
      </c>
      <c r="C5" s="59" t="s">
        <v>232</v>
      </c>
      <c r="D5" s="61" t="s">
        <v>232</v>
      </c>
      <c r="E5" s="61" t="s">
        <v>232</v>
      </c>
      <c r="F5" s="61" t="s">
        <v>232</v>
      </c>
      <c r="G5" s="61" t="s">
        <v>232</v>
      </c>
      <c r="H5" s="61" t="s">
        <v>232</v>
      </c>
    </row>
    <row r="6" spans="1:8" x14ac:dyDescent="0.2">
      <c r="A6" s="53"/>
      <c r="B6" s="64" t="s">
        <v>11</v>
      </c>
      <c r="C6" s="59"/>
      <c r="D6" s="59"/>
      <c r="E6" s="59"/>
      <c r="F6" s="59"/>
      <c r="G6" s="59"/>
      <c r="H6" s="59"/>
    </row>
    <row r="7" spans="1:8" x14ac:dyDescent="0.2">
      <c r="A7" s="53"/>
      <c r="B7" s="64" t="s">
        <v>12</v>
      </c>
      <c r="C7" s="59" t="s">
        <v>232</v>
      </c>
      <c r="D7" s="59" t="s">
        <v>232</v>
      </c>
      <c r="E7" s="59" t="s">
        <v>232</v>
      </c>
      <c r="F7" s="59"/>
      <c r="G7" s="59"/>
      <c r="H7" s="59"/>
    </row>
    <row r="8" spans="1:8" x14ac:dyDescent="0.2">
      <c r="A8" s="53"/>
      <c r="B8" s="64" t="s">
        <v>9</v>
      </c>
      <c r="C8" s="59" t="s">
        <v>232</v>
      </c>
      <c r="D8" s="61" t="s">
        <v>232</v>
      </c>
      <c r="E8" s="61" t="s">
        <v>232</v>
      </c>
      <c r="F8" s="61"/>
      <c r="G8" s="61"/>
      <c r="H8" s="61" t="s">
        <v>232</v>
      </c>
    </row>
    <row r="9" spans="1:8" x14ac:dyDescent="0.2">
      <c r="A9" s="53"/>
      <c r="B9" s="64" t="s">
        <v>13</v>
      </c>
      <c r="C9" s="59" t="s">
        <v>232</v>
      </c>
      <c r="D9" s="61" t="s">
        <v>232</v>
      </c>
      <c r="E9" s="61" t="s">
        <v>232</v>
      </c>
      <c r="F9" s="61"/>
      <c r="G9" s="61" t="s">
        <v>232</v>
      </c>
      <c r="H9" s="61" t="s">
        <v>232</v>
      </c>
    </row>
    <row r="10" spans="1:8" x14ac:dyDescent="0.2">
      <c r="A10" s="53"/>
      <c r="B10" s="64" t="s">
        <v>14</v>
      </c>
      <c r="C10" s="59"/>
      <c r="D10" s="61"/>
      <c r="E10" s="61"/>
      <c r="F10" s="61"/>
      <c r="G10" s="61"/>
      <c r="H10" s="61"/>
    </row>
    <row r="11" spans="1:8" x14ac:dyDescent="0.2">
      <c r="A11" s="53"/>
      <c r="B11" s="64" t="s">
        <v>235</v>
      </c>
      <c r="C11" s="59" t="s">
        <v>232</v>
      </c>
      <c r="D11" s="61" t="s">
        <v>232</v>
      </c>
      <c r="E11" s="61" t="s">
        <v>232</v>
      </c>
      <c r="F11" s="61"/>
      <c r="G11" s="61" t="s">
        <v>232</v>
      </c>
      <c r="H11" s="61" t="s">
        <v>232</v>
      </c>
    </row>
    <row r="12" spans="1:8" x14ac:dyDescent="0.2">
      <c r="A12" s="53"/>
      <c r="B12" s="64" t="s">
        <v>236</v>
      </c>
      <c r="C12" s="59"/>
      <c r="D12" s="62"/>
      <c r="E12" s="62"/>
      <c r="F12" s="61"/>
      <c r="G12" s="61"/>
      <c r="H12" s="61"/>
    </row>
    <row r="13" spans="1:8" x14ac:dyDescent="0.2">
      <c r="A13" s="53"/>
      <c r="B13" s="64" t="s">
        <v>239</v>
      </c>
      <c r="C13" s="59"/>
      <c r="D13" s="59"/>
      <c r="E13" s="59"/>
      <c r="F13" s="61" t="s">
        <v>232</v>
      </c>
      <c r="G13" s="61"/>
      <c r="H13" s="61"/>
    </row>
    <row r="14" spans="1:8" x14ac:dyDescent="0.2">
      <c r="A14" s="53"/>
      <c r="B14" s="64" t="s">
        <v>230</v>
      </c>
      <c r="C14" s="59" t="s">
        <v>232</v>
      </c>
      <c r="D14" s="59" t="s">
        <v>232</v>
      </c>
      <c r="E14" s="59" t="s">
        <v>232</v>
      </c>
      <c r="F14" s="61" t="s">
        <v>232</v>
      </c>
      <c r="G14" s="61" t="s">
        <v>232</v>
      </c>
      <c r="H14" s="61" t="s">
        <v>232</v>
      </c>
    </row>
    <row r="15" spans="1:8" x14ac:dyDescent="0.2">
      <c r="A15" s="53"/>
      <c r="B15" s="64" t="s">
        <v>231</v>
      </c>
      <c r="C15" s="59"/>
      <c r="D15" s="59" t="s">
        <v>232</v>
      </c>
      <c r="E15" s="59" t="s">
        <v>232</v>
      </c>
      <c r="F15" s="61"/>
      <c r="G15" s="59"/>
      <c r="H15" s="61" t="s">
        <v>232</v>
      </c>
    </row>
    <row r="16" spans="1:8" x14ac:dyDescent="0.2">
      <c r="A16" s="53"/>
      <c r="B16" s="64" t="s">
        <v>15</v>
      </c>
      <c r="C16" s="59" t="s">
        <v>232</v>
      </c>
      <c r="D16" s="59" t="s">
        <v>232</v>
      </c>
      <c r="E16" s="59" t="s">
        <v>232</v>
      </c>
      <c r="F16" s="61"/>
      <c r="G16" s="59"/>
      <c r="H16" s="62"/>
    </row>
    <row r="17" spans="1:8" x14ac:dyDescent="0.2">
      <c r="A17" s="53"/>
      <c r="B17" s="65" t="s">
        <v>16</v>
      </c>
      <c r="C17" s="59"/>
      <c r="D17" s="59"/>
      <c r="E17" s="59"/>
      <c r="F17" s="61"/>
      <c r="G17" s="59"/>
      <c r="H17" s="61"/>
    </row>
    <row r="18" spans="1:8" x14ac:dyDescent="0.2">
      <c r="A18" s="53"/>
      <c r="B18" s="64" t="s">
        <v>504</v>
      </c>
      <c r="C18" s="59"/>
      <c r="D18" s="59"/>
      <c r="E18" s="59"/>
      <c r="F18" s="61"/>
      <c r="G18" s="59"/>
      <c r="H18" s="61"/>
    </row>
    <row r="19" spans="1:8" x14ac:dyDescent="0.2">
      <c r="A19" s="53"/>
      <c r="B19" s="64" t="s">
        <v>27</v>
      </c>
      <c r="C19" s="59"/>
      <c r="D19" s="59"/>
      <c r="E19" s="59"/>
      <c r="F19" s="61"/>
      <c r="G19" s="59"/>
      <c r="H19" s="61"/>
    </row>
    <row r="20" spans="1:8" x14ac:dyDescent="0.2">
      <c r="A20" s="53"/>
      <c r="B20" s="64" t="s">
        <v>26</v>
      </c>
      <c r="C20" s="59" t="s">
        <v>232</v>
      </c>
      <c r="D20" s="59" t="s">
        <v>232</v>
      </c>
      <c r="E20" s="59" t="s">
        <v>232</v>
      </c>
      <c r="F20" s="61"/>
      <c r="G20" s="59" t="s">
        <v>232</v>
      </c>
      <c r="H20" s="61" t="s">
        <v>232</v>
      </c>
    </row>
    <row r="21" spans="1:8" x14ac:dyDescent="0.2">
      <c r="A21" s="53"/>
      <c r="B21" s="64" t="s">
        <v>25</v>
      </c>
      <c r="C21" s="59" t="s">
        <v>232</v>
      </c>
      <c r="D21" s="59" t="s">
        <v>232</v>
      </c>
      <c r="E21" s="59" t="s">
        <v>232</v>
      </c>
      <c r="F21" s="61" t="s">
        <v>232</v>
      </c>
      <c r="G21" s="59"/>
      <c r="H21" s="61" t="s">
        <v>232</v>
      </c>
    </row>
    <row r="22" spans="1:8" x14ac:dyDescent="0.2">
      <c r="A22" s="53"/>
      <c r="B22" s="64" t="s">
        <v>24</v>
      </c>
      <c r="C22" s="59" t="s">
        <v>232</v>
      </c>
      <c r="D22" s="59" t="s">
        <v>232</v>
      </c>
      <c r="E22" s="59"/>
      <c r="F22" s="61" t="s">
        <v>232</v>
      </c>
      <c r="G22" s="61"/>
      <c r="H22" s="61" t="s">
        <v>232</v>
      </c>
    </row>
    <row r="23" spans="1:8" x14ac:dyDescent="0.2">
      <c r="A23" s="53"/>
      <c r="B23" s="64" t="s">
        <v>23</v>
      </c>
      <c r="C23" s="59" t="s">
        <v>232</v>
      </c>
      <c r="D23" s="59" t="s">
        <v>232</v>
      </c>
      <c r="E23" s="59" t="s">
        <v>232</v>
      </c>
      <c r="F23" s="61" t="s">
        <v>232</v>
      </c>
      <c r="G23" s="61" t="s">
        <v>232</v>
      </c>
      <c r="H23" s="61" t="s">
        <v>232</v>
      </c>
    </row>
    <row r="24" spans="1:8" x14ac:dyDescent="0.2">
      <c r="A24" s="53"/>
      <c r="B24" s="64" t="s">
        <v>17</v>
      </c>
      <c r="C24" s="59" t="s">
        <v>232</v>
      </c>
      <c r="D24" s="59" t="s">
        <v>232</v>
      </c>
      <c r="E24" s="59" t="s">
        <v>232</v>
      </c>
      <c r="F24" s="61"/>
      <c r="G24" s="61" t="s">
        <v>232</v>
      </c>
      <c r="H24" s="61" t="s">
        <v>232</v>
      </c>
    </row>
    <row r="25" spans="1:8" x14ac:dyDescent="0.2">
      <c r="A25" s="53"/>
      <c r="B25" s="64" t="s">
        <v>18</v>
      </c>
      <c r="C25" s="59" t="s">
        <v>232</v>
      </c>
      <c r="D25" s="61" t="s">
        <v>232</v>
      </c>
      <c r="E25" s="61" t="s">
        <v>232</v>
      </c>
      <c r="F25" s="61"/>
      <c r="G25" s="61" t="s">
        <v>232</v>
      </c>
      <c r="H25" s="58" t="s">
        <v>232</v>
      </c>
    </row>
    <row r="26" spans="1:8" x14ac:dyDescent="0.2">
      <c r="A26" s="53"/>
      <c r="B26" s="64" t="s">
        <v>22</v>
      </c>
      <c r="C26" s="59" t="s">
        <v>232</v>
      </c>
      <c r="D26" s="61" t="s">
        <v>232</v>
      </c>
      <c r="E26" s="61" t="s">
        <v>232</v>
      </c>
      <c r="F26" s="61"/>
      <c r="G26" s="61" t="s">
        <v>232</v>
      </c>
      <c r="H26" s="59" t="s">
        <v>232</v>
      </c>
    </row>
    <row r="27" spans="1:8" x14ac:dyDescent="0.2">
      <c r="A27" s="53"/>
      <c r="B27" s="64" t="s">
        <v>21</v>
      </c>
      <c r="C27" s="59" t="s">
        <v>232</v>
      </c>
      <c r="D27" s="61" t="s">
        <v>232</v>
      </c>
      <c r="E27" s="61" t="s">
        <v>232</v>
      </c>
      <c r="F27" s="61" t="s">
        <v>232</v>
      </c>
      <c r="G27" s="61" t="s">
        <v>232</v>
      </c>
      <c r="H27" s="59" t="s">
        <v>232</v>
      </c>
    </row>
    <row r="28" spans="1:8" x14ac:dyDescent="0.2">
      <c r="A28" s="53"/>
      <c r="B28" s="64" t="s">
        <v>20</v>
      </c>
      <c r="C28" s="59"/>
      <c r="D28" s="66"/>
      <c r="E28" s="61" t="s">
        <v>232</v>
      </c>
      <c r="F28" s="61"/>
      <c r="G28" s="61"/>
      <c r="H28" s="59"/>
    </row>
    <row r="29" spans="1:8" x14ac:dyDescent="0.2">
      <c r="A29" s="53"/>
      <c r="B29" s="64" t="s">
        <v>19</v>
      </c>
      <c r="C29" s="61"/>
      <c r="D29" s="66"/>
      <c r="E29" s="61"/>
      <c r="F29" s="61"/>
      <c r="G29" s="61"/>
      <c r="H29" s="59"/>
    </row>
  </sheetData>
  <pageMargins left="0.7" right="0.7" top="0.75" bottom="0.75" header="0.3" footer="0.3"/>
  <pageSetup paperSize="9" orientation="portrait" horizontalDpi="0"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2D050"/>
  </sheetPr>
  <dimension ref="A1:AA27"/>
  <sheetViews>
    <sheetView topLeftCell="M6" zoomScale="93" zoomScaleNormal="100" workbookViewId="0">
      <selection activeCell="U24" sqref="U24"/>
    </sheetView>
  </sheetViews>
  <sheetFormatPr baseColWidth="10" defaultColWidth="9.1640625" defaultRowHeight="15" x14ac:dyDescent="0.2"/>
  <cols>
    <col min="1" max="1" width="3.5" style="10" customWidth="1"/>
    <col min="2" max="2" width="31.1640625" style="10" customWidth="1"/>
    <col min="3" max="3" width="42.6640625" style="10" customWidth="1"/>
    <col min="4" max="4" width="21.83203125" style="10" customWidth="1"/>
    <col min="5" max="5" width="22.5" style="10" customWidth="1"/>
    <col min="6" max="6" width="19" style="10" customWidth="1"/>
    <col min="7" max="7" width="9.1640625" style="10"/>
    <col min="8" max="8" width="16.33203125" style="10" customWidth="1"/>
    <col min="9" max="9" width="26.33203125" style="10" customWidth="1"/>
    <col min="10" max="10" width="17.5" style="10" customWidth="1"/>
    <col min="11" max="11" width="38.1640625" style="10" customWidth="1"/>
    <col min="12" max="12" width="13" style="10" customWidth="1"/>
    <col min="13" max="13" width="11.5" style="10" customWidth="1"/>
    <col min="14" max="14" width="23" style="10" customWidth="1"/>
    <col min="15" max="15" width="13.33203125" style="10" customWidth="1"/>
    <col min="16" max="16" width="15.5" style="10" customWidth="1"/>
    <col min="17" max="18" width="12.1640625" style="10" customWidth="1"/>
    <col min="19" max="19" width="27.83203125" style="10" customWidth="1"/>
    <col min="20" max="22" width="11.5" style="10" customWidth="1"/>
    <col min="23" max="23" width="12.5" style="10" customWidth="1"/>
    <col min="24" max="24" width="11.5" style="10" customWidth="1"/>
    <col min="25" max="25" width="11.1640625" style="10" customWidth="1"/>
    <col min="26" max="26" width="9.1640625" style="10"/>
    <col min="27" max="27" width="43.6640625" style="10" customWidth="1"/>
    <col min="28" max="16384" width="9.1640625" style="11"/>
  </cols>
  <sheetData>
    <row r="1" spans="1:27"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241</v>
      </c>
      <c r="R1" s="44" t="s">
        <v>414</v>
      </c>
      <c r="S1" s="44" t="s">
        <v>193</v>
      </c>
      <c r="T1" s="44" t="s">
        <v>419</v>
      </c>
      <c r="U1" s="44" t="s">
        <v>519</v>
      </c>
      <c r="V1" s="44" t="s">
        <v>192</v>
      </c>
      <c r="W1" s="44" t="s">
        <v>246</v>
      </c>
      <c r="X1" s="44" t="s">
        <v>416</v>
      </c>
      <c r="Y1" s="44" t="s">
        <v>242</v>
      </c>
      <c r="Z1" s="44" t="s">
        <v>191</v>
      </c>
      <c r="AA1" s="44" t="s">
        <v>190</v>
      </c>
    </row>
    <row r="2" spans="1:27" ht="40" customHeight="1" x14ac:dyDescent="0.2">
      <c r="A2" s="10">
        <v>1</v>
      </c>
      <c r="B2" s="10" t="s">
        <v>649</v>
      </c>
      <c r="C2" s="10" t="s">
        <v>646</v>
      </c>
      <c r="D2" s="10" t="s">
        <v>791</v>
      </c>
      <c r="E2" s="10" t="s">
        <v>521</v>
      </c>
      <c r="G2" s="10" t="s">
        <v>58</v>
      </c>
      <c r="I2" s="10" t="s">
        <v>389</v>
      </c>
      <c r="J2" s="10" t="s">
        <v>518</v>
      </c>
      <c r="K2" s="10" t="s">
        <v>650</v>
      </c>
      <c r="L2" s="10">
        <v>1980</v>
      </c>
      <c r="M2" s="10">
        <v>2</v>
      </c>
      <c r="N2" s="10">
        <v>2</v>
      </c>
      <c r="O2" s="10">
        <v>4</v>
      </c>
      <c r="P2" s="42">
        <v>236.15</v>
      </c>
      <c r="Q2" s="43">
        <f>236.15-21.55-22.02-16.16</f>
        <v>176.42</v>
      </c>
      <c r="R2" s="43">
        <f t="shared" ref="R2:R9" si="0">Q2/O2</f>
        <v>44.104999999999997</v>
      </c>
      <c r="S2" s="10" t="s">
        <v>290</v>
      </c>
      <c r="U2" s="10">
        <f>2.55*1000</f>
        <v>2550</v>
      </c>
      <c r="V2" s="10" t="s">
        <v>244</v>
      </c>
      <c r="W2" s="43">
        <f>U2/Q2</f>
        <v>14.454143521142729</v>
      </c>
      <c r="X2" s="42">
        <v>1</v>
      </c>
      <c r="Y2" s="10">
        <f t="shared" ref="Y2:Y11" si="1">U2/O2</f>
        <v>637.5</v>
      </c>
      <c r="Z2" s="10" t="s">
        <v>245</v>
      </c>
      <c r="AA2" s="10" t="s">
        <v>637</v>
      </c>
    </row>
    <row r="3" spans="1:27" ht="40" customHeight="1" x14ac:dyDescent="0.2">
      <c r="A3" s="10">
        <v>1</v>
      </c>
      <c r="B3" s="10" t="s">
        <v>788</v>
      </c>
      <c r="E3" s="10" t="s">
        <v>521</v>
      </c>
      <c r="G3" s="10" t="s">
        <v>58</v>
      </c>
      <c r="I3" s="10" t="s">
        <v>389</v>
      </c>
      <c r="J3" s="10" t="s">
        <v>518</v>
      </c>
      <c r="M3" s="10">
        <v>2</v>
      </c>
      <c r="N3" s="10">
        <v>2</v>
      </c>
      <c r="O3" s="10">
        <v>4</v>
      </c>
      <c r="Q3" s="10">
        <f>236.15-21.55-22.02-16.16</f>
        <v>176.42</v>
      </c>
      <c r="R3" s="43">
        <f t="shared" si="0"/>
        <v>44.104999999999997</v>
      </c>
      <c r="S3" s="10" t="s">
        <v>65</v>
      </c>
      <c r="T3" s="10">
        <v>2320</v>
      </c>
      <c r="U3" s="10">
        <f>17.5*T3</f>
        <v>40600</v>
      </c>
      <c r="V3" s="10" t="s">
        <v>244</v>
      </c>
      <c r="W3" s="43">
        <f>U3/Q3</f>
        <v>230.13263802289993</v>
      </c>
      <c r="X3" s="42">
        <v>1</v>
      </c>
      <c r="Y3" s="10">
        <f t="shared" si="1"/>
        <v>10150</v>
      </c>
      <c r="AA3" s="10" t="s">
        <v>637</v>
      </c>
    </row>
    <row r="4" spans="1:27" ht="40" customHeight="1" x14ac:dyDescent="0.2">
      <c r="A4" s="10">
        <v>1</v>
      </c>
      <c r="B4" s="10" t="s">
        <v>788</v>
      </c>
      <c r="E4" s="10" t="s">
        <v>521</v>
      </c>
      <c r="G4" s="10" t="s">
        <v>58</v>
      </c>
      <c r="I4" s="10" t="s">
        <v>389</v>
      </c>
      <c r="J4" s="10" t="s">
        <v>518</v>
      </c>
      <c r="M4" s="10">
        <v>2</v>
      </c>
      <c r="N4" s="10">
        <v>2</v>
      </c>
      <c r="O4" s="10">
        <v>4</v>
      </c>
      <c r="Q4" s="10">
        <f>236.15-21.55-22.02-16.16</f>
        <v>176.42</v>
      </c>
      <c r="R4" s="43">
        <f t="shared" si="0"/>
        <v>44.104999999999997</v>
      </c>
      <c r="S4" s="10" t="s">
        <v>30</v>
      </c>
      <c r="U4" s="10">
        <f>(1.88+0.01+0.44+0.04)*1000</f>
        <v>2370</v>
      </c>
      <c r="V4" s="10" t="s">
        <v>244</v>
      </c>
      <c r="W4" s="43">
        <f>U4/Q2</f>
        <v>13.433851037297359</v>
      </c>
      <c r="X4" s="42">
        <v>1</v>
      </c>
      <c r="Y4" s="10">
        <f t="shared" si="1"/>
        <v>592.5</v>
      </c>
      <c r="AA4" s="10" t="s">
        <v>637</v>
      </c>
    </row>
    <row r="5" spans="1:27" ht="40" customHeight="1" x14ac:dyDescent="0.2">
      <c r="A5" s="10">
        <v>1</v>
      </c>
      <c r="B5" s="10" t="s">
        <v>788</v>
      </c>
      <c r="E5" s="10" t="s">
        <v>521</v>
      </c>
      <c r="G5" s="10" t="s">
        <v>58</v>
      </c>
      <c r="I5" s="10" t="s">
        <v>389</v>
      </c>
      <c r="J5" s="10" t="s">
        <v>518</v>
      </c>
      <c r="M5" s="10">
        <v>2</v>
      </c>
      <c r="N5" s="10">
        <v>2</v>
      </c>
      <c r="O5" s="10">
        <v>4</v>
      </c>
      <c r="Q5" s="10">
        <f>236.15-21.55-22.02-16.16</f>
        <v>176.42</v>
      </c>
      <c r="R5" s="43">
        <f t="shared" si="0"/>
        <v>44.104999999999997</v>
      </c>
      <c r="S5" s="10" t="s">
        <v>67</v>
      </c>
      <c r="T5" s="10">
        <v>450</v>
      </c>
      <c r="U5" s="10">
        <f>(10.29+8.56+2.47)*T5</f>
        <v>9594</v>
      </c>
      <c r="V5" s="10" t="s">
        <v>244</v>
      </c>
      <c r="W5" s="43">
        <f t="shared" ref="W5:W12" si="2">U5/Q5</f>
        <v>54.381589388958169</v>
      </c>
      <c r="X5" s="42">
        <v>1</v>
      </c>
      <c r="Y5" s="10">
        <f t="shared" si="1"/>
        <v>2398.5</v>
      </c>
      <c r="AA5" s="10" t="s">
        <v>637</v>
      </c>
    </row>
    <row r="6" spans="1:27" ht="40" customHeight="1" x14ac:dyDescent="0.2">
      <c r="A6" s="10">
        <v>2</v>
      </c>
      <c r="B6" s="10" t="s">
        <v>648</v>
      </c>
      <c r="C6" s="10" t="s">
        <v>792</v>
      </c>
      <c r="D6" s="10" t="s">
        <v>793</v>
      </c>
      <c r="E6" s="10" t="s">
        <v>521</v>
      </c>
      <c r="G6" s="10" t="s">
        <v>58</v>
      </c>
      <c r="I6" s="10" t="s">
        <v>438</v>
      </c>
      <c r="J6" s="10" t="s">
        <v>531</v>
      </c>
      <c r="K6" s="10" t="s">
        <v>796</v>
      </c>
      <c r="M6" s="10">
        <v>8</v>
      </c>
      <c r="N6" s="10">
        <f>4*M6</f>
        <v>32</v>
      </c>
      <c r="O6" s="10">
        <f>3*N6</f>
        <v>96</v>
      </c>
      <c r="P6" s="10">
        <v>4160</v>
      </c>
      <c r="Q6" s="10">
        <f>P6*0.9</f>
        <v>3744</v>
      </c>
      <c r="R6" s="43">
        <f t="shared" si="0"/>
        <v>39</v>
      </c>
      <c r="S6" s="10" t="s">
        <v>65</v>
      </c>
      <c r="U6" s="10">
        <f>(987.43+2907.63)*1000</f>
        <v>3895060</v>
      </c>
      <c r="V6" s="10" t="s">
        <v>244</v>
      </c>
      <c r="W6" s="43">
        <f t="shared" si="2"/>
        <v>1040.3472222222222</v>
      </c>
      <c r="X6" s="42">
        <v>4</v>
      </c>
      <c r="Y6" s="43">
        <f t="shared" si="1"/>
        <v>40573.541666666664</v>
      </c>
      <c r="AA6" s="10" t="s">
        <v>492</v>
      </c>
    </row>
    <row r="7" spans="1:27" ht="40" customHeight="1" x14ac:dyDescent="0.2">
      <c r="A7" s="10">
        <v>2</v>
      </c>
      <c r="B7" s="10" t="s">
        <v>789</v>
      </c>
      <c r="E7" s="10" t="s">
        <v>521</v>
      </c>
      <c r="G7" s="10" t="s">
        <v>58</v>
      </c>
      <c r="I7" s="10" t="s">
        <v>438</v>
      </c>
      <c r="J7" s="10" t="s">
        <v>531</v>
      </c>
      <c r="M7" s="10">
        <v>8</v>
      </c>
      <c r="N7" s="10">
        <f>4*M7</f>
        <v>32</v>
      </c>
      <c r="O7" s="10">
        <f>3*N7</f>
        <v>96</v>
      </c>
      <c r="P7" s="10">
        <v>4160</v>
      </c>
      <c r="Q7" s="10">
        <f>P7*0.9</f>
        <v>3744</v>
      </c>
      <c r="R7" s="43">
        <f t="shared" si="0"/>
        <v>39</v>
      </c>
      <c r="S7" s="10" t="s">
        <v>30</v>
      </c>
      <c r="U7" s="10">
        <f>(3.9+167.51)*1000</f>
        <v>171410</v>
      </c>
      <c r="V7" s="10" t="s">
        <v>244</v>
      </c>
      <c r="W7" s="43">
        <f t="shared" si="2"/>
        <v>45.782585470085472</v>
      </c>
      <c r="X7" s="42">
        <v>4</v>
      </c>
      <c r="Y7" s="43">
        <f t="shared" si="1"/>
        <v>1785.5208333333333</v>
      </c>
      <c r="AA7" s="10" t="s">
        <v>492</v>
      </c>
    </row>
    <row r="8" spans="1:27" ht="40" customHeight="1" x14ac:dyDescent="0.2">
      <c r="A8" s="10">
        <v>2</v>
      </c>
      <c r="B8" s="10" t="s">
        <v>789</v>
      </c>
      <c r="E8" s="10" t="s">
        <v>521</v>
      </c>
      <c r="G8" s="10" t="s">
        <v>58</v>
      </c>
      <c r="I8" s="10" t="s">
        <v>438</v>
      </c>
      <c r="J8" s="10" t="s">
        <v>531</v>
      </c>
      <c r="M8" s="10">
        <v>8</v>
      </c>
      <c r="N8" s="10">
        <f>4*M8</f>
        <v>32</v>
      </c>
      <c r="O8" s="10">
        <f>3*N8</f>
        <v>96</v>
      </c>
      <c r="P8" s="10">
        <v>4160</v>
      </c>
      <c r="Q8" s="10">
        <f>P8*0.9</f>
        <v>3744</v>
      </c>
      <c r="R8" s="43">
        <f t="shared" si="0"/>
        <v>39</v>
      </c>
      <c r="S8" s="10" t="s">
        <v>435</v>
      </c>
      <c r="U8" s="10">
        <v>4480</v>
      </c>
      <c r="V8" s="10" t="s">
        <v>244</v>
      </c>
      <c r="W8" s="43">
        <f t="shared" si="2"/>
        <v>1.1965811965811965</v>
      </c>
      <c r="X8" s="42">
        <v>4</v>
      </c>
      <c r="Y8" s="43">
        <f t="shared" si="1"/>
        <v>46.666666666666664</v>
      </c>
      <c r="AA8" s="10" t="s">
        <v>492</v>
      </c>
    </row>
    <row r="9" spans="1:27" ht="40" customHeight="1" x14ac:dyDescent="0.2">
      <c r="A9" s="10">
        <v>2</v>
      </c>
      <c r="B9" s="10" t="s">
        <v>789</v>
      </c>
      <c r="E9" s="10" t="s">
        <v>521</v>
      </c>
      <c r="G9" s="10" t="s">
        <v>58</v>
      </c>
      <c r="I9" s="10" t="s">
        <v>438</v>
      </c>
      <c r="J9" s="10" t="s">
        <v>531</v>
      </c>
      <c r="M9" s="10">
        <v>8</v>
      </c>
      <c r="N9" s="10">
        <f>4*M9</f>
        <v>32</v>
      </c>
      <c r="O9" s="10">
        <f>3*N9</f>
        <v>96</v>
      </c>
      <c r="P9" s="10">
        <v>4160</v>
      </c>
      <c r="Q9" s="10">
        <f>P9*0.9</f>
        <v>3744</v>
      </c>
      <c r="R9" s="43">
        <f t="shared" si="0"/>
        <v>39</v>
      </c>
      <c r="S9" s="10" t="s">
        <v>67</v>
      </c>
      <c r="U9" s="10">
        <f>(2.58+52.43+52.28)*1000</f>
        <v>107289.99999999999</v>
      </c>
      <c r="V9" s="10" t="s">
        <v>244</v>
      </c>
      <c r="W9" s="43">
        <f t="shared" si="2"/>
        <v>28.65651709401709</v>
      </c>
      <c r="X9" s="42">
        <v>4</v>
      </c>
      <c r="Y9" s="43">
        <f t="shared" si="1"/>
        <v>1117.6041666666665</v>
      </c>
      <c r="AA9" s="10" t="s">
        <v>492</v>
      </c>
    </row>
    <row r="10" spans="1:27" ht="40" customHeight="1" x14ac:dyDescent="0.2">
      <c r="A10" s="10">
        <v>3</v>
      </c>
      <c r="B10" s="10" t="s">
        <v>795</v>
      </c>
      <c r="C10" s="10" t="s">
        <v>643</v>
      </c>
      <c r="D10" s="10" t="s">
        <v>794</v>
      </c>
      <c r="E10" s="10" t="s">
        <v>521</v>
      </c>
      <c r="G10" s="10" t="s">
        <v>58</v>
      </c>
      <c r="I10" s="10" t="s">
        <v>389</v>
      </c>
      <c r="J10" s="10" t="s">
        <v>651</v>
      </c>
      <c r="M10" s="10">
        <v>2</v>
      </c>
      <c r="N10" s="10">
        <v>1</v>
      </c>
      <c r="O10" s="10">
        <v>4</v>
      </c>
      <c r="Q10" s="10">
        <v>200</v>
      </c>
      <c r="R10" s="43">
        <f>Q10/O10</f>
        <v>50</v>
      </c>
      <c r="S10" s="10" t="s">
        <v>290</v>
      </c>
      <c r="U10" s="10">
        <f>0.9535*1000</f>
        <v>953.5</v>
      </c>
      <c r="V10" s="10" t="s">
        <v>244</v>
      </c>
      <c r="W10" s="43">
        <f t="shared" si="2"/>
        <v>4.7675000000000001</v>
      </c>
      <c r="X10" s="42">
        <v>1</v>
      </c>
      <c r="Y10" s="43">
        <f t="shared" si="1"/>
        <v>238.375</v>
      </c>
      <c r="AA10" s="10" t="s">
        <v>637</v>
      </c>
    </row>
    <row r="11" spans="1:27" ht="40" customHeight="1" x14ac:dyDescent="0.2">
      <c r="A11" s="10">
        <v>3</v>
      </c>
      <c r="B11" s="10" t="s">
        <v>790</v>
      </c>
      <c r="E11" s="10" t="s">
        <v>521</v>
      </c>
      <c r="G11" s="10" t="s">
        <v>58</v>
      </c>
      <c r="I11" s="10" t="s">
        <v>389</v>
      </c>
      <c r="J11" s="10" t="s">
        <v>651</v>
      </c>
      <c r="M11" s="10">
        <v>2</v>
      </c>
      <c r="N11" s="10">
        <v>1</v>
      </c>
      <c r="O11" s="10">
        <v>4</v>
      </c>
      <c r="Q11" s="10">
        <v>200</v>
      </c>
      <c r="R11" s="43">
        <f>Q11/O11</f>
        <v>50</v>
      </c>
      <c r="S11" s="10" t="s">
        <v>30</v>
      </c>
      <c r="U11" s="10">
        <f>(0.9929+0.2063+1.6778)*1000</f>
        <v>2877</v>
      </c>
      <c r="V11" s="10" t="s">
        <v>244</v>
      </c>
      <c r="W11" s="43">
        <f t="shared" si="2"/>
        <v>14.385</v>
      </c>
      <c r="X11" s="42">
        <v>1</v>
      </c>
      <c r="Y11" s="43">
        <f t="shared" si="1"/>
        <v>719.25</v>
      </c>
      <c r="AA11" s="10" t="s">
        <v>637</v>
      </c>
    </row>
    <row r="12" spans="1:27" ht="40" customHeight="1" x14ac:dyDescent="0.2">
      <c r="A12" s="10">
        <v>3</v>
      </c>
      <c r="B12" s="10" t="s">
        <v>790</v>
      </c>
      <c r="E12" s="10" t="s">
        <v>521</v>
      </c>
      <c r="G12" s="10" t="s">
        <v>58</v>
      </c>
      <c r="I12" s="10" t="s">
        <v>389</v>
      </c>
      <c r="J12" s="10" t="s">
        <v>651</v>
      </c>
      <c r="M12" s="10">
        <v>2</v>
      </c>
      <c r="N12" s="10">
        <v>1</v>
      </c>
      <c r="O12" s="10">
        <v>4</v>
      </c>
      <c r="Q12" s="10">
        <v>200</v>
      </c>
      <c r="R12" s="43">
        <f>Q12/O12</f>
        <v>50</v>
      </c>
      <c r="S12" s="10" t="s">
        <v>65</v>
      </c>
      <c r="T12" s="10">
        <v>2320</v>
      </c>
      <c r="U12" s="10">
        <f>49.7196*T12</f>
        <v>115349.47199999999</v>
      </c>
      <c r="V12" s="10" t="s">
        <v>244</v>
      </c>
      <c r="W12" s="43">
        <f t="shared" si="2"/>
        <v>576.74735999999996</v>
      </c>
      <c r="X12" s="42">
        <v>1</v>
      </c>
      <c r="Y12" s="43">
        <f t="shared" ref="Y12:Y16" si="3">U12/O12</f>
        <v>28837.367999999999</v>
      </c>
      <c r="AA12" s="10" t="s">
        <v>637</v>
      </c>
    </row>
    <row r="13" spans="1:27" ht="40" customHeight="1" x14ac:dyDescent="0.2">
      <c r="A13" s="10">
        <v>3</v>
      </c>
      <c r="B13" s="10" t="s">
        <v>790</v>
      </c>
      <c r="E13" s="10" t="s">
        <v>521</v>
      </c>
      <c r="G13" s="10" t="s">
        <v>58</v>
      </c>
      <c r="I13" s="10" t="s">
        <v>389</v>
      </c>
      <c r="J13" s="10" t="s">
        <v>651</v>
      </c>
      <c r="M13" s="10">
        <v>2</v>
      </c>
      <c r="N13" s="10">
        <v>1</v>
      </c>
      <c r="O13" s="10">
        <v>4</v>
      </c>
      <c r="Q13" s="10">
        <v>200</v>
      </c>
      <c r="R13" s="43">
        <f>Q13/O13</f>
        <v>50</v>
      </c>
      <c r="S13" s="10" t="s">
        <v>67</v>
      </c>
      <c r="T13" s="10">
        <v>450</v>
      </c>
      <c r="U13" s="10">
        <f>(6.3607+12.8069)*T13</f>
        <v>8625.42</v>
      </c>
      <c r="V13" s="10" t="s">
        <v>244</v>
      </c>
      <c r="W13" s="43">
        <f>U13/Q13</f>
        <v>43.127099999999999</v>
      </c>
      <c r="X13" s="42">
        <v>1</v>
      </c>
      <c r="Y13" s="43">
        <f t="shared" si="3"/>
        <v>2156.355</v>
      </c>
      <c r="AA13" s="10" t="s">
        <v>637</v>
      </c>
    </row>
    <row r="14" spans="1:27" ht="40" customHeight="1" x14ac:dyDescent="0.2">
      <c r="A14" s="10">
        <v>3</v>
      </c>
      <c r="B14" s="10" t="s">
        <v>790</v>
      </c>
      <c r="E14" s="10" t="s">
        <v>521</v>
      </c>
      <c r="G14" s="10" t="s">
        <v>58</v>
      </c>
      <c r="I14" s="10" t="s">
        <v>438</v>
      </c>
      <c r="J14" s="10" t="s">
        <v>652</v>
      </c>
      <c r="M14" s="10">
        <v>8</v>
      </c>
      <c r="N14" s="10">
        <f>6*7</f>
        <v>42</v>
      </c>
      <c r="O14" s="10">
        <f>3*N14</f>
        <v>126</v>
      </c>
      <c r="Q14" s="10">
        <v>4000</v>
      </c>
      <c r="R14" s="43">
        <f>Q15/O14</f>
        <v>31.746031746031747</v>
      </c>
      <c r="S14" s="10" t="s">
        <v>290</v>
      </c>
      <c r="U14" s="10">
        <f>34.3954*1000</f>
        <v>34395.4</v>
      </c>
      <c r="V14" s="10" t="s">
        <v>244</v>
      </c>
      <c r="W14" s="43">
        <f>U14/Q14</f>
        <v>8.5988500000000005</v>
      </c>
      <c r="X14" s="42">
        <v>1</v>
      </c>
      <c r="Y14" s="43">
        <f t="shared" si="3"/>
        <v>272.9793650793651</v>
      </c>
      <c r="AA14" s="10" t="s">
        <v>637</v>
      </c>
    </row>
    <row r="15" spans="1:27" ht="40" customHeight="1" x14ac:dyDescent="0.2">
      <c r="A15" s="10">
        <v>3</v>
      </c>
      <c r="B15" s="10" t="s">
        <v>790</v>
      </c>
      <c r="E15" s="10" t="s">
        <v>521</v>
      </c>
      <c r="G15" s="10" t="s">
        <v>58</v>
      </c>
      <c r="I15" s="10" t="s">
        <v>438</v>
      </c>
      <c r="J15" s="10" t="s">
        <v>652</v>
      </c>
      <c r="M15" s="10">
        <v>8</v>
      </c>
      <c r="N15" s="10">
        <f>6*7</f>
        <v>42</v>
      </c>
      <c r="O15" s="10">
        <f>3*N15</f>
        <v>126</v>
      </c>
      <c r="Q15" s="10">
        <v>4000</v>
      </c>
      <c r="R15" s="43">
        <f>Q16/O15</f>
        <v>31.746031746031747</v>
      </c>
      <c r="S15" s="10" t="s">
        <v>30</v>
      </c>
      <c r="U15" s="10">
        <f>(7.5265+4.0241+264.8485)*1000</f>
        <v>276399.09999999998</v>
      </c>
      <c r="V15" s="10" t="s">
        <v>244</v>
      </c>
      <c r="W15" s="43">
        <f>U15/Q15</f>
        <v>69.099774999999994</v>
      </c>
      <c r="X15" s="42">
        <v>1</v>
      </c>
      <c r="Y15" s="43">
        <f t="shared" si="3"/>
        <v>2193.6436507936505</v>
      </c>
      <c r="AA15" s="10" t="s">
        <v>637</v>
      </c>
    </row>
    <row r="16" spans="1:27" ht="40" customHeight="1" x14ac:dyDescent="0.2">
      <c r="A16" s="10">
        <v>3</v>
      </c>
      <c r="B16" s="10" t="s">
        <v>790</v>
      </c>
      <c r="E16" s="10" t="s">
        <v>521</v>
      </c>
      <c r="G16" s="10" t="s">
        <v>58</v>
      </c>
      <c r="I16" s="10" t="s">
        <v>438</v>
      </c>
      <c r="J16" s="10" t="s">
        <v>652</v>
      </c>
      <c r="M16" s="10">
        <v>8</v>
      </c>
      <c r="N16" s="10">
        <f>6*7</f>
        <v>42</v>
      </c>
      <c r="O16" s="10">
        <f>3*N16</f>
        <v>126</v>
      </c>
      <c r="Q16" s="10">
        <v>4000</v>
      </c>
      <c r="R16" s="43">
        <f>Q16/O16</f>
        <v>31.746031746031747</v>
      </c>
      <c r="S16" s="10" t="s">
        <v>65</v>
      </c>
      <c r="T16" s="10">
        <v>2320</v>
      </c>
      <c r="U16" s="10">
        <f>(180.6732+1040.9091+1921.9318)*T16</f>
        <v>7292952.7120000012</v>
      </c>
      <c r="V16" s="10" t="s">
        <v>244</v>
      </c>
      <c r="W16" s="43">
        <f>U16/Q16</f>
        <v>1823.2381780000003</v>
      </c>
      <c r="X16" s="43">
        <v>1</v>
      </c>
      <c r="Y16" s="43">
        <f t="shared" si="3"/>
        <v>57880.577079365088</v>
      </c>
      <c r="AA16" s="10" t="s">
        <v>637</v>
      </c>
    </row>
    <row r="19" spans="23:23" x14ac:dyDescent="0.2">
      <c r="W19" s="43"/>
    </row>
    <row r="20" spans="23:23" x14ac:dyDescent="0.2">
      <c r="W20" s="43"/>
    </row>
    <row r="21" spans="23:23" x14ac:dyDescent="0.2">
      <c r="W21" s="43"/>
    </row>
    <row r="22" spans="23:23" x14ac:dyDescent="0.2">
      <c r="W22" s="43"/>
    </row>
    <row r="23" spans="23:23" x14ac:dyDescent="0.2">
      <c r="W23" s="43"/>
    </row>
    <row r="24" spans="23:23" x14ac:dyDescent="0.2">
      <c r="W24" s="43"/>
    </row>
    <row r="25" spans="23:23" x14ac:dyDescent="0.2">
      <c r="W25" s="43"/>
    </row>
    <row r="26" spans="23:23" x14ac:dyDescent="0.2">
      <c r="W26" s="43"/>
    </row>
    <row r="27" spans="23:23" x14ac:dyDescent="0.2">
      <c r="W27" s="43"/>
    </row>
  </sheetData>
  <pageMargins left="0.7" right="0.7" top="0.75" bottom="0.75" header="0.3" footer="0.3"/>
  <pageSetup paperSize="9" orientation="portrait" horizontalDpi="0" verticalDpi="0" r:id="rId1"/>
  <ignoredErrors>
    <ignoredError sqref="W4" formula="1"/>
  </ignoredError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1EDD-6442-426E-B531-3A9266704952}">
  <sheetPr>
    <tabColor rgb="FF00B050"/>
  </sheetPr>
  <dimension ref="A1:AA29"/>
  <sheetViews>
    <sheetView zoomScale="60" zoomScaleNormal="100" workbookViewId="0">
      <selection activeCell="D14" sqref="D14"/>
    </sheetView>
  </sheetViews>
  <sheetFormatPr baseColWidth="10" defaultColWidth="9.1640625" defaultRowHeight="15" x14ac:dyDescent="0.2"/>
  <cols>
    <col min="1" max="1" width="3.5" style="10" customWidth="1"/>
    <col min="2" max="2" width="31.1640625" style="10" customWidth="1"/>
    <col min="3" max="3" width="42.6640625" style="10" customWidth="1"/>
    <col min="4" max="4" width="21.83203125" style="10" customWidth="1"/>
    <col min="5" max="5" width="22.5" style="10" customWidth="1"/>
    <col min="6" max="6" width="19" style="10" customWidth="1"/>
    <col min="7" max="7" width="9.1640625" style="10"/>
    <col min="8" max="8" width="16.33203125" style="10" customWidth="1"/>
    <col min="9" max="9" width="26.33203125" style="10" customWidth="1"/>
    <col min="10" max="10" width="17.5" style="10" customWidth="1"/>
    <col min="11" max="11" width="38.1640625" style="10" customWidth="1"/>
    <col min="12" max="12" width="13" style="10" customWidth="1"/>
    <col min="13" max="13" width="11.5" style="10" customWidth="1"/>
    <col min="14" max="14" width="23" style="10" customWidth="1"/>
    <col min="15" max="15" width="13.33203125" style="10" customWidth="1"/>
    <col min="16" max="16" width="15.5" style="10" customWidth="1"/>
    <col min="17" max="18" width="12.1640625" style="10" customWidth="1"/>
    <col min="19" max="19" width="27.83203125" style="10" customWidth="1"/>
    <col min="20" max="22" width="11.5" style="10" customWidth="1"/>
    <col min="23" max="23" width="12.5" style="10" customWidth="1"/>
    <col min="24" max="24" width="11.5" style="10" customWidth="1"/>
    <col min="25" max="25" width="11.1640625" style="10" customWidth="1"/>
    <col min="26" max="26" width="9.1640625" style="10"/>
    <col min="27" max="27" width="43.6640625" style="10" customWidth="1"/>
    <col min="28" max="16384" width="9.1640625" style="11"/>
  </cols>
  <sheetData>
    <row r="1" spans="1:27"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241</v>
      </c>
      <c r="R1" s="44" t="s">
        <v>414</v>
      </c>
      <c r="S1" s="44" t="s">
        <v>193</v>
      </c>
      <c r="T1" s="44" t="s">
        <v>419</v>
      </c>
      <c r="U1" s="44" t="s">
        <v>519</v>
      </c>
      <c r="V1" s="44" t="s">
        <v>192</v>
      </c>
      <c r="W1" s="44" t="s">
        <v>246</v>
      </c>
      <c r="X1" s="44" t="s">
        <v>416</v>
      </c>
      <c r="Y1" s="44" t="s">
        <v>242</v>
      </c>
      <c r="Z1" s="44" t="s">
        <v>191</v>
      </c>
      <c r="AA1" s="44" t="s">
        <v>190</v>
      </c>
    </row>
    <row r="2" spans="1:27" ht="40" customHeight="1" x14ac:dyDescent="0.2">
      <c r="A2" s="10">
        <v>1</v>
      </c>
      <c r="B2" s="10" t="s">
        <v>887</v>
      </c>
      <c r="C2" s="10" t="s">
        <v>429</v>
      </c>
      <c r="D2" s="10" t="s">
        <v>797</v>
      </c>
      <c r="E2" s="10" t="s">
        <v>427</v>
      </c>
      <c r="G2" s="10" t="s">
        <v>58</v>
      </c>
      <c r="I2" s="10" t="s">
        <v>389</v>
      </c>
      <c r="J2" s="10" t="s">
        <v>428</v>
      </c>
      <c r="L2" s="10" t="s">
        <v>430</v>
      </c>
      <c r="M2" s="10">
        <v>2</v>
      </c>
      <c r="N2" s="10">
        <v>1</v>
      </c>
      <c r="O2" s="10">
        <v>4</v>
      </c>
      <c r="Q2" s="42">
        <v>227.61240000000001</v>
      </c>
      <c r="R2" s="43">
        <f>Q2/O2</f>
        <v>56.903100000000002</v>
      </c>
      <c r="S2" s="10" t="s">
        <v>65</v>
      </c>
      <c r="U2" s="10">
        <v>181042.1</v>
      </c>
      <c r="V2" s="10" t="s">
        <v>244</v>
      </c>
      <c r="W2" s="43">
        <f t="shared" ref="W2:W27" si="0">U2/Q2</f>
        <v>795.39647224843634</v>
      </c>
      <c r="X2" s="10">
        <v>1</v>
      </c>
      <c r="Y2" s="43">
        <f>U2/O2</f>
        <v>45260.525000000001</v>
      </c>
      <c r="Z2" s="10" t="s">
        <v>425</v>
      </c>
    </row>
    <row r="3" spans="1:27" ht="40" customHeight="1" x14ac:dyDescent="0.2">
      <c r="A3" s="10">
        <v>1</v>
      </c>
      <c r="B3" s="10" t="s">
        <v>653</v>
      </c>
      <c r="E3" s="10" t="s">
        <v>427</v>
      </c>
      <c r="G3" s="10" t="s">
        <v>58</v>
      </c>
      <c r="I3" s="10" t="s">
        <v>389</v>
      </c>
      <c r="J3" s="10" t="s">
        <v>428</v>
      </c>
      <c r="L3" s="10" t="s">
        <v>430</v>
      </c>
      <c r="M3" s="10">
        <v>2</v>
      </c>
      <c r="N3" s="10">
        <v>1</v>
      </c>
      <c r="O3" s="10">
        <v>4</v>
      </c>
      <c r="Q3" s="42">
        <v>227.61240000000001</v>
      </c>
      <c r="R3" s="43">
        <f>Q3/O3</f>
        <v>56.903100000000002</v>
      </c>
      <c r="S3" s="10" t="s">
        <v>30</v>
      </c>
      <c r="U3" s="10">
        <f>14.8+3901</f>
        <v>3915.8</v>
      </c>
      <c r="V3" s="10" t="s">
        <v>244</v>
      </c>
      <c r="W3" s="43">
        <f t="shared" si="0"/>
        <v>17.2038078768995</v>
      </c>
      <c r="X3" s="10">
        <v>1</v>
      </c>
      <c r="Y3" s="43">
        <f t="shared" ref="Y3:Y28" si="1">U3/O3</f>
        <v>978.95</v>
      </c>
      <c r="Z3" s="10" t="s">
        <v>425</v>
      </c>
    </row>
    <row r="4" spans="1:27" ht="40" customHeight="1" x14ac:dyDescent="0.2">
      <c r="A4" s="10">
        <v>1</v>
      </c>
      <c r="B4" s="10" t="s">
        <v>653</v>
      </c>
      <c r="E4" s="10" t="s">
        <v>427</v>
      </c>
      <c r="G4" s="10" t="s">
        <v>58</v>
      </c>
      <c r="I4" s="10" t="s">
        <v>389</v>
      </c>
      <c r="J4" s="10" t="s">
        <v>428</v>
      </c>
      <c r="L4" s="10" t="s">
        <v>430</v>
      </c>
      <c r="M4" s="10">
        <v>2</v>
      </c>
      <c r="N4" s="10">
        <v>1</v>
      </c>
      <c r="O4" s="10">
        <v>4</v>
      </c>
      <c r="Q4" s="42">
        <v>227.61240000000001</v>
      </c>
      <c r="R4" s="43">
        <f t="shared" ref="R4:R29" si="2">Q4/O4</f>
        <v>56.903100000000002</v>
      </c>
      <c r="S4" s="10" t="s">
        <v>290</v>
      </c>
      <c r="U4" s="10">
        <f>38.6+42.7</f>
        <v>81.300000000000011</v>
      </c>
      <c r="V4" s="10" t="s">
        <v>244</v>
      </c>
      <c r="W4" s="43">
        <f t="shared" si="0"/>
        <v>0.35718616384696095</v>
      </c>
      <c r="X4" s="10">
        <v>1</v>
      </c>
      <c r="Y4" s="43">
        <f t="shared" si="1"/>
        <v>20.325000000000003</v>
      </c>
      <c r="Z4" s="10" t="s">
        <v>425</v>
      </c>
    </row>
    <row r="5" spans="1:27" ht="40" customHeight="1" x14ac:dyDescent="0.2">
      <c r="A5" s="10">
        <v>1</v>
      </c>
      <c r="B5" s="10" t="s">
        <v>653</v>
      </c>
      <c r="E5" s="10" t="s">
        <v>427</v>
      </c>
      <c r="G5" s="10" t="s">
        <v>58</v>
      </c>
      <c r="I5" s="10" t="s">
        <v>389</v>
      </c>
      <c r="J5" s="10" t="s">
        <v>428</v>
      </c>
      <c r="L5" s="10" t="s">
        <v>430</v>
      </c>
      <c r="M5" s="10">
        <v>2</v>
      </c>
      <c r="N5" s="10">
        <v>1</v>
      </c>
      <c r="O5" s="10">
        <v>4</v>
      </c>
      <c r="Q5" s="42">
        <v>227.61240000000001</v>
      </c>
      <c r="R5" s="43">
        <f t="shared" si="2"/>
        <v>56.903100000000002</v>
      </c>
      <c r="S5" s="10" t="s">
        <v>412</v>
      </c>
      <c r="U5" s="10">
        <v>256.89999999999998</v>
      </c>
      <c r="V5" s="10" t="s">
        <v>244</v>
      </c>
      <c r="W5" s="43">
        <f t="shared" si="0"/>
        <v>1.128673130286399</v>
      </c>
      <c r="X5" s="10">
        <v>1</v>
      </c>
      <c r="Y5" s="43">
        <f>U5/O5</f>
        <v>64.224999999999994</v>
      </c>
      <c r="Z5" s="10" t="s">
        <v>425</v>
      </c>
    </row>
    <row r="6" spans="1:27" ht="40" customHeight="1" x14ac:dyDescent="0.2">
      <c r="A6" s="10">
        <v>1</v>
      </c>
      <c r="B6" s="10" t="s">
        <v>653</v>
      </c>
      <c r="E6" s="10" t="s">
        <v>427</v>
      </c>
      <c r="G6" s="10" t="s">
        <v>58</v>
      </c>
      <c r="I6" s="10" t="s">
        <v>389</v>
      </c>
      <c r="J6" s="10" t="s">
        <v>428</v>
      </c>
      <c r="L6" s="10" t="s">
        <v>430</v>
      </c>
      <c r="M6" s="10">
        <v>2</v>
      </c>
      <c r="N6" s="10">
        <v>1</v>
      </c>
      <c r="O6" s="10">
        <v>4</v>
      </c>
      <c r="Q6" s="42">
        <v>227.61240000000001</v>
      </c>
      <c r="R6" s="43">
        <f t="shared" si="2"/>
        <v>56.903100000000002</v>
      </c>
      <c r="S6" s="10" t="s">
        <v>67</v>
      </c>
      <c r="U6" s="10">
        <v>15323.8</v>
      </c>
      <c r="V6" s="10" t="s">
        <v>244</v>
      </c>
      <c r="W6" s="43">
        <f t="shared" si="0"/>
        <v>67.324100092965054</v>
      </c>
      <c r="X6" s="10">
        <v>1</v>
      </c>
      <c r="Y6" s="43">
        <f t="shared" si="1"/>
        <v>3830.95</v>
      </c>
      <c r="Z6" s="10" t="s">
        <v>425</v>
      </c>
    </row>
    <row r="7" spans="1:27" ht="40" customHeight="1" x14ac:dyDescent="0.2">
      <c r="A7" s="10">
        <v>1</v>
      </c>
      <c r="B7" s="10" t="s">
        <v>653</v>
      </c>
      <c r="E7" s="10" t="s">
        <v>427</v>
      </c>
      <c r="G7" s="10" t="s">
        <v>58</v>
      </c>
      <c r="I7" s="10" t="s">
        <v>389</v>
      </c>
      <c r="J7" s="10" t="s">
        <v>428</v>
      </c>
      <c r="L7" s="10" t="s">
        <v>430</v>
      </c>
      <c r="M7" s="10">
        <v>2</v>
      </c>
      <c r="N7" s="10">
        <v>1</v>
      </c>
      <c r="O7" s="10">
        <v>4</v>
      </c>
      <c r="Q7" s="42">
        <v>227.61240000000001</v>
      </c>
      <c r="R7" s="43">
        <f t="shared" si="2"/>
        <v>56.903100000000002</v>
      </c>
      <c r="S7" s="10" t="s">
        <v>435</v>
      </c>
      <c r="U7" s="10">
        <v>1012</v>
      </c>
      <c r="V7" s="10" t="s">
        <v>244</v>
      </c>
      <c r="W7" s="43">
        <f t="shared" si="0"/>
        <v>4.4461549546509769</v>
      </c>
      <c r="X7" s="10">
        <v>1</v>
      </c>
      <c r="Y7" s="43">
        <f t="shared" si="1"/>
        <v>253</v>
      </c>
      <c r="Z7" s="10" t="s">
        <v>425</v>
      </c>
    </row>
    <row r="8" spans="1:27" ht="40" customHeight="1" x14ac:dyDescent="0.2">
      <c r="A8" s="10">
        <v>2</v>
      </c>
      <c r="B8" s="10" t="s">
        <v>655</v>
      </c>
      <c r="C8" s="10" t="s">
        <v>640</v>
      </c>
      <c r="D8" s="10" t="s">
        <v>798</v>
      </c>
      <c r="E8" s="10" t="s">
        <v>431</v>
      </c>
      <c r="G8" s="10" t="s">
        <v>58</v>
      </c>
      <c r="I8" s="10" t="s">
        <v>389</v>
      </c>
      <c r="J8" s="10" t="s">
        <v>428</v>
      </c>
      <c r="L8" s="10" t="s">
        <v>430</v>
      </c>
      <c r="M8" s="10">
        <v>2</v>
      </c>
      <c r="N8" s="10">
        <v>1</v>
      </c>
      <c r="O8" s="10">
        <v>4</v>
      </c>
      <c r="Q8" s="10">
        <v>286</v>
      </c>
      <c r="R8" s="43">
        <f t="shared" si="2"/>
        <v>71.5</v>
      </c>
      <c r="S8" s="10" t="s">
        <v>65</v>
      </c>
      <c r="U8" s="10">
        <f>101951+55850</f>
        <v>157801</v>
      </c>
      <c r="V8" s="10" t="s">
        <v>244</v>
      </c>
      <c r="W8" s="43">
        <f t="shared" si="0"/>
        <v>551.75174825174827</v>
      </c>
      <c r="X8" s="10">
        <v>1</v>
      </c>
      <c r="Y8" s="43">
        <f t="shared" si="1"/>
        <v>39450.25</v>
      </c>
      <c r="Z8" s="10" t="s">
        <v>436</v>
      </c>
    </row>
    <row r="9" spans="1:27" ht="40" customHeight="1" x14ac:dyDescent="0.2">
      <c r="A9" s="10">
        <v>2</v>
      </c>
      <c r="B9" s="10" t="s">
        <v>654</v>
      </c>
      <c r="E9" s="10" t="s">
        <v>431</v>
      </c>
      <c r="G9" s="10" t="s">
        <v>58</v>
      </c>
      <c r="I9" s="10" t="s">
        <v>389</v>
      </c>
      <c r="J9" s="10" t="s">
        <v>428</v>
      </c>
      <c r="L9" s="10" t="s">
        <v>430</v>
      </c>
      <c r="M9" s="10">
        <v>2</v>
      </c>
      <c r="N9" s="10">
        <v>1</v>
      </c>
      <c r="O9" s="10">
        <v>4</v>
      </c>
      <c r="Q9" s="10">
        <v>286</v>
      </c>
      <c r="R9" s="43">
        <f t="shared" si="2"/>
        <v>71.5</v>
      </c>
      <c r="S9" s="10" t="s">
        <v>290</v>
      </c>
      <c r="U9" s="10">
        <v>390</v>
      </c>
      <c r="V9" s="10" t="s">
        <v>244</v>
      </c>
      <c r="W9" s="43">
        <f t="shared" si="0"/>
        <v>1.3636363636363635</v>
      </c>
      <c r="X9" s="10">
        <v>1</v>
      </c>
      <c r="Y9" s="43">
        <f t="shared" si="1"/>
        <v>97.5</v>
      </c>
      <c r="Z9" s="10" t="s">
        <v>436</v>
      </c>
    </row>
    <row r="10" spans="1:27" ht="40" customHeight="1" x14ac:dyDescent="0.2">
      <c r="A10" s="10">
        <v>2</v>
      </c>
      <c r="B10" s="10" t="s">
        <v>654</v>
      </c>
      <c r="E10" s="10" t="s">
        <v>431</v>
      </c>
      <c r="G10" s="10" t="s">
        <v>58</v>
      </c>
      <c r="I10" s="10" t="s">
        <v>389</v>
      </c>
      <c r="J10" s="10" t="s">
        <v>428</v>
      </c>
      <c r="L10" s="10" t="s">
        <v>430</v>
      </c>
      <c r="M10" s="10">
        <v>2</v>
      </c>
      <c r="N10" s="10">
        <v>1</v>
      </c>
      <c r="O10" s="10">
        <v>4</v>
      </c>
      <c r="Q10" s="10">
        <v>286</v>
      </c>
      <c r="R10" s="43">
        <f t="shared" si="2"/>
        <v>71.5</v>
      </c>
      <c r="S10" s="10" t="s">
        <v>412</v>
      </c>
      <c r="U10" s="10">
        <v>136</v>
      </c>
      <c r="V10" s="10" t="s">
        <v>244</v>
      </c>
      <c r="W10" s="43">
        <f t="shared" si="0"/>
        <v>0.47552447552447552</v>
      </c>
      <c r="X10" s="10">
        <v>1</v>
      </c>
      <c r="Y10" s="43">
        <f t="shared" si="1"/>
        <v>34</v>
      </c>
      <c r="Z10" s="10" t="s">
        <v>436</v>
      </c>
    </row>
    <row r="11" spans="1:27" ht="40" customHeight="1" x14ac:dyDescent="0.2">
      <c r="A11" s="10">
        <v>2</v>
      </c>
      <c r="B11" s="10" t="s">
        <v>654</v>
      </c>
      <c r="E11" s="10" t="s">
        <v>431</v>
      </c>
      <c r="G11" s="10" t="s">
        <v>58</v>
      </c>
      <c r="I11" s="10" t="s">
        <v>389</v>
      </c>
      <c r="J11" s="10" t="s">
        <v>428</v>
      </c>
      <c r="L11" s="10" t="s">
        <v>430</v>
      </c>
      <c r="M11" s="10">
        <v>2</v>
      </c>
      <c r="N11" s="10">
        <v>1</v>
      </c>
      <c r="O11" s="10">
        <v>4</v>
      </c>
      <c r="Q11" s="10">
        <v>286</v>
      </c>
      <c r="R11" s="43">
        <f t="shared" si="2"/>
        <v>71.5</v>
      </c>
      <c r="S11" s="10" t="s">
        <v>67</v>
      </c>
      <c r="U11" s="10">
        <v>8457</v>
      </c>
      <c r="V11" s="10" t="s">
        <v>244</v>
      </c>
      <c r="W11" s="43">
        <f t="shared" si="0"/>
        <v>29.56993006993007</v>
      </c>
      <c r="X11" s="10">
        <v>1</v>
      </c>
      <c r="Y11" s="43">
        <f t="shared" si="1"/>
        <v>2114.25</v>
      </c>
      <c r="Z11" s="10" t="s">
        <v>436</v>
      </c>
    </row>
    <row r="12" spans="1:27" ht="40" customHeight="1" x14ac:dyDescent="0.2">
      <c r="A12" s="10">
        <v>2</v>
      </c>
      <c r="B12" s="10" t="s">
        <v>654</v>
      </c>
      <c r="E12" s="10" t="s">
        <v>431</v>
      </c>
      <c r="G12" s="10" t="s">
        <v>58</v>
      </c>
      <c r="I12" s="10" t="s">
        <v>389</v>
      </c>
      <c r="J12" s="10" t="s">
        <v>428</v>
      </c>
      <c r="L12" s="10" t="s">
        <v>430</v>
      </c>
      <c r="M12" s="10">
        <v>2</v>
      </c>
      <c r="N12" s="10">
        <v>1</v>
      </c>
      <c r="O12" s="10">
        <v>4</v>
      </c>
      <c r="Q12" s="10">
        <v>286</v>
      </c>
      <c r="R12" s="43">
        <f t="shared" si="2"/>
        <v>71.5</v>
      </c>
      <c r="S12" s="10" t="s">
        <v>435</v>
      </c>
      <c r="U12" s="10">
        <v>628</v>
      </c>
      <c r="V12" s="10" t="s">
        <v>244</v>
      </c>
      <c r="W12" s="43">
        <f t="shared" si="0"/>
        <v>2.1958041958041958</v>
      </c>
      <c r="X12" s="10">
        <v>1</v>
      </c>
      <c r="Y12" s="43">
        <f t="shared" si="1"/>
        <v>157</v>
      </c>
      <c r="Z12" s="10" t="s">
        <v>436</v>
      </c>
    </row>
    <row r="13" spans="1:27" ht="40" customHeight="1" x14ac:dyDescent="0.2">
      <c r="A13" s="10">
        <v>3</v>
      </c>
      <c r="B13" s="10" t="s">
        <v>656</v>
      </c>
      <c r="C13" s="10" t="s">
        <v>505</v>
      </c>
      <c r="D13" s="10" t="s">
        <v>799</v>
      </c>
      <c r="E13" s="10" t="s">
        <v>520</v>
      </c>
      <c r="G13" s="10" t="s">
        <v>58</v>
      </c>
      <c r="I13" s="10" t="s">
        <v>389</v>
      </c>
      <c r="J13" s="10" t="s">
        <v>506</v>
      </c>
      <c r="L13" s="10" t="s">
        <v>507</v>
      </c>
      <c r="M13" s="10">
        <v>1</v>
      </c>
      <c r="N13" s="10">
        <v>1</v>
      </c>
      <c r="O13" s="10">
        <v>4</v>
      </c>
      <c r="P13" s="42">
        <f>0.092903*(30*40)</f>
        <v>111.4836</v>
      </c>
      <c r="Q13" s="42">
        <f t="shared" ref="Q13:Q29" si="3">P13*0.9</f>
        <v>100.33524</v>
      </c>
      <c r="R13" s="43">
        <f t="shared" si="2"/>
        <v>25.08381</v>
      </c>
      <c r="S13" s="10" t="s">
        <v>290</v>
      </c>
      <c r="U13" s="10">
        <f>0.31*1000</f>
        <v>310</v>
      </c>
      <c r="V13" s="10" t="s">
        <v>244</v>
      </c>
      <c r="W13" s="43">
        <f t="shared" si="0"/>
        <v>3.0896422832097676</v>
      </c>
      <c r="X13" s="10">
        <v>1</v>
      </c>
      <c r="Y13" s="43">
        <f t="shared" si="1"/>
        <v>77.5</v>
      </c>
      <c r="Z13" s="10" t="s">
        <v>436</v>
      </c>
      <c r="AA13" s="10" t="s">
        <v>522</v>
      </c>
    </row>
    <row r="14" spans="1:27" ht="40" customHeight="1" x14ac:dyDescent="0.2">
      <c r="A14" s="10">
        <v>3</v>
      </c>
      <c r="B14" s="10" t="s">
        <v>657</v>
      </c>
      <c r="E14" s="10" t="s">
        <v>520</v>
      </c>
      <c r="G14" s="10" t="s">
        <v>58</v>
      </c>
      <c r="I14" s="10" t="s">
        <v>389</v>
      </c>
      <c r="J14" s="10" t="s">
        <v>512</v>
      </c>
      <c r="L14" s="10" t="s">
        <v>507</v>
      </c>
      <c r="M14" s="10">
        <v>1</v>
      </c>
      <c r="N14" s="10">
        <v>1</v>
      </c>
      <c r="O14" s="10">
        <v>4</v>
      </c>
      <c r="P14" s="42">
        <f>0.092903*(30*40)</f>
        <v>111.4836</v>
      </c>
      <c r="Q14" s="42">
        <f t="shared" si="3"/>
        <v>100.33524</v>
      </c>
      <c r="R14" s="43">
        <f t="shared" si="2"/>
        <v>25.08381</v>
      </c>
      <c r="S14" s="10" t="s">
        <v>30</v>
      </c>
      <c r="U14" s="10">
        <f>0.52*1000</f>
        <v>520</v>
      </c>
      <c r="V14" s="10" t="s">
        <v>244</v>
      </c>
      <c r="W14" s="43">
        <f t="shared" si="0"/>
        <v>5.1826257653841266</v>
      </c>
      <c r="X14" s="10">
        <v>1</v>
      </c>
      <c r="Y14" s="43">
        <f t="shared" si="1"/>
        <v>130</v>
      </c>
      <c r="Z14" s="10" t="s">
        <v>436</v>
      </c>
      <c r="AA14" s="10" t="s">
        <v>522</v>
      </c>
    </row>
    <row r="15" spans="1:27" ht="40" customHeight="1" x14ac:dyDescent="0.2">
      <c r="A15" s="10">
        <v>3</v>
      </c>
      <c r="B15" s="10" t="s">
        <v>657</v>
      </c>
      <c r="E15" s="10" t="s">
        <v>520</v>
      </c>
      <c r="G15" s="10" t="s">
        <v>58</v>
      </c>
      <c r="I15" s="10" t="s">
        <v>389</v>
      </c>
      <c r="J15" s="10" t="s">
        <v>509</v>
      </c>
      <c r="L15" s="10" t="s">
        <v>75</v>
      </c>
      <c r="M15" s="10">
        <v>1</v>
      </c>
      <c r="N15" s="10">
        <v>1</v>
      </c>
      <c r="O15" s="10">
        <v>4</v>
      </c>
      <c r="P15" s="42">
        <f>0.092903*1400</f>
        <v>130.0642</v>
      </c>
      <c r="Q15" s="42">
        <f t="shared" si="3"/>
        <v>117.05778000000001</v>
      </c>
      <c r="R15" s="43">
        <f t="shared" si="2"/>
        <v>29.264445000000002</v>
      </c>
      <c r="S15" s="10" t="s">
        <v>290</v>
      </c>
      <c r="U15" s="10">
        <f>0.31*1000</f>
        <v>310</v>
      </c>
      <c r="V15" s="10" t="s">
        <v>244</v>
      </c>
      <c r="W15" s="43">
        <f t="shared" si="0"/>
        <v>2.6482648141798006</v>
      </c>
      <c r="X15" s="10">
        <v>1</v>
      </c>
      <c r="Y15" s="43">
        <f t="shared" si="1"/>
        <v>77.5</v>
      </c>
      <c r="Z15" s="10" t="s">
        <v>436</v>
      </c>
      <c r="AA15" s="10" t="s">
        <v>522</v>
      </c>
    </row>
    <row r="16" spans="1:27" ht="40" customHeight="1" x14ac:dyDescent="0.2">
      <c r="A16" s="10">
        <v>3</v>
      </c>
      <c r="B16" s="10" t="s">
        <v>657</v>
      </c>
      <c r="E16" s="10" t="s">
        <v>520</v>
      </c>
      <c r="G16" s="10" t="s">
        <v>58</v>
      </c>
      <c r="I16" s="10" t="s">
        <v>389</v>
      </c>
      <c r="J16" s="10" t="s">
        <v>513</v>
      </c>
      <c r="L16" s="10" t="s">
        <v>75</v>
      </c>
      <c r="M16" s="10">
        <v>1</v>
      </c>
      <c r="N16" s="10">
        <v>1</v>
      </c>
      <c r="O16" s="10">
        <v>4</v>
      </c>
      <c r="P16" s="42">
        <f>0.092903*1400</f>
        <v>130.0642</v>
      </c>
      <c r="Q16" s="42">
        <f t="shared" si="3"/>
        <v>117.05778000000001</v>
      </c>
      <c r="R16" s="43">
        <f t="shared" si="2"/>
        <v>29.264445000000002</v>
      </c>
      <c r="S16" s="10" t="s">
        <v>30</v>
      </c>
      <c r="U16" s="10">
        <f>0.44*1000</f>
        <v>440</v>
      </c>
      <c r="V16" s="10" t="s">
        <v>244</v>
      </c>
      <c r="W16" s="43">
        <f t="shared" si="0"/>
        <v>3.7588274781906845</v>
      </c>
      <c r="X16" s="10">
        <v>1</v>
      </c>
      <c r="Y16" s="43">
        <f t="shared" si="1"/>
        <v>110</v>
      </c>
      <c r="Z16" s="10" t="s">
        <v>436</v>
      </c>
      <c r="AA16" s="10" t="s">
        <v>522</v>
      </c>
    </row>
    <row r="17" spans="1:27" ht="48" x14ac:dyDescent="0.2">
      <c r="A17" s="10">
        <v>3</v>
      </c>
      <c r="B17" s="10" t="s">
        <v>657</v>
      </c>
      <c r="E17" s="10" t="s">
        <v>520</v>
      </c>
      <c r="G17" s="10" t="s">
        <v>58</v>
      </c>
      <c r="I17" s="10" t="s">
        <v>389</v>
      </c>
      <c r="J17" s="10" t="s">
        <v>514</v>
      </c>
      <c r="L17" s="10" t="s">
        <v>75</v>
      </c>
      <c r="M17" s="10">
        <v>1</v>
      </c>
      <c r="N17" s="10">
        <v>1</v>
      </c>
      <c r="O17" s="10">
        <v>4</v>
      </c>
      <c r="P17" s="42">
        <f>0.092903*1400</f>
        <v>130.0642</v>
      </c>
      <c r="Q17" s="42">
        <f t="shared" si="3"/>
        <v>117.05778000000001</v>
      </c>
      <c r="R17" s="43">
        <f t="shared" si="2"/>
        <v>29.264445000000002</v>
      </c>
      <c r="S17" s="10" t="s">
        <v>65</v>
      </c>
      <c r="T17" s="10">
        <v>2320</v>
      </c>
      <c r="U17" s="42">
        <f>(17.86/1.308)*T17</f>
        <v>31678.2874617737</v>
      </c>
      <c r="V17" s="10" t="s">
        <v>244</v>
      </c>
      <c r="W17" s="43">
        <f>U17/Q17</f>
        <v>270.62094857576915</v>
      </c>
      <c r="X17" s="10">
        <v>1</v>
      </c>
      <c r="Y17" s="43">
        <f>U17/O17</f>
        <v>7919.5718654434249</v>
      </c>
      <c r="Z17" s="10" t="s">
        <v>436</v>
      </c>
      <c r="AA17" s="10" t="s">
        <v>522</v>
      </c>
    </row>
    <row r="18" spans="1:27" ht="48" x14ac:dyDescent="0.2">
      <c r="A18" s="10">
        <v>3</v>
      </c>
      <c r="B18" s="10" t="s">
        <v>657</v>
      </c>
      <c r="E18" s="10" t="s">
        <v>520</v>
      </c>
      <c r="G18" s="10" t="s">
        <v>58</v>
      </c>
      <c r="I18" s="10" t="s">
        <v>389</v>
      </c>
      <c r="J18" s="10" t="s">
        <v>508</v>
      </c>
      <c r="L18" s="10" t="s">
        <v>510</v>
      </c>
      <c r="M18" s="10">
        <v>1</v>
      </c>
      <c r="N18" s="10">
        <v>1</v>
      </c>
      <c r="O18" s="10">
        <v>4</v>
      </c>
      <c r="P18" s="42">
        <f>0.092903*(42*50)</f>
        <v>195.09629999999999</v>
      </c>
      <c r="Q18" s="42">
        <f t="shared" si="3"/>
        <v>175.58667</v>
      </c>
      <c r="R18" s="43">
        <f t="shared" si="2"/>
        <v>43.8966675</v>
      </c>
      <c r="S18" s="10" t="s">
        <v>290</v>
      </c>
      <c r="U18" s="42">
        <f>0.31*1000</f>
        <v>310</v>
      </c>
      <c r="V18" s="10" t="s">
        <v>244</v>
      </c>
      <c r="W18" s="43">
        <f t="shared" si="0"/>
        <v>1.7655098761198673</v>
      </c>
      <c r="X18" s="10">
        <v>1</v>
      </c>
      <c r="Y18" s="43">
        <f t="shared" si="1"/>
        <v>77.5</v>
      </c>
      <c r="Z18" s="10" t="s">
        <v>436</v>
      </c>
      <c r="AA18" s="10" t="s">
        <v>522</v>
      </c>
    </row>
    <row r="19" spans="1:27" ht="48" x14ac:dyDescent="0.2">
      <c r="A19" s="10">
        <v>3</v>
      </c>
      <c r="B19" s="10" t="s">
        <v>657</v>
      </c>
      <c r="E19" s="10" t="s">
        <v>520</v>
      </c>
      <c r="G19" s="10" t="s">
        <v>58</v>
      </c>
      <c r="I19" s="10" t="s">
        <v>389</v>
      </c>
      <c r="J19" s="10" t="s">
        <v>515</v>
      </c>
      <c r="L19" s="10" t="s">
        <v>510</v>
      </c>
      <c r="M19" s="10">
        <v>1</v>
      </c>
      <c r="N19" s="10">
        <v>1</v>
      </c>
      <c r="O19" s="10">
        <v>4</v>
      </c>
      <c r="P19" s="42">
        <f>0.092903*(42*50)</f>
        <v>195.09629999999999</v>
      </c>
      <c r="Q19" s="42">
        <f t="shared" si="3"/>
        <v>175.58667</v>
      </c>
      <c r="R19" s="43">
        <f t="shared" si="2"/>
        <v>43.8966675</v>
      </c>
      <c r="S19" s="10" t="s">
        <v>30</v>
      </c>
      <c r="U19" s="42">
        <f>0.51*1000</f>
        <v>510</v>
      </c>
      <c r="V19" s="10" t="s">
        <v>244</v>
      </c>
      <c r="W19" s="43">
        <f t="shared" si="0"/>
        <v>2.9045485058746201</v>
      </c>
      <c r="X19" s="10">
        <v>1</v>
      </c>
      <c r="Y19" s="43">
        <f t="shared" si="1"/>
        <v>127.5</v>
      </c>
      <c r="Z19" s="10" t="s">
        <v>436</v>
      </c>
      <c r="AA19" s="10" t="s">
        <v>522</v>
      </c>
    </row>
    <row r="20" spans="1:27" ht="48" x14ac:dyDescent="0.2">
      <c r="A20" s="10">
        <v>3</v>
      </c>
      <c r="B20" s="10" t="s">
        <v>657</v>
      </c>
      <c r="E20" s="10" t="s">
        <v>520</v>
      </c>
      <c r="G20" s="10" t="s">
        <v>58</v>
      </c>
      <c r="I20" s="10" t="s">
        <v>389</v>
      </c>
      <c r="J20" s="10" t="s">
        <v>516</v>
      </c>
      <c r="L20" s="10" t="s">
        <v>510</v>
      </c>
      <c r="M20" s="10">
        <v>1</v>
      </c>
      <c r="N20" s="10">
        <v>1</v>
      </c>
      <c r="O20" s="10">
        <v>4</v>
      </c>
      <c r="P20" s="42">
        <f>0.092903*(42*50)</f>
        <v>195.09629999999999</v>
      </c>
      <c r="Q20" s="42">
        <f t="shared" si="3"/>
        <v>175.58667</v>
      </c>
      <c r="R20" s="43">
        <f t="shared" si="2"/>
        <v>43.8966675</v>
      </c>
      <c r="S20" s="10" t="s">
        <v>65</v>
      </c>
      <c r="T20" s="10">
        <v>2320</v>
      </c>
      <c r="U20" s="42">
        <f>(26.79/1.308)*T20</f>
        <v>47517.431192660544</v>
      </c>
      <c r="V20" s="10" t="s">
        <v>244</v>
      </c>
      <c r="W20" s="43">
        <f>U20/Q20</f>
        <v>270.62094857576915</v>
      </c>
      <c r="X20" s="10">
        <v>1</v>
      </c>
      <c r="Y20" s="43">
        <f>U20/O20</f>
        <v>11879.357798165136</v>
      </c>
      <c r="Z20" s="10" t="s">
        <v>436</v>
      </c>
      <c r="AA20" s="10" t="s">
        <v>522</v>
      </c>
    </row>
    <row r="21" spans="1:27" ht="48" x14ac:dyDescent="0.2">
      <c r="A21" s="10">
        <v>3</v>
      </c>
      <c r="B21" s="10" t="s">
        <v>657</v>
      </c>
      <c r="E21" s="10" t="s">
        <v>520</v>
      </c>
      <c r="G21" s="10" t="s">
        <v>58</v>
      </c>
      <c r="I21" s="10" t="s">
        <v>438</v>
      </c>
      <c r="J21" s="10" t="s">
        <v>511</v>
      </c>
      <c r="L21" s="10" t="s">
        <v>75</v>
      </c>
      <c r="M21" s="10">
        <v>10</v>
      </c>
      <c r="N21" s="10">
        <f>10*M21</f>
        <v>100</v>
      </c>
      <c r="O21" s="10">
        <f>4*N21</f>
        <v>400</v>
      </c>
      <c r="P21" s="42">
        <f>0.092903*1000*N21</f>
        <v>9290.3000000000011</v>
      </c>
      <c r="Q21" s="42">
        <f t="shared" si="3"/>
        <v>8361.27</v>
      </c>
      <c r="R21" s="43">
        <f t="shared" si="2"/>
        <v>20.903175000000001</v>
      </c>
      <c r="S21" s="10" t="s">
        <v>290</v>
      </c>
      <c r="U21" s="42">
        <f>25.48*1000</f>
        <v>25480</v>
      </c>
      <c r="V21" s="10" t="s">
        <v>244</v>
      </c>
      <c r="W21" s="43">
        <f t="shared" si="0"/>
        <v>3.0473839500458659</v>
      </c>
      <c r="X21" s="10">
        <v>4</v>
      </c>
      <c r="Y21" s="43">
        <f t="shared" si="1"/>
        <v>63.7</v>
      </c>
      <c r="Z21" s="10" t="s">
        <v>436</v>
      </c>
      <c r="AA21" s="10" t="s">
        <v>492</v>
      </c>
    </row>
    <row r="22" spans="1:27" ht="48" x14ac:dyDescent="0.2">
      <c r="A22" s="10">
        <v>3</v>
      </c>
      <c r="B22" s="10" t="s">
        <v>657</v>
      </c>
      <c r="E22" s="10" t="s">
        <v>520</v>
      </c>
      <c r="G22" s="10" t="s">
        <v>58</v>
      </c>
      <c r="I22" s="10" t="s">
        <v>438</v>
      </c>
      <c r="J22" s="10" t="s">
        <v>511</v>
      </c>
      <c r="L22" s="10" t="s">
        <v>75</v>
      </c>
      <c r="M22" s="10">
        <v>10</v>
      </c>
      <c r="N22" s="10">
        <f>10*M22</f>
        <v>100</v>
      </c>
      <c r="O22" s="10">
        <f>4*N22</f>
        <v>400</v>
      </c>
      <c r="P22" s="42">
        <f>0.092903*1000*N22</f>
        <v>9290.3000000000011</v>
      </c>
      <c r="Q22" s="42">
        <f t="shared" si="3"/>
        <v>8361.27</v>
      </c>
      <c r="R22" s="43">
        <f t="shared" si="2"/>
        <v>20.903175000000001</v>
      </c>
      <c r="S22" s="10" t="s">
        <v>30</v>
      </c>
      <c r="U22" s="42">
        <f>(101.38+27.57+50.5+0.99+333.65)*1000</f>
        <v>514089.99999999994</v>
      </c>
      <c r="V22" s="10" t="s">
        <v>244</v>
      </c>
      <c r="W22" s="43">
        <f t="shared" si="0"/>
        <v>61.484678762915195</v>
      </c>
      <c r="X22" s="10">
        <v>4</v>
      </c>
      <c r="Y22" s="43">
        <f t="shared" si="1"/>
        <v>1285.2249999999999</v>
      </c>
      <c r="Z22" s="10" t="s">
        <v>436</v>
      </c>
      <c r="AA22" s="10" t="s">
        <v>492</v>
      </c>
    </row>
    <row r="23" spans="1:27" ht="48" x14ac:dyDescent="0.2">
      <c r="A23" s="10">
        <v>3</v>
      </c>
      <c r="B23" s="10" t="s">
        <v>657</v>
      </c>
      <c r="E23" s="10" t="s">
        <v>520</v>
      </c>
      <c r="G23" s="10" t="s">
        <v>58</v>
      </c>
      <c r="I23" s="10" t="s">
        <v>438</v>
      </c>
      <c r="J23" s="10" t="s">
        <v>511</v>
      </c>
      <c r="L23" s="10" t="s">
        <v>75</v>
      </c>
      <c r="M23" s="10">
        <v>10</v>
      </c>
      <c r="N23" s="10">
        <f>10*M23</f>
        <v>100</v>
      </c>
      <c r="O23" s="10">
        <f>4*N23</f>
        <v>400</v>
      </c>
      <c r="P23" s="42">
        <f>0.092903*1000*N23</f>
        <v>9290.3000000000011</v>
      </c>
      <c r="Q23" s="42">
        <f t="shared" si="3"/>
        <v>8361.27</v>
      </c>
      <c r="R23" s="43">
        <f t="shared" si="2"/>
        <v>20.903175000000001</v>
      </c>
      <c r="S23" s="10" t="s">
        <v>65</v>
      </c>
      <c r="T23" s="10">
        <v>2320</v>
      </c>
      <c r="U23" s="42">
        <f>((127.59+1122.78)/1.308)*T23</f>
        <v>2217781.6513761464</v>
      </c>
      <c r="V23" s="10" t="s">
        <v>244</v>
      </c>
      <c r="W23" s="43">
        <f t="shared" si="0"/>
        <v>265.24459219426546</v>
      </c>
      <c r="X23" s="10">
        <v>4</v>
      </c>
      <c r="Y23" s="43">
        <f t="shared" si="1"/>
        <v>5544.4541284403658</v>
      </c>
      <c r="Z23" s="10" t="s">
        <v>436</v>
      </c>
      <c r="AA23" s="10" t="s">
        <v>492</v>
      </c>
    </row>
    <row r="24" spans="1:27" ht="48" x14ac:dyDescent="0.2">
      <c r="A24" s="10">
        <v>3</v>
      </c>
      <c r="B24" s="10" t="s">
        <v>657</v>
      </c>
      <c r="E24" s="10" t="s">
        <v>520</v>
      </c>
      <c r="G24" s="10" t="s">
        <v>58</v>
      </c>
      <c r="I24" s="10" t="s">
        <v>439</v>
      </c>
      <c r="J24" s="10" t="s">
        <v>517</v>
      </c>
      <c r="L24" s="10" t="s">
        <v>75</v>
      </c>
      <c r="M24" s="10">
        <v>3</v>
      </c>
      <c r="N24" s="10">
        <f t="shared" ref="N24:N29" si="4">5*M24</f>
        <v>15</v>
      </c>
      <c r="O24" s="10">
        <f>3*N24</f>
        <v>45</v>
      </c>
      <c r="P24" s="42">
        <f>((720+1040)/2)*0.092903*N24</f>
        <v>1226.3195999999998</v>
      </c>
      <c r="Q24" s="42">
        <f t="shared" si="3"/>
        <v>1103.6876399999999</v>
      </c>
      <c r="R24" s="43">
        <f t="shared" si="2"/>
        <v>24.526391999999998</v>
      </c>
      <c r="S24" s="10" t="s">
        <v>290</v>
      </c>
      <c r="U24" s="10">
        <f>3.62*1000</f>
        <v>3620</v>
      </c>
      <c r="V24" s="10" t="s">
        <v>244</v>
      </c>
      <c r="W24" s="43">
        <f t="shared" si="0"/>
        <v>3.2799135088619824</v>
      </c>
      <c r="X24" s="10">
        <v>3</v>
      </c>
      <c r="Y24" s="43">
        <f t="shared" si="1"/>
        <v>80.444444444444443</v>
      </c>
      <c r="Z24" s="10" t="s">
        <v>436</v>
      </c>
      <c r="AA24" s="10" t="s">
        <v>492</v>
      </c>
    </row>
    <row r="25" spans="1:27" ht="48" x14ac:dyDescent="0.2">
      <c r="A25" s="10">
        <v>3</v>
      </c>
      <c r="B25" s="10" t="s">
        <v>657</v>
      </c>
      <c r="E25" s="10" t="s">
        <v>520</v>
      </c>
      <c r="G25" s="10" t="s">
        <v>58</v>
      </c>
      <c r="I25" s="10" t="s">
        <v>439</v>
      </c>
      <c r="J25" s="10" t="s">
        <v>517</v>
      </c>
      <c r="L25" s="10" t="s">
        <v>75</v>
      </c>
      <c r="M25" s="10">
        <v>3</v>
      </c>
      <c r="N25" s="10">
        <f t="shared" si="4"/>
        <v>15</v>
      </c>
      <c r="O25" s="10">
        <f>3*N25</f>
        <v>45</v>
      </c>
      <c r="P25" s="42">
        <f>((720+1040)/2)*0.092903*N25</f>
        <v>1226.3195999999998</v>
      </c>
      <c r="Q25" s="42">
        <f t="shared" si="3"/>
        <v>1103.6876399999999</v>
      </c>
      <c r="R25" s="43">
        <f t="shared" si="2"/>
        <v>24.526391999999998</v>
      </c>
      <c r="S25" s="10" t="s">
        <v>30</v>
      </c>
      <c r="U25" s="10">
        <f>2.37*1000</f>
        <v>2370</v>
      </c>
      <c r="V25" s="10" t="s">
        <v>244</v>
      </c>
      <c r="W25" s="43">
        <f t="shared" si="0"/>
        <v>2.1473466895035629</v>
      </c>
      <c r="X25" s="10">
        <v>3</v>
      </c>
      <c r="Y25" s="43">
        <f t="shared" si="1"/>
        <v>52.666666666666664</v>
      </c>
      <c r="Z25" s="10" t="s">
        <v>436</v>
      </c>
      <c r="AA25" s="10" t="s">
        <v>492</v>
      </c>
    </row>
    <row r="26" spans="1:27" ht="48" x14ac:dyDescent="0.2">
      <c r="A26" s="10">
        <v>3</v>
      </c>
      <c r="B26" s="10" t="s">
        <v>657</v>
      </c>
      <c r="E26" s="10" t="s">
        <v>520</v>
      </c>
      <c r="G26" s="10" t="s">
        <v>58</v>
      </c>
      <c r="I26" s="10" t="s">
        <v>439</v>
      </c>
      <c r="J26" s="10" t="s">
        <v>517</v>
      </c>
      <c r="L26" s="10" t="s">
        <v>75</v>
      </c>
      <c r="M26" s="10">
        <v>3</v>
      </c>
      <c r="N26" s="10">
        <f t="shared" si="4"/>
        <v>15</v>
      </c>
      <c r="O26" s="10">
        <f>3*N26</f>
        <v>45</v>
      </c>
      <c r="P26" s="42">
        <f>((720+1040)/2)*0.092903*N26</f>
        <v>1226.3195999999998</v>
      </c>
      <c r="Q26" s="42">
        <f t="shared" si="3"/>
        <v>1103.6876399999999</v>
      </c>
      <c r="R26" s="43">
        <f t="shared" si="2"/>
        <v>24.526391999999998</v>
      </c>
      <c r="S26" s="10" t="s">
        <v>65</v>
      </c>
      <c r="T26" s="10">
        <v>2320</v>
      </c>
      <c r="U26" s="42">
        <f>(53.08/1.308)*T26</f>
        <v>94148.012232415902</v>
      </c>
      <c r="V26" s="10" t="s">
        <v>244</v>
      </c>
      <c r="W26" s="43">
        <f>U26/Q26</f>
        <v>85.303131810387868</v>
      </c>
      <c r="X26" s="10">
        <v>3</v>
      </c>
      <c r="Y26" s="43">
        <f t="shared" si="1"/>
        <v>2092.1780496092424</v>
      </c>
      <c r="Z26" s="10" t="s">
        <v>436</v>
      </c>
      <c r="AA26" s="10" t="s">
        <v>492</v>
      </c>
    </row>
    <row r="27" spans="1:27" ht="48" x14ac:dyDescent="0.2">
      <c r="A27" s="10">
        <v>3</v>
      </c>
      <c r="B27" s="10" t="s">
        <v>657</v>
      </c>
      <c r="E27" s="10" t="s">
        <v>520</v>
      </c>
      <c r="G27" s="10" t="s">
        <v>58</v>
      </c>
      <c r="I27" s="10" t="s">
        <v>439</v>
      </c>
      <c r="J27" s="10" t="s">
        <v>634</v>
      </c>
      <c r="L27" s="10" t="s">
        <v>635</v>
      </c>
      <c r="M27" s="10">
        <v>3</v>
      </c>
      <c r="N27" s="10">
        <f t="shared" si="4"/>
        <v>15</v>
      </c>
      <c r="O27" s="10">
        <f>4*N27</f>
        <v>60</v>
      </c>
      <c r="P27" s="42">
        <f>0.092903*1296*N27</f>
        <v>1806.03432</v>
      </c>
      <c r="Q27" s="42">
        <f t="shared" si="3"/>
        <v>1625.4308880000001</v>
      </c>
      <c r="R27" s="43">
        <f t="shared" si="2"/>
        <v>27.090514800000001</v>
      </c>
      <c r="S27" s="10" t="s">
        <v>290</v>
      </c>
      <c r="U27" s="10">
        <f>10.67*1000</f>
        <v>10670</v>
      </c>
      <c r="V27" s="10" t="s">
        <v>244</v>
      </c>
      <c r="W27" s="43">
        <f t="shared" si="0"/>
        <v>6.564413214227045</v>
      </c>
      <c r="X27" s="10">
        <v>3</v>
      </c>
      <c r="Y27" s="43">
        <f t="shared" si="1"/>
        <v>177.83333333333334</v>
      </c>
      <c r="Z27" s="10" t="s">
        <v>436</v>
      </c>
      <c r="AA27" s="10" t="s">
        <v>492</v>
      </c>
    </row>
    <row r="28" spans="1:27" ht="48" x14ac:dyDescent="0.2">
      <c r="A28" s="10">
        <v>3</v>
      </c>
      <c r="B28" s="10" t="s">
        <v>657</v>
      </c>
      <c r="E28" s="10" t="s">
        <v>520</v>
      </c>
      <c r="G28" s="10" t="s">
        <v>58</v>
      </c>
      <c r="I28" s="10" t="s">
        <v>439</v>
      </c>
      <c r="J28" s="10" t="s">
        <v>634</v>
      </c>
      <c r="L28" s="10" t="s">
        <v>635</v>
      </c>
      <c r="M28" s="10">
        <v>3</v>
      </c>
      <c r="N28" s="10">
        <f t="shared" si="4"/>
        <v>15</v>
      </c>
      <c r="O28" s="10">
        <f>4*N28</f>
        <v>60</v>
      </c>
      <c r="P28" s="42">
        <f>0.092903*1296*N28</f>
        <v>1806.03432</v>
      </c>
      <c r="Q28" s="42">
        <f t="shared" si="3"/>
        <v>1625.4308880000001</v>
      </c>
      <c r="R28" s="43">
        <f t="shared" si="2"/>
        <v>27.090514800000001</v>
      </c>
      <c r="S28" s="10" t="s">
        <v>30</v>
      </c>
      <c r="U28" s="10">
        <f>0.53*1000</f>
        <v>530</v>
      </c>
      <c r="V28" s="10" t="s">
        <v>244</v>
      </c>
      <c r="W28" s="43">
        <f>U28/Q28</f>
        <v>0.32606738552393005</v>
      </c>
      <c r="X28" s="10">
        <v>3</v>
      </c>
      <c r="Y28" s="43">
        <f t="shared" si="1"/>
        <v>8.8333333333333339</v>
      </c>
      <c r="Z28" s="10" t="s">
        <v>436</v>
      </c>
      <c r="AA28" s="10" t="s">
        <v>492</v>
      </c>
    </row>
    <row r="29" spans="1:27" ht="48" x14ac:dyDescent="0.2">
      <c r="A29" s="10">
        <v>3</v>
      </c>
      <c r="B29" s="10" t="s">
        <v>657</v>
      </c>
      <c r="E29" s="10" t="s">
        <v>520</v>
      </c>
      <c r="G29" s="10" t="s">
        <v>58</v>
      </c>
      <c r="I29" s="10" t="s">
        <v>439</v>
      </c>
      <c r="J29" s="10" t="s">
        <v>634</v>
      </c>
      <c r="L29" s="10" t="s">
        <v>635</v>
      </c>
      <c r="M29" s="10">
        <v>3</v>
      </c>
      <c r="N29" s="10">
        <f t="shared" si="4"/>
        <v>15</v>
      </c>
      <c r="O29" s="10">
        <f>4*N29</f>
        <v>60</v>
      </c>
      <c r="P29" s="42">
        <f>0.092903*1296*N29</f>
        <v>1806.03432</v>
      </c>
      <c r="Q29" s="42">
        <f t="shared" si="3"/>
        <v>1625.4308880000001</v>
      </c>
      <c r="R29" s="43">
        <f t="shared" si="2"/>
        <v>27.090514800000001</v>
      </c>
      <c r="S29" s="10" t="s">
        <v>65</v>
      </c>
      <c r="T29" s="10">
        <v>2320</v>
      </c>
      <c r="U29" s="42">
        <f>(27.56/1.308)*T29</f>
        <v>48883.180428134554</v>
      </c>
      <c r="V29" s="10" t="s">
        <v>244</v>
      </c>
      <c r="W29" s="43">
        <f>U29/Q29</f>
        <v>30.073982713766757</v>
      </c>
      <c r="X29" s="10">
        <v>3</v>
      </c>
      <c r="Y29" s="43">
        <f>U29/O29</f>
        <v>814.7196738022426</v>
      </c>
      <c r="Z29" s="10" t="s">
        <v>436</v>
      </c>
      <c r="AA29" s="10" t="s">
        <v>492</v>
      </c>
    </row>
  </sheetData>
  <pageMargins left="0.7" right="0.7" top="0.75" bottom="0.75" header="0.3" footer="0.3"/>
  <pageSetup paperSize="9"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AA1"/>
  <sheetViews>
    <sheetView zoomScaleNormal="100" workbookViewId="0"/>
  </sheetViews>
  <sheetFormatPr baseColWidth="10" defaultColWidth="9.1640625" defaultRowHeight="15" x14ac:dyDescent="0.2"/>
  <cols>
    <col min="1" max="1" width="4.6640625" style="10" customWidth="1"/>
    <col min="2" max="2" width="10.6640625" style="10" customWidth="1"/>
    <col min="3" max="4" width="13" style="10" customWidth="1"/>
    <col min="5" max="5" width="25" style="10" customWidth="1"/>
    <col min="6" max="6" width="19.1640625" style="10" customWidth="1"/>
    <col min="7" max="7" width="9.1640625" style="10"/>
    <col min="8" max="8" width="16.33203125" style="10" customWidth="1"/>
    <col min="9" max="9" width="27.6640625" style="10" customWidth="1"/>
    <col min="10" max="10" width="16" style="10" customWidth="1"/>
    <col min="11" max="11" width="12.5" style="10" customWidth="1"/>
    <col min="12" max="13" width="22.5" style="10" customWidth="1"/>
    <col min="14" max="14" width="23" style="10" customWidth="1"/>
    <col min="15" max="15" width="13.33203125" style="10" customWidth="1"/>
    <col min="16" max="16" width="13.5" style="10" customWidth="1"/>
    <col min="17" max="17" width="12.1640625" style="10" customWidth="1"/>
    <col min="18" max="18" width="13.33203125" style="10" customWidth="1"/>
    <col min="19" max="19" width="12" style="10" customWidth="1"/>
    <col min="20" max="20" width="9.1640625" style="10"/>
    <col min="21" max="21" width="9.5" style="10" bestFit="1" customWidth="1"/>
    <col min="22" max="22" width="9.1640625" style="10"/>
    <col min="23" max="23" width="16.1640625" style="10" customWidth="1"/>
    <col min="24" max="24" width="10.1640625" style="10" customWidth="1"/>
    <col min="25" max="25" width="11.5" style="10" bestFit="1" customWidth="1"/>
    <col min="26" max="26" width="9.1640625" style="10"/>
    <col min="27" max="27" width="15.5" style="10" customWidth="1"/>
    <col min="28" max="16384" width="9.1640625" style="10"/>
  </cols>
  <sheetData>
    <row r="1" spans="1:27"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5" t="s">
        <v>195</v>
      </c>
      <c r="P1" s="44" t="s">
        <v>194</v>
      </c>
      <c r="Q1" s="44" t="s">
        <v>413</v>
      </c>
      <c r="R1" s="44" t="s">
        <v>414</v>
      </c>
      <c r="S1" s="44" t="s">
        <v>193</v>
      </c>
      <c r="T1" s="44" t="s">
        <v>419</v>
      </c>
      <c r="U1" s="44" t="s">
        <v>519</v>
      </c>
      <c r="V1" s="44" t="s">
        <v>192</v>
      </c>
      <c r="W1" s="44" t="s">
        <v>384</v>
      </c>
      <c r="X1" s="44" t="s">
        <v>416</v>
      </c>
      <c r="Y1" s="44" t="s">
        <v>242</v>
      </c>
      <c r="Z1" s="45" t="s">
        <v>191</v>
      </c>
      <c r="AA1" s="44" t="s">
        <v>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FC000"/>
  </sheetPr>
  <dimension ref="A1:AB10"/>
  <sheetViews>
    <sheetView zoomScaleNormal="100" workbookViewId="0"/>
  </sheetViews>
  <sheetFormatPr baseColWidth="10" defaultColWidth="8.83203125" defaultRowHeight="15" x14ac:dyDescent="0.2"/>
  <cols>
    <col min="1" max="1" width="4.33203125" style="12" customWidth="1"/>
    <col min="2" max="2" width="13.33203125" style="12" customWidth="1"/>
    <col min="3" max="3" width="32.5" style="12" customWidth="1"/>
    <col min="4" max="4" width="25.33203125" style="12" customWidth="1"/>
    <col min="5" max="5" width="25" style="12" customWidth="1"/>
    <col min="6" max="6" width="19.5" style="12" customWidth="1"/>
    <col min="7" max="7" width="12.33203125" style="12" customWidth="1"/>
    <col min="8" max="8" width="16.33203125" style="12" customWidth="1"/>
    <col min="9" max="9" width="27.6640625" style="12" customWidth="1"/>
    <col min="10" max="10" width="16" style="12" customWidth="1"/>
    <col min="11" max="11" width="30.1640625" style="12" customWidth="1"/>
    <col min="12" max="13" width="22.5" style="12" customWidth="1"/>
    <col min="14" max="14" width="23" style="12" customWidth="1"/>
    <col min="15" max="15" width="13.33203125" style="12" customWidth="1"/>
    <col min="16" max="16" width="13.5" style="12" customWidth="1"/>
    <col min="17" max="17" width="12.1640625" style="12" customWidth="1"/>
    <col min="18" max="18" width="13.33203125" style="12" customWidth="1"/>
    <col min="19" max="19" width="11.5" style="12" customWidth="1"/>
    <col min="20" max="20" width="9.83203125" style="12" customWidth="1"/>
    <col min="21" max="21" width="14.83203125" style="12" customWidth="1"/>
    <col min="22" max="22" width="13.5" style="12" customWidth="1"/>
    <col min="23" max="23" width="17.83203125" style="12" customWidth="1"/>
    <col min="24" max="24" width="10.1640625" style="12" customWidth="1"/>
    <col min="25" max="25" width="8.83203125" style="12"/>
    <col min="26" max="26" width="9.33203125" style="12" customWidth="1"/>
    <col min="27" max="27" width="13" style="12" customWidth="1"/>
    <col min="28" max="28" width="14.33203125" style="12" customWidth="1"/>
    <col min="29" max="16384" width="8.83203125" style="12"/>
  </cols>
  <sheetData>
    <row r="1" spans="1:28"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5" t="s">
        <v>195</v>
      </c>
      <c r="P1" s="44" t="s">
        <v>194</v>
      </c>
      <c r="Q1" s="44" t="s">
        <v>413</v>
      </c>
      <c r="R1" s="44" t="s">
        <v>414</v>
      </c>
      <c r="S1" s="44" t="s">
        <v>193</v>
      </c>
      <c r="T1" s="44" t="s">
        <v>419</v>
      </c>
      <c r="U1" s="44" t="s">
        <v>519</v>
      </c>
      <c r="V1" s="44" t="s">
        <v>192</v>
      </c>
      <c r="W1" s="44" t="s">
        <v>384</v>
      </c>
      <c r="X1" s="44" t="s">
        <v>416</v>
      </c>
      <c r="Y1" s="44" t="s">
        <v>242</v>
      </c>
      <c r="Z1" s="44" t="s">
        <v>191</v>
      </c>
      <c r="AA1" s="44" t="s">
        <v>190</v>
      </c>
      <c r="AB1" s="44" t="s">
        <v>636</v>
      </c>
    </row>
    <row r="2" spans="1:28" ht="40" customHeight="1" x14ac:dyDescent="0.2">
      <c r="A2" s="10">
        <v>1</v>
      </c>
      <c r="B2" s="10" t="s">
        <v>888</v>
      </c>
      <c r="C2" s="10" t="s">
        <v>890</v>
      </c>
      <c r="D2" s="10" t="s">
        <v>889</v>
      </c>
      <c r="E2" s="10" t="s">
        <v>880</v>
      </c>
      <c r="F2" s="10"/>
      <c r="G2" s="10"/>
      <c r="H2" s="10"/>
      <c r="I2" s="10" t="s">
        <v>432</v>
      </c>
      <c r="J2" s="10" t="s">
        <v>879</v>
      </c>
      <c r="K2" s="10" t="s">
        <v>881</v>
      </c>
      <c r="L2" s="10"/>
      <c r="M2" s="10">
        <v>1.2</v>
      </c>
      <c r="N2" s="10"/>
      <c r="O2" s="10"/>
      <c r="P2" s="10"/>
      <c r="Q2" s="42"/>
      <c r="R2" s="43"/>
      <c r="S2" s="10" t="s">
        <v>30</v>
      </c>
      <c r="T2" s="10"/>
      <c r="U2" s="10"/>
      <c r="V2" s="10" t="s">
        <v>0</v>
      </c>
      <c r="W2" s="43">
        <v>27</v>
      </c>
      <c r="X2" s="42">
        <v>2</v>
      </c>
      <c r="Z2" s="10"/>
      <c r="AA2" s="10"/>
    </row>
    <row r="3" spans="1:28" ht="40" customHeight="1" x14ac:dyDescent="0.2">
      <c r="A3" s="10">
        <v>1</v>
      </c>
      <c r="B3" s="10" t="s">
        <v>863</v>
      </c>
      <c r="E3" s="10" t="s">
        <v>880</v>
      </c>
      <c r="I3" s="10" t="s">
        <v>432</v>
      </c>
      <c r="J3" s="10" t="s">
        <v>879</v>
      </c>
      <c r="K3" s="10" t="s">
        <v>881</v>
      </c>
      <c r="M3" s="10">
        <v>1.2</v>
      </c>
      <c r="S3" s="10" t="s">
        <v>67</v>
      </c>
      <c r="V3" s="10" t="s">
        <v>0</v>
      </c>
      <c r="W3" s="43">
        <v>40</v>
      </c>
      <c r="X3" s="42">
        <v>2</v>
      </c>
    </row>
    <row r="4" spans="1:28" ht="40" customHeight="1" x14ac:dyDescent="0.2">
      <c r="A4" s="10">
        <v>1</v>
      </c>
      <c r="B4" s="10" t="s">
        <v>863</v>
      </c>
      <c r="E4" s="10" t="s">
        <v>880</v>
      </c>
      <c r="I4" s="10" t="s">
        <v>432</v>
      </c>
      <c r="J4" s="10" t="s">
        <v>879</v>
      </c>
      <c r="K4" s="10" t="s">
        <v>881</v>
      </c>
      <c r="M4" s="10">
        <v>1.2</v>
      </c>
      <c r="S4" s="10" t="s">
        <v>65</v>
      </c>
      <c r="V4" s="10" t="s">
        <v>0</v>
      </c>
      <c r="W4" s="43">
        <v>1315</v>
      </c>
      <c r="X4" s="42">
        <v>2</v>
      </c>
    </row>
    <row r="5" spans="1:28" ht="40" customHeight="1" thickBot="1" x14ac:dyDescent="0.25">
      <c r="A5" s="10">
        <v>1</v>
      </c>
      <c r="B5" s="10" t="s">
        <v>863</v>
      </c>
      <c r="E5" s="10" t="s">
        <v>880</v>
      </c>
      <c r="I5" s="10" t="s">
        <v>389</v>
      </c>
      <c r="J5" s="10" t="s">
        <v>261</v>
      </c>
      <c r="K5" s="10" t="s">
        <v>882</v>
      </c>
      <c r="M5" s="10">
        <v>1.2</v>
      </c>
      <c r="S5" s="10" t="s">
        <v>30</v>
      </c>
      <c r="V5" s="10" t="s">
        <v>0</v>
      </c>
      <c r="W5" s="43">
        <v>36</v>
      </c>
      <c r="X5" s="42">
        <v>1</v>
      </c>
    </row>
    <row r="6" spans="1:28" ht="40" customHeight="1" thickBot="1" x14ac:dyDescent="0.25">
      <c r="A6" s="10">
        <v>1</v>
      </c>
      <c r="B6" s="10" t="s">
        <v>863</v>
      </c>
      <c r="E6" s="10" t="s">
        <v>880</v>
      </c>
      <c r="I6" s="10" t="s">
        <v>389</v>
      </c>
      <c r="J6" s="10" t="s">
        <v>261</v>
      </c>
      <c r="K6" s="10" t="s">
        <v>882</v>
      </c>
      <c r="M6" s="10">
        <v>1.2</v>
      </c>
      <c r="S6" s="10" t="s">
        <v>67</v>
      </c>
      <c r="V6" s="10" t="s">
        <v>0</v>
      </c>
      <c r="W6" s="43">
        <v>90</v>
      </c>
      <c r="X6" s="42">
        <v>1</v>
      </c>
      <c r="Y6" s="74"/>
      <c r="Z6" s="74"/>
      <c r="AA6" s="74"/>
    </row>
    <row r="7" spans="1:28" ht="40" customHeight="1" x14ac:dyDescent="0.2">
      <c r="A7" s="10">
        <v>1</v>
      </c>
      <c r="B7" s="10" t="s">
        <v>863</v>
      </c>
      <c r="E7" s="10" t="s">
        <v>880</v>
      </c>
      <c r="I7" s="10" t="s">
        <v>389</v>
      </c>
      <c r="J7" s="10" t="s">
        <v>261</v>
      </c>
      <c r="K7" s="10" t="s">
        <v>882</v>
      </c>
      <c r="M7" s="10">
        <v>1.2</v>
      </c>
      <c r="S7" s="10" t="s">
        <v>65</v>
      </c>
      <c r="V7" s="10" t="s">
        <v>0</v>
      </c>
      <c r="W7" s="43">
        <v>345</v>
      </c>
      <c r="X7" s="42">
        <v>1</v>
      </c>
    </row>
    <row r="8" spans="1:28" ht="40" customHeight="1" thickBot="1" x14ac:dyDescent="0.25">
      <c r="A8" s="10">
        <v>1</v>
      </c>
      <c r="B8" s="10" t="s">
        <v>863</v>
      </c>
      <c r="E8" s="10" t="s">
        <v>880</v>
      </c>
      <c r="I8" s="10" t="s">
        <v>389</v>
      </c>
      <c r="J8" s="10" t="s">
        <v>261</v>
      </c>
      <c r="K8" s="10" t="s">
        <v>883</v>
      </c>
      <c r="M8" s="10">
        <v>1.2</v>
      </c>
      <c r="S8" s="10" t="s">
        <v>30</v>
      </c>
      <c r="V8" s="10" t="s">
        <v>0</v>
      </c>
      <c r="W8" s="43">
        <v>35</v>
      </c>
      <c r="X8" s="42">
        <v>1</v>
      </c>
    </row>
    <row r="9" spans="1:28" ht="40" customHeight="1" thickBot="1" x14ac:dyDescent="0.25">
      <c r="A9" s="10">
        <v>1</v>
      </c>
      <c r="B9" s="10" t="s">
        <v>863</v>
      </c>
      <c r="E9" s="10" t="s">
        <v>880</v>
      </c>
      <c r="I9" s="10" t="s">
        <v>389</v>
      </c>
      <c r="J9" s="10" t="s">
        <v>261</v>
      </c>
      <c r="K9" s="10" t="s">
        <v>883</v>
      </c>
      <c r="M9" s="10">
        <v>1.2</v>
      </c>
      <c r="S9" s="10" t="s">
        <v>67</v>
      </c>
      <c r="V9" s="10" t="s">
        <v>0</v>
      </c>
      <c r="W9" s="43">
        <v>90</v>
      </c>
      <c r="X9" s="42">
        <v>1</v>
      </c>
      <c r="Z9" s="74"/>
    </row>
    <row r="10" spans="1:28" ht="40" customHeight="1" x14ac:dyDescent="0.2">
      <c r="A10" s="10">
        <v>1</v>
      </c>
      <c r="B10" s="10" t="s">
        <v>863</v>
      </c>
      <c r="E10" s="10" t="s">
        <v>880</v>
      </c>
      <c r="I10" s="10" t="s">
        <v>389</v>
      </c>
      <c r="J10" s="10" t="s">
        <v>261</v>
      </c>
      <c r="K10" s="10" t="s">
        <v>883</v>
      </c>
      <c r="M10" s="10">
        <v>1.2</v>
      </c>
      <c r="S10" s="10" t="s">
        <v>65</v>
      </c>
      <c r="V10" s="10" t="s">
        <v>0</v>
      </c>
      <c r="W10" s="43">
        <v>1125</v>
      </c>
      <c r="X10" s="42">
        <v>1</v>
      </c>
    </row>
  </sheetData>
  <hyperlinks>
    <hyperlink ref="D2" r:id="rId1" xr:uid="{00000000-0004-0000-0B00-000000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92D050"/>
  </sheetPr>
  <dimension ref="A1:AB17"/>
  <sheetViews>
    <sheetView zoomScaleNormal="100" workbookViewId="0"/>
  </sheetViews>
  <sheetFormatPr baseColWidth="10" defaultColWidth="8.83203125" defaultRowHeight="15" x14ac:dyDescent="0.2"/>
  <cols>
    <col min="1" max="1" width="3.83203125" style="10" customWidth="1"/>
    <col min="2" max="2" width="14.5" style="10" customWidth="1"/>
    <col min="3" max="3" width="28.1640625" style="10" customWidth="1"/>
    <col min="4" max="4" width="17" style="10" customWidth="1"/>
    <col min="5" max="6" width="25" style="10" customWidth="1"/>
    <col min="7" max="7" width="9.1640625" style="10"/>
    <col min="8" max="8" width="21.1640625" style="10" customWidth="1"/>
    <col min="9" max="9" width="27.6640625" style="10" customWidth="1"/>
    <col min="10" max="10" width="18.83203125" style="10" customWidth="1"/>
    <col min="11" max="11" width="36.1640625" style="10" customWidth="1"/>
    <col min="12" max="13" width="22.5" style="10" customWidth="1"/>
    <col min="14" max="14" width="23" style="10" customWidth="1"/>
    <col min="15" max="15" width="13.33203125" style="10" customWidth="1"/>
    <col min="16" max="16" width="13.5" style="10" customWidth="1"/>
    <col min="17" max="18" width="12.1640625" style="10" customWidth="1"/>
    <col min="19" max="19" width="16.1640625" style="10" customWidth="1"/>
    <col min="20" max="20" width="10.83203125" style="10" customWidth="1"/>
    <col min="21" max="21" width="11.5" style="10" customWidth="1"/>
    <col min="22" max="22" width="8" style="10" customWidth="1"/>
    <col min="23" max="23" width="17.83203125" style="43" customWidth="1"/>
    <col min="24" max="24" width="12" style="10" customWidth="1"/>
    <col min="25" max="25" width="12.5" style="10" bestFit="1" customWidth="1"/>
    <col min="26" max="26" width="10.1640625" style="10" customWidth="1"/>
    <col min="27" max="27" width="37.6640625" style="10" customWidth="1"/>
    <col min="28" max="28" width="12.83203125" style="10" customWidth="1"/>
  </cols>
  <sheetData>
    <row r="1" spans="1:28"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241</v>
      </c>
      <c r="R1" s="44" t="s">
        <v>414</v>
      </c>
      <c r="S1" s="44" t="s">
        <v>193</v>
      </c>
      <c r="T1" s="44" t="s">
        <v>419</v>
      </c>
      <c r="U1" s="44" t="s">
        <v>519</v>
      </c>
      <c r="V1" s="44" t="s">
        <v>192</v>
      </c>
      <c r="W1" s="44" t="s">
        <v>384</v>
      </c>
      <c r="X1" s="44" t="s">
        <v>416</v>
      </c>
      <c r="Y1" s="44" t="s">
        <v>242</v>
      </c>
      <c r="Z1" s="44" t="s">
        <v>191</v>
      </c>
      <c r="AA1" s="44" t="s">
        <v>190</v>
      </c>
      <c r="AB1" s="44" t="s">
        <v>251</v>
      </c>
    </row>
    <row r="2" spans="1:28" ht="40" customHeight="1" x14ac:dyDescent="0.2">
      <c r="A2" s="10">
        <v>1</v>
      </c>
      <c r="B2" s="10" t="s">
        <v>658</v>
      </c>
      <c r="C2" s="10" t="s">
        <v>247</v>
      </c>
      <c r="D2" s="10" t="s">
        <v>800</v>
      </c>
      <c r="E2" s="10" t="s">
        <v>527</v>
      </c>
      <c r="G2" s="10" t="s">
        <v>58</v>
      </c>
      <c r="H2" s="10" t="s">
        <v>259</v>
      </c>
      <c r="I2" s="10" t="s">
        <v>70</v>
      </c>
      <c r="J2" s="10" t="s">
        <v>249</v>
      </c>
      <c r="K2" s="10" t="s">
        <v>250</v>
      </c>
      <c r="M2" s="10">
        <v>16</v>
      </c>
      <c r="N2" s="10">
        <v>64</v>
      </c>
      <c r="O2" s="10">
        <f>4*N2</f>
        <v>256</v>
      </c>
      <c r="P2" s="10" t="s">
        <v>254</v>
      </c>
      <c r="Q2" s="10">
        <f>115*64</f>
        <v>7360</v>
      </c>
      <c r="R2" s="43">
        <f t="shared" ref="R2:R17" si="0">Q2/O2</f>
        <v>28.75</v>
      </c>
      <c r="S2" s="10" t="s">
        <v>65</v>
      </c>
      <c r="U2" s="10">
        <f>684185+220838+2748465</f>
        <v>3653488</v>
      </c>
      <c r="V2" s="10" t="s">
        <v>244</v>
      </c>
      <c r="W2" s="43">
        <f>U2/Q2</f>
        <v>496.39782608695651</v>
      </c>
      <c r="X2" s="10">
        <v>4</v>
      </c>
      <c r="Y2" s="43">
        <f>U2/O2</f>
        <v>14271.4375</v>
      </c>
      <c r="Z2" s="10" t="s">
        <v>248</v>
      </c>
      <c r="AB2" s="10">
        <v>115</v>
      </c>
    </row>
    <row r="3" spans="1:28" ht="40" customHeight="1" x14ac:dyDescent="0.2">
      <c r="A3" s="10">
        <v>1</v>
      </c>
      <c r="B3" s="10" t="s">
        <v>801</v>
      </c>
      <c r="E3" s="10" t="s">
        <v>528</v>
      </c>
      <c r="G3" s="10" t="s">
        <v>58</v>
      </c>
      <c r="I3" s="10" t="s">
        <v>70</v>
      </c>
      <c r="J3" s="10" t="s">
        <v>252</v>
      </c>
      <c r="K3" s="10" t="s">
        <v>257</v>
      </c>
      <c r="M3" s="10">
        <v>5</v>
      </c>
      <c r="N3" s="10">
        <v>1300</v>
      </c>
      <c r="O3" s="10">
        <f>3*N3</f>
        <v>3900</v>
      </c>
      <c r="P3" s="10" t="s">
        <v>253</v>
      </c>
      <c r="Q3" s="10">
        <f>44*1300</f>
        <v>57200</v>
      </c>
      <c r="R3" s="43">
        <f t="shared" si="0"/>
        <v>14.666666666666666</v>
      </c>
      <c r="S3" s="10" t="s">
        <v>65</v>
      </c>
      <c r="U3" s="10">
        <f>11232675+43982252</f>
        <v>55214927</v>
      </c>
      <c r="V3" s="10" t="s">
        <v>244</v>
      </c>
      <c r="W3" s="43">
        <f>U3/Q3</f>
        <v>965.29592657342653</v>
      </c>
      <c r="X3" s="10">
        <v>4</v>
      </c>
      <c r="Y3" s="43">
        <f>U3/O3</f>
        <v>14157.67358974359</v>
      </c>
      <c r="Z3" s="10" t="s">
        <v>248</v>
      </c>
      <c r="AB3" s="10">
        <v>44</v>
      </c>
    </row>
    <row r="4" spans="1:28" ht="40" customHeight="1" x14ac:dyDescent="0.2">
      <c r="A4" s="10">
        <v>1</v>
      </c>
      <c r="B4" s="10" t="s">
        <v>801</v>
      </c>
      <c r="E4" s="10" t="s">
        <v>527</v>
      </c>
      <c r="G4" s="10" t="s">
        <v>58</v>
      </c>
      <c r="I4" s="10" t="s">
        <v>389</v>
      </c>
      <c r="J4" s="10" t="s">
        <v>255</v>
      </c>
      <c r="K4" s="10" t="s">
        <v>891</v>
      </c>
      <c r="M4" s="10">
        <v>4</v>
      </c>
      <c r="N4" s="10">
        <v>1</v>
      </c>
      <c r="O4" s="10">
        <v>4</v>
      </c>
      <c r="P4" s="10">
        <v>561</v>
      </c>
      <c r="Q4" s="10">
        <v>562</v>
      </c>
      <c r="R4" s="43">
        <f>Q4/O4</f>
        <v>140.5</v>
      </c>
      <c r="S4" s="10" t="s">
        <v>65</v>
      </c>
      <c r="U4" s="10">
        <f>142240+204321+93248</f>
        <v>439809</v>
      </c>
      <c r="V4" s="10" t="s">
        <v>244</v>
      </c>
      <c r="W4" s="43">
        <f>U4/Q4</f>
        <v>782.57829181494662</v>
      </c>
      <c r="X4" s="10">
        <v>1</v>
      </c>
      <c r="Y4" s="42">
        <f>U4/O4</f>
        <v>109952.25</v>
      </c>
      <c r="Z4" s="10" t="s">
        <v>248</v>
      </c>
      <c r="AB4" s="10">
        <v>561</v>
      </c>
    </row>
    <row r="5" spans="1:28" ht="40" customHeight="1" x14ac:dyDescent="0.2">
      <c r="A5" s="10">
        <v>1</v>
      </c>
      <c r="B5" s="10" t="s">
        <v>801</v>
      </c>
      <c r="E5" s="10" t="s">
        <v>529</v>
      </c>
      <c r="G5" s="10" t="s">
        <v>58</v>
      </c>
      <c r="I5" s="10" t="s">
        <v>389</v>
      </c>
      <c r="J5" s="10" t="s">
        <v>256</v>
      </c>
      <c r="K5" s="10" t="s">
        <v>258</v>
      </c>
      <c r="M5" s="10">
        <v>1</v>
      </c>
      <c r="N5" s="10">
        <v>1</v>
      </c>
      <c r="O5" s="10">
        <v>3</v>
      </c>
      <c r="P5" s="10">
        <v>56</v>
      </c>
      <c r="Q5" s="10">
        <v>56</v>
      </c>
      <c r="R5" s="43">
        <f t="shared" si="0"/>
        <v>18.666666666666668</v>
      </c>
      <c r="S5" s="10" t="s">
        <v>65</v>
      </c>
      <c r="U5" s="10">
        <f>23522+12307+23816</f>
        <v>59645</v>
      </c>
      <c r="V5" s="10" t="s">
        <v>244</v>
      </c>
      <c r="W5" s="43">
        <f>U5/Q5</f>
        <v>1065.0892857142858</v>
      </c>
      <c r="X5" s="10">
        <v>1</v>
      </c>
      <c r="Y5" s="43">
        <f t="shared" ref="Y5:Y17" si="1">U5/O5</f>
        <v>19881.666666666668</v>
      </c>
      <c r="Z5" s="10" t="s">
        <v>248</v>
      </c>
      <c r="AB5" s="10">
        <v>56</v>
      </c>
    </row>
    <row r="6" spans="1:28" ht="40" customHeight="1" x14ac:dyDescent="0.2">
      <c r="A6" s="10">
        <v>2</v>
      </c>
      <c r="B6" s="10" t="s">
        <v>802</v>
      </c>
      <c r="C6" s="10" t="s">
        <v>639</v>
      </c>
      <c r="D6" s="10" t="s">
        <v>803</v>
      </c>
      <c r="E6" s="10" t="s">
        <v>530</v>
      </c>
      <c r="G6" s="10" t="s">
        <v>58</v>
      </c>
      <c r="H6" s="10" t="s">
        <v>259</v>
      </c>
      <c r="I6" s="10" t="s">
        <v>389</v>
      </c>
      <c r="J6" s="10" t="s">
        <v>261</v>
      </c>
      <c r="L6" s="10" t="s">
        <v>269</v>
      </c>
      <c r="M6" s="10">
        <v>2</v>
      </c>
      <c r="N6" s="10">
        <v>1</v>
      </c>
      <c r="O6" s="10">
        <v>6</v>
      </c>
      <c r="P6" s="10">
        <v>107.96</v>
      </c>
      <c r="Q6" s="43">
        <f>P6*0.9</f>
        <v>97.164000000000001</v>
      </c>
      <c r="R6" s="43">
        <f t="shared" si="0"/>
        <v>16.193999999999999</v>
      </c>
      <c r="S6" s="10" t="s">
        <v>65</v>
      </c>
      <c r="U6" s="10">
        <f t="shared" ref="U6:U17" si="2">W6*Q6</f>
        <v>82131.757559999998</v>
      </c>
      <c r="V6" s="10" t="s">
        <v>244</v>
      </c>
      <c r="W6" s="43">
        <v>845.29</v>
      </c>
      <c r="X6" s="10">
        <v>1</v>
      </c>
      <c r="Y6" s="43">
        <f t="shared" si="1"/>
        <v>13688.626259999999</v>
      </c>
      <c r="Z6" s="10" t="s">
        <v>271</v>
      </c>
      <c r="AA6" s="10" t="s">
        <v>260</v>
      </c>
      <c r="AB6" s="10">
        <v>107.96</v>
      </c>
    </row>
    <row r="7" spans="1:28" ht="40" customHeight="1" x14ac:dyDescent="0.2">
      <c r="A7" s="10">
        <v>2</v>
      </c>
      <c r="B7" s="10" t="s">
        <v>659</v>
      </c>
      <c r="E7" s="10" t="s">
        <v>530</v>
      </c>
      <c r="G7" s="10" t="s">
        <v>58</v>
      </c>
      <c r="I7" s="10" t="s">
        <v>389</v>
      </c>
      <c r="J7" s="10" t="s">
        <v>261</v>
      </c>
      <c r="L7" s="10" t="s">
        <v>269</v>
      </c>
      <c r="M7" s="10">
        <v>2</v>
      </c>
      <c r="N7" s="10">
        <v>1</v>
      </c>
      <c r="O7" s="10">
        <v>6</v>
      </c>
      <c r="P7" s="10">
        <v>107.96</v>
      </c>
      <c r="Q7" s="43">
        <f>P7*0.9</f>
        <v>97.164000000000001</v>
      </c>
      <c r="R7" s="43">
        <f t="shared" si="0"/>
        <v>16.193999999999999</v>
      </c>
      <c r="S7" s="10" t="s">
        <v>67</v>
      </c>
      <c r="U7" s="10">
        <f t="shared" si="2"/>
        <v>84431.629440000004</v>
      </c>
      <c r="V7" s="10" t="s">
        <v>244</v>
      </c>
      <c r="W7" s="43">
        <v>868.96</v>
      </c>
      <c r="X7" s="10">
        <v>1</v>
      </c>
      <c r="Y7" s="43">
        <f t="shared" si="1"/>
        <v>14071.938240000001</v>
      </c>
      <c r="Z7" s="10" t="s">
        <v>271</v>
      </c>
      <c r="AA7" s="10" t="s">
        <v>861</v>
      </c>
    </row>
    <row r="8" spans="1:28" ht="40" customHeight="1" x14ac:dyDescent="0.2">
      <c r="A8" s="10">
        <v>2</v>
      </c>
      <c r="B8" s="10" t="s">
        <v>659</v>
      </c>
      <c r="E8" s="10" t="s">
        <v>530</v>
      </c>
      <c r="G8" s="10" t="s">
        <v>58</v>
      </c>
      <c r="I8" s="10" t="s">
        <v>389</v>
      </c>
      <c r="J8" s="10" t="s">
        <v>261</v>
      </c>
      <c r="L8" s="10" t="s">
        <v>269</v>
      </c>
      <c r="M8" s="10">
        <v>2</v>
      </c>
      <c r="N8" s="10">
        <v>1</v>
      </c>
      <c r="O8" s="10">
        <v>6</v>
      </c>
      <c r="P8" s="10">
        <v>107.96</v>
      </c>
      <c r="Q8" s="43">
        <f>P8*0.9</f>
        <v>97.164000000000001</v>
      </c>
      <c r="R8" s="43">
        <f t="shared" si="0"/>
        <v>16.193999999999999</v>
      </c>
      <c r="S8" s="10" t="s">
        <v>435</v>
      </c>
      <c r="U8" s="10">
        <f t="shared" si="2"/>
        <v>77.731200000000001</v>
      </c>
      <c r="V8" s="10" t="s">
        <v>244</v>
      </c>
      <c r="W8" s="43">
        <v>0.8</v>
      </c>
      <c r="X8" s="10">
        <v>1</v>
      </c>
      <c r="Y8" s="43">
        <f t="shared" si="1"/>
        <v>12.9552</v>
      </c>
      <c r="Z8" s="10" t="s">
        <v>271</v>
      </c>
    </row>
    <row r="9" spans="1:28" ht="40" customHeight="1" x14ac:dyDescent="0.2">
      <c r="A9" s="10">
        <v>2</v>
      </c>
      <c r="B9" s="10" t="s">
        <v>659</v>
      </c>
      <c r="E9" s="10" t="s">
        <v>530</v>
      </c>
      <c r="G9" s="10" t="s">
        <v>58</v>
      </c>
      <c r="I9" s="10" t="s">
        <v>70</v>
      </c>
      <c r="J9" s="10" t="s">
        <v>265</v>
      </c>
      <c r="K9" s="10" t="s">
        <v>262</v>
      </c>
      <c r="L9" s="10">
        <v>1970</v>
      </c>
      <c r="M9" s="10">
        <v>5</v>
      </c>
      <c r="N9" s="10" t="s">
        <v>268</v>
      </c>
      <c r="O9" s="10">
        <v>96</v>
      </c>
      <c r="P9" s="10">
        <v>2374.9</v>
      </c>
      <c r="Q9" s="10">
        <f>(73.21*4)*4</f>
        <v>1171.3599999999999</v>
      </c>
      <c r="R9" s="43">
        <f t="shared" si="0"/>
        <v>12.201666666666666</v>
      </c>
      <c r="S9" s="10" t="s">
        <v>65</v>
      </c>
      <c r="U9" s="10">
        <f t="shared" si="2"/>
        <v>653513.45759999985</v>
      </c>
      <c r="V9" s="10" t="s">
        <v>244</v>
      </c>
      <c r="W9" s="43">
        <v>557.91</v>
      </c>
      <c r="X9" s="10">
        <v>4</v>
      </c>
      <c r="Y9" s="43">
        <f t="shared" si="1"/>
        <v>6807.4318499999981</v>
      </c>
      <c r="Z9" s="10" t="s">
        <v>271</v>
      </c>
      <c r="AB9" s="10" t="s">
        <v>270</v>
      </c>
    </row>
    <row r="10" spans="1:28" ht="40" customHeight="1" x14ac:dyDescent="0.2">
      <c r="A10" s="10">
        <v>2</v>
      </c>
      <c r="B10" s="10" t="s">
        <v>659</v>
      </c>
      <c r="E10" s="10" t="s">
        <v>530</v>
      </c>
      <c r="G10" s="10" t="s">
        <v>58</v>
      </c>
      <c r="I10" s="10" t="s">
        <v>70</v>
      </c>
      <c r="J10" s="10" t="s">
        <v>265</v>
      </c>
      <c r="L10" s="10">
        <v>1970</v>
      </c>
      <c r="M10" s="10">
        <v>5</v>
      </c>
      <c r="N10" s="10">
        <f>4*4</f>
        <v>16</v>
      </c>
      <c r="O10" s="10">
        <v>96</v>
      </c>
      <c r="P10" s="10">
        <v>2374.9</v>
      </c>
      <c r="Q10" s="10">
        <f>(73.21*4)*4</f>
        <v>1171.3599999999999</v>
      </c>
      <c r="R10" s="43">
        <f t="shared" si="0"/>
        <v>12.201666666666666</v>
      </c>
      <c r="S10" s="10" t="s">
        <v>67</v>
      </c>
      <c r="U10" s="10">
        <f t="shared" si="2"/>
        <v>24176.8704</v>
      </c>
      <c r="V10" s="10" t="s">
        <v>244</v>
      </c>
      <c r="W10" s="43">
        <v>20.64</v>
      </c>
      <c r="X10" s="10">
        <v>4</v>
      </c>
      <c r="Y10" s="43">
        <f t="shared" si="1"/>
        <v>251.8424</v>
      </c>
      <c r="Z10" s="10" t="s">
        <v>271</v>
      </c>
    </row>
    <row r="11" spans="1:28" ht="40" customHeight="1" x14ac:dyDescent="0.2">
      <c r="A11" s="10">
        <v>2</v>
      </c>
      <c r="B11" s="10" t="s">
        <v>659</v>
      </c>
      <c r="E11" s="10" t="s">
        <v>530</v>
      </c>
      <c r="G11" s="10" t="s">
        <v>58</v>
      </c>
      <c r="I11" s="10" t="s">
        <v>70</v>
      </c>
      <c r="J11" s="10" t="s">
        <v>265</v>
      </c>
      <c r="L11" s="10">
        <v>1970</v>
      </c>
      <c r="M11" s="10">
        <v>5</v>
      </c>
      <c r="N11" s="10">
        <f>4*4</f>
        <v>16</v>
      </c>
      <c r="O11" s="10">
        <v>96</v>
      </c>
      <c r="P11" s="10">
        <v>2374.9</v>
      </c>
      <c r="Q11" s="10">
        <f>(73.21*4)*4</f>
        <v>1171.3599999999999</v>
      </c>
      <c r="R11" s="43">
        <f t="shared" si="0"/>
        <v>12.201666666666666</v>
      </c>
      <c r="S11" s="10" t="s">
        <v>435</v>
      </c>
      <c r="U11" s="10">
        <f t="shared" si="2"/>
        <v>1288.4960000000001</v>
      </c>
      <c r="V11" s="10" t="s">
        <v>244</v>
      </c>
      <c r="W11" s="43">
        <v>1.1000000000000001</v>
      </c>
      <c r="X11" s="10">
        <v>4</v>
      </c>
      <c r="Y11" s="43">
        <f t="shared" si="1"/>
        <v>13.421833333333334</v>
      </c>
      <c r="Z11" s="10" t="s">
        <v>271</v>
      </c>
    </row>
    <row r="12" spans="1:28" ht="40" customHeight="1" x14ac:dyDescent="0.2">
      <c r="A12" s="10">
        <v>2</v>
      </c>
      <c r="B12" s="10" t="s">
        <v>659</v>
      </c>
      <c r="E12" s="10" t="s">
        <v>530</v>
      </c>
      <c r="G12" s="10" t="s">
        <v>58</v>
      </c>
      <c r="I12" s="10" t="s">
        <v>70</v>
      </c>
      <c r="J12" s="10" t="s">
        <v>264</v>
      </c>
      <c r="K12" s="10" t="s">
        <v>263</v>
      </c>
      <c r="L12" s="10">
        <v>1980</v>
      </c>
      <c r="M12" s="10">
        <v>10</v>
      </c>
      <c r="N12" s="10" t="s">
        <v>268</v>
      </c>
      <c r="O12" s="10">
        <v>192</v>
      </c>
      <c r="P12" s="10">
        <v>5902.93</v>
      </c>
      <c r="Q12" s="10">
        <f>(73.21*4)*8</f>
        <v>2342.7199999999998</v>
      </c>
      <c r="R12" s="43">
        <f t="shared" si="0"/>
        <v>12.201666666666666</v>
      </c>
      <c r="S12" s="10" t="s">
        <v>65</v>
      </c>
      <c r="U12" s="10">
        <f t="shared" si="2"/>
        <v>1198535.5519999999</v>
      </c>
      <c r="V12" s="10" t="s">
        <v>244</v>
      </c>
      <c r="W12" s="43">
        <v>511.6</v>
      </c>
      <c r="X12" s="10">
        <v>4</v>
      </c>
      <c r="Y12" s="43">
        <f t="shared" si="1"/>
        <v>6242.3726666666662</v>
      </c>
      <c r="Z12" s="10" t="s">
        <v>271</v>
      </c>
      <c r="AB12" s="10" t="s">
        <v>270</v>
      </c>
    </row>
    <row r="13" spans="1:28" ht="40" customHeight="1" x14ac:dyDescent="0.2">
      <c r="A13" s="10">
        <v>2</v>
      </c>
      <c r="B13" s="10" t="s">
        <v>659</v>
      </c>
      <c r="E13" s="10" t="s">
        <v>530</v>
      </c>
      <c r="G13" s="10" t="s">
        <v>58</v>
      </c>
      <c r="I13" s="10" t="s">
        <v>70</v>
      </c>
      <c r="J13" s="10" t="s">
        <v>264</v>
      </c>
      <c r="L13" s="10">
        <v>1980</v>
      </c>
      <c r="M13" s="10">
        <v>10</v>
      </c>
      <c r="N13" s="10">
        <f>4*8</f>
        <v>32</v>
      </c>
      <c r="O13" s="10">
        <v>192</v>
      </c>
      <c r="P13" s="10">
        <v>5902.93</v>
      </c>
      <c r="Q13" s="10">
        <f>(73.21*4)*8</f>
        <v>2342.7199999999998</v>
      </c>
      <c r="R13" s="43">
        <f t="shared" si="0"/>
        <v>12.201666666666666</v>
      </c>
      <c r="S13" s="10" t="s">
        <v>67</v>
      </c>
      <c r="U13" s="10">
        <f t="shared" si="2"/>
        <v>47065.244799999993</v>
      </c>
      <c r="V13" s="10" t="s">
        <v>244</v>
      </c>
      <c r="W13" s="43">
        <v>20.09</v>
      </c>
      <c r="X13" s="10">
        <v>4</v>
      </c>
      <c r="Y13" s="43">
        <f t="shared" si="1"/>
        <v>245.13148333333331</v>
      </c>
      <c r="Z13" s="10" t="s">
        <v>271</v>
      </c>
    </row>
    <row r="14" spans="1:28" ht="40" customHeight="1" x14ac:dyDescent="0.2">
      <c r="A14" s="10">
        <v>2</v>
      </c>
      <c r="B14" s="10" t="s">
        <v>659</v>
      </c>
      <c r="E14" s="10" t="s">
        <v>530</v>
      </c>
      <c r="G14" s="10" t="s">
        <v>58</v>
      </c>
      <c r="I14" s="10" t="s">
        <v>70</v>
      </c>
      <c r="J14" s="10" t="s">
        <v>264</v>
      </c>
      <c r="L14" s="10">
        <v>1980</v>
      </c>
      <c r="M14" s="10">
        <v>10</v>
      </c>
      <c r="N14" s="10">
        <f>4*8</f>
        <v>32</v>
      </c>
      <c r="O14" s="10">
        <v>192</v>
      </c>
      <c r="P14" s="10">
        <v>5902.93</v>
      </c>
      <c r="Q14" s="10">
        <f>(73.21*4)*8</f>
        <v>2342.7199999999998</v>
      </c>
      <c r="R14" s="43">
        <f t="shared" si="0"/>
        <v>12.201666666666666</v>
      </c>
      <c r="S14" s="10" t="s">
        <v>435</v>
      </c>
      <c r="U14" s="10">
        <f t="shared" si="2"/>
        <v>913.66079999999999</v>
      </c>
      <c r="V14" s="10" t="s">
        <v>244</v>
      </c>
      <c r="W14" s="43">
        <v>0.39</v>
      </c>
      <c r="X14" s="10">
        <v>4</v>
      </c>
      <c r="Y14" s="43">
        <f t="shared" si="1"/>
        <v>4.7586500000000003</v>
      </c>
      <c r="Z14" s="10" t="s">
        <v>271</v>
      </c>
    </row>
    <row r="15" spans="1:28" ht="40" customHeight="1" x14ac:dyDescent="0.2">
      <c r="A15" s="10">
        <v>2</v>
      </c>
      <c r="B15" s="10" t="s">
        <v>659</v>
      </c>
      <c r="E15" s="10" t="s">
        <v>530</v>
      </c>
      <c r="G15" s="10" t="s">
        <v>58</v>
      </c>
      <c r="I15" s="10" t="s">
        <v>70</v>
      </c>
      <c r="J15" s="10" t="s">
        <v>266</v>
      </c>
      <c r="K15" s="10" t="s">
        <v>267</v>
      </c>
      <c r="L15" s="10">
        <v>1980</v>
      </c>
      <c r="M15" s="10">
        <v>18</v>
      </c>
      <c r="N15" s="10" t="s">
        <v>268</v>
      </c>
      <c r="O15" s="10">
        <v>384</v>
      </c>
      <c r="P15" s="10">
        <v>10616.2</v>
      </c>
      <c r="Q15" s="10">
        <f>(73.21*4)*16</f>
        <v>4685.4399999999996</v>
      </c>
      <c r="R15" s="43">
        <f t="shared" si="0"/>
        <v>12.201666666666666</v>
      </c>
      <c r="S15" s="10" t="s">
        <v>65</v>
      </c>
      <c r="U15" s="10">
        <f t="shared" si="2"/>
        <v>2458684.6399999997</v>
      </c>
      <c r="V15" s="10" t="s">
        <v>244</v>
      </c>
      <c r="W15" s="43">
        <v>524.75</v>
      </c>
      <c r="X15" s="10">
        <v>4</v>
      </c>
      <c r="Y15" s="43">
        <f t="shared" si="1"/>
        <v>6402.8245833333322</v>
      </c>
      <c r="Z15" s="10" t="s">
        <v>271</v>
      </c>
      <c r="AB15" s="10" t="s">
        <v>270</v>
      </c>
    </row>
    <row r="16" spans="1:28" ht="40" customHeight="1" x14ac:dyDescent="0.2">
      <c r="A16" s="10">
        <v>2</v>
      </c>
      <c r="B16" s="10" t="s">
        <v>659</v>
      </c>
      <c r="E16" s="10" t="s">
        <v>530</v>
      </c>
      <c r="G16" s="10" t="s">
        <v>58</v>
      </c>
      <c r="I16" s="10" t="s">
        <v>70</v>
      </c>
      <c r="J16" s="10" t="s">
        <v>266</v>
      </c>
      <c r="L16" s="10">
        <v>1980</v>
      </c>
      <c r="M16" s="10">
        <v>18</v>
      </c>
      <c r="N16" s="10">
        <f>4*16</f>
        <v>64</v>
      </c>
      <c r="O16" s="10">
        <v>384</v>
      </c>
      <c r="P16" s="10">
        <v>10616.2</v>
      </c>
      <c r="Q16" s="10">
        <f>(73.21*4)*16</f>
        <v>4685.4399999999996</v>
      </c>
      <c r="R16" s="43">
        <f t="shared" si="0"/>
        <v>12.201666666666666</v>
      </c>
      <c r="S16" s="10" t="s">
        <v>67</v>
      </c>
      <c r="U16" s="10">
        <f t="shared" si="2"/>
        <v>99143.910399999993</v>
      </c>
      <c r="V16" s="10" t="s">
        <v>244</v>
      </c>
      <c r="W16" s="43">
        <v>21.16</v>
      </c>
      <c r="X16" s="10">
        <v>4</v>
      </c>
      <c r="Y16" s="43">
        <f t="shared" si="1"/>
        <v>258.18726666666663</v>
      </c>
      <c r="Z16" s="10" t="s">
        <v>271</v>
      </c>
    </row>
    <row r="17" spans="1:26" ht="40" customHeight="1" x14ac:dyDescent="0.2">
      <c r="A17" s="10">
        <v>2</v>
      </c>
      <c r="B17" s="10" t="s">
        <v>659</v>
      </c>
      <c r="E17" s="10" t="s">
        <v>530</v>
      </c>
      <c r="G17" s="10" t="s">
        <v>58</v>
      </c>
      <c r="I17" s="10" t="s">
        <v>70</v>
      </c>
      <c r="J17" s="10" t="s">
        <v>266</v>
      </c>
      <c r="L17" s="10">
        <v>1980</v>
      </c>
      <c r="M17" s="10">
        <v>18</v>
      </c>
      <c r="N17" s="10">
        <f>4*16</f>
        <v>64</v>
      </c>
      <c r="O17" s="10">
        <v>384</v>
      </c>
      <c r="P17" s="10">
        <v>10616.2</v>
      </c>
      <c r="Q17" s="10">
        <f>(73.21*4)*16</f>
        <v>4685.4399999999996</v>
      </c>
      <c r="R17" s="43">
        <f t="shared" si="0"/>
        <v>12.201666666666666</v>
      </c>
      <c r="S17" s="10" t="s">
        <v>435</v>
      </c>
      <c r="U17" s="10">
        <f t="shared" si="2"/>
        <v>2342.7199999999998</v>
      </c>
      <c r="V17" s="10" t="s">
        <v>244</v>
      </c>
      <c r="W17" s="43">
        <v>0.5</v>
      </c>
      <c r="X17" s="10">
        <v>4</v>
      </c>
      <c r="Y17" s="43">
        <f t="shared" si="1"/>
        <v>6.1008333333333331</v>
      </c>
      <c r="Z17" s="10" t="s">
        <v>271</v>
      </c>
    </row>
  </sheetData>
  <hyperlinks>
    <hyperlink ref="D2" r:id="rId1" tooltip="Persistent link using digital object identifier" xr:uid="{00000000-0004-0000-0C00-000000000000}"/>
  </hyperlinks>
  <pageMargins left="0.7" right="0.7" top="0.75" bottom="0.75" header="0.3" footer="0.3"/>
  <pageSetup paperSize="9" orientation="portrait" horizontalDpi="0" verticalDpi="0"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120ED-9987-4221-8159-59D58D949090}">
  <sheetPr>
    <tabColor rgb="FF92D050"/>
  </sheetPr>
  <dimension ref="A1:AB20"/>
  <sheetViews>
    <sheetView zoomScaleNormal="100" workbookViewId="0"/>
  </sheetViews>
  <sheetFormatPr baseColWidth="10" defaultColWidth="8.83203125" defaultRowHeight="15" x14ac:dyDescent="0.2"/>
  <cols>
    <col min="1" max="1" width="3.83203125" style="10" customWidth="1"/>
    <col min="2" max="2" width="14.5" style="10" customWidth="1"/>
    <col min="3" max="3" width="28.1640625" style="10" customWidth="1"/>
    <col min="4" max="4" width="17" style="10" customWidth="1"/>
    <col min="5" max="6" width="25" style="10" customWidth="1"/>
    <col min="7" max="7" width="8.83203125" style="10"/>
    <col min="8" max="8" width="21.1640625" style="10" customWidth="1"/>
    <col min="9" max="9" width="27.6640625" style="10" customWidth="1"/>
    <col min="10" max="10" width="18.83203125" style="10" customWidth="1"/>
    <col min="11" max="11" width="36.1640625" style="10" customWidth="1"/>
    <col min="12" max="13" width="22.5" style="10" customWidth="1"/>
    <col min="14" max="14" width="23" style="10" customWidth="1"/>
    <col min="15" max="15" width="13.33203125" style="10" customWidth="1"/>
    <col min="16" max="16" width="13.5" style="10" customWidth="1"/>
    <col min="17" max="18" width="12.1640625" style="10" customWidth="1"/>
    <col min="19" max="19" width="16.1640625" style="10" customWidth="1"/>
    <col min="20" max="20" width="10.83203125" style="10" customWidth="1"/>
    <col min="21" max="21" width="11.5" style="10" customWidth="1"/>
    <col min="22" max="22" width="8" style="10" customWidth="1"/>
    <col min="23" max="23" width="17.83203125" style="43" customWidth="1"/>
    <col min="24" max="24" width="12" style="10" customWidth="1"/>
    <col min="25" max="25" width="12.5" style="10" bestFit="1" customWidth="1"/>
    <col min="26" max="26" width="10.1640625" style="10" customWidth="1"/>
    <col min="27" max="27" width="37.6640625" style="10" customWidth="1"/>
    <col min="28" max="28" width="12.83203125" style="10" customWidth="1"/>
  </cols>
  <sheetData>
    <row r="1" spans="1:28" ht="44.25" customHeight="1" x14ac:dyDescent="0.2">
      <c r="A1" s="44" t="s">
        <v>206</v>
      </c>
      <c r="B1" s="44" t="s">
        <v>205</v>
      </c>
      <c r="C1" s="44" t="s">
        <v>204</v>
      </c>
      <c r="D1" s="44" t="s">
        <v>647</v>
      </c>
      <c r="E1" s="44" t="s">
        <v>203</v>
      </c>
      <c r="F1" s="44" t="s">
        <v>415</v>
      </c>
      <c r="G1" s="44" t="s">
        <v>202</v>
      </c>
      <c r="H1" s="44" t="s">
        <v>201</v>
      </c>
      <c r="I1" s="44" t="s">
        <v>200</v>
      </c>
      <c r="J1" s="44" t="s">
        <v>240</v>
      </c>
      <c r="K1" s="44" t="s">
        <v>199</v>
      </c>
      <c r="L1" s="44" t="s">
        <v>198</v>
      </c>
      <c r="M1" s="44" t="s">
        <v>197</v>
      </c>
      <c r="N1" s="44" t="s">
        <v>196</v>
      </c>
      <c r="O1" s="44" t="s">
        <v>195</v>
      </c>
      <c r="P1" s="44" t="s">
        <v>194</v>
      </c>
      <c r="Q1" s="44" t="s">
        <v>241</v>
      </c>
      <c r="R1" s="44" t="s">
        <v>414</v>
      </c>
      <c r="S1" s="44" t="s">
        <v>193</v>
      </c>
      <c r="T1" s="44" t="s">
        <v>419</v>
      </c>
      <c r="U1" s="44" t="s">
        <v>519</v>
      </c>
      <c r="V1" s="44" t="s">
        <v>192</v>
      </c>
      <c r="W1" s="44" t="s">
        <v>384</v>
      </c>
      <c r="X1" s="44" t="s">
        <v>416</v>
      </c>
      <c r="Y1" s="44" t="s">
        <v>242</v>
      </c>
      <c r="Z1" s="44" t="s">
        <v>191</v>
      </c>
      <c r="AA1" s="44" t="s">
        <v>190</v>
      </c>
      <c r="AB1" s="44" t="s">
        <v>251</v>
      </c>
    </row>
    <row r="2" spans="1:28" ht="40" customHeight="1" x14ac:dyDescent="0.2">
      <c r="A2" s="10">
        <v>1</v>
      </c>
      <c r="B2" s="10" t="s">
        <v>661</v>
      </c>
      <c r="C2" s="10" t="s">
        <v>805</v>
      </c>
      <c r="D2" s="10" t="s">
        <v>804</v>
      </c>
      <c r="E2" s="10" t="s">
        <v>524</v>
      </c>
      <c r="G2" s="10" t="s">
        <v>58</v>
      </c>
      <c r="H2" s="10" t="s">
        <v>282</v>
      </c>
      <c r="I2" s="10" t="s">
        <v>389</v>
      </c>
      <c r="J2" s="10" t="s">
        <v>281</v>
      </c>
      <c r="K2" s="10" t="s">
        <v>280</v>
      </c>
      <c r="M2" s="10">
        <f>AVERAGE(1.9,1.8,1.7)</f>
        <v>1.8</v>
      </c>
      <c r="N2" s="10" t="s">
        <v>279</v>
      </c>
      <c r="P2" s="10">
        <f>AVERAGE(177, 154, 167)</f>
        <v>166</v>
      </c>
      <c r="Q2" s="43">
        <f>P2*0.9</f>
        <v>149.4</v>
      </c>
      <c r="R2" s="10">
        <v>29</v>
      </c>
      <c r="S2" s="10" t="s">
        <v>65</v>
      </c>
      <c r="U2" s="10">
        <f>549+135+158+216</f>
        <v>1058</v>
      </c>
      <c r="V2" s="10" t="s">
        <v>0</v>
      </c>
      <c r="W2" s="43">
        <f>549+135+158+216</f>
        <v>1058</v>
      </c>
      <c r="X2" s="10">
        <v>1</v>
      </c>
      <c r="AA2" s="10" t="s">
        <v>278</v>
      </c>
      <c r="AB2" s="10">
        <f>AVERAGE(177,154,167)</f>
        <v>166</v>
      </c>
    </row>
    <row r="3" spans="1:28" ht="40" customHeight="1" x14ac:dyDescent="0.2">
      <c r="A3" s="10">
        <v>1</v>
      </c>
      <c r="B3" s="10" t="s">
        <v>660</v>
      </c>
      <c r="E3" s="10" t="s">
        <v>524</v>
      </c>
      <c r="G3" s="10" t="s">
        <v>58</v>
      </c>
      <c r="I3" s="10" t="s">
        <v>389</v>
      </c>
      <c r="J3" s="10" t="s">
        <v>281</v>
      </c>
      <c r="M3" s="10">
        <f t="shared" ref="M3:M5" si="0">AVERAGE(1.9,1.8,1.7)</f>
        <v>1.8</v>
      </c>
      <c r="N3" s="10" t="s">
        <v>279</v>
      </c>
      <c r="P3" s="10">
        <f>AVERAGE(177, 154, 167)</f>
        <v>166</v>
      </c>
      <c r="Q3" s="43">
        <f>P3*0.9</f>
        <v>149.4</v>
      </c>
      <c r="R3" s="10">
        <v>29</v>
      </c>
      <c r="S3" s="10" t="s">
        <v>30</v>
      </c>
      <c r="U3" s="10">
        <f>8.2+10.9+10+5.7</f>
        <v>34.800000000000004</v>
      </c>
      <c r="V3" s="10" t="s">
        <v>0</v>
      </c>
      <c r="W3" s="43">
        <f>8.2+10.9+10+5.7</f>
        <v>34.800000000000004</v>
      </c>
      <c r="X3" s="10">
        <v>1</v>
      </c>
      <c r="AA3" s="10" t="s">
        <v>283</v>
      </c>
    </row>
    <row r="4" spans="1:28" ht="40" customHeight="1" x14ac:dyDescent="0.2">
      <c r="A4" s="10">
        <v>1</v>
      </c>
      <c r="B4" s="10" t="s">
        <v>660</v>
      </c>
      <c r="E4" s="10" t="s">
        <v>524</v>
      </c>
      <c r="G4" s="10" t="s">
        <v>58</v>
      </c>
      <c r="I4" s="10" t="s">
        <v>389</v>
      </c>
      <c r="J4" s="10" t="s">
        <v>281</v>
      </c>
      <c r="M4" s="10">
        <f t="shared" si="0"/>
        <v>1.8</v>
      </c>
      <c r="N4" s="10" t="s">
        <v>279</v>
      </c>
      <c r="P4" s="10">
        <f>AVERAGE(177, 154, 167)</f>
        <v>166</v>
      </c>
      <c r="Q4" s="43">
        <f>P4*0.9</f>
        <v>149.4</v>
      </c>
      <c r="R4" s="10">
        <v>29</v>
      </c>
      <c r="S4" s="10" t="s">
        <v>67</v>
      </c>
      <c r="U4" s="10">
        <v>2.7</v>
      </c>
      <c r="V4" s="10" t="s">
        <v>0</v>
      </c>
      <c r="W4" s="43">
        <v>2.7</v>
      </c>
      <c r="X4" s="10">
        <v>1</v>
      </c>
    </row>
    <row r="5" spans="1:28" ht="40" customHeight="1" x14ac:dyDescent="0.2">
      <c r="A5" s="10">
        <v>1</v>
      </c>
      <c r="B5" s="10" t="s">
        <v>660</v>
      </c>
      <c r="E5" s="10" t="s">
        <v>524</v>
      </c>
      <c r="G5" s="10" t="s">
        <v>58</v>
      </c>
      <c r="I5" s="10" t="s">
        <v>389</v>
      </c>
      <c r="J5" s="10" t="s">
        <v>281</v>
      </c>
      <c r="M5" s="10">
        <f t="shared" si="0"/>
        <v>1.8</v>
      </c>
      <c r="N5" s="10" t="s">
        <v>279</v>
      </c>
      <c r="P5" s="10">
        <f>AVERAGE(177, 154, 167)</f>
        <v>166</v>
      </c>
      <c r="Q5" s="43">
        <f>P5*0.9</f>
        <v>149.4</v>
      </c>
      <c r="R5" s="10">
        <v>29</v>
      </c>
      <c r="S5" s="10" t="s">
        <v>435</v>
      </c>
      <c r="U5" s="10">
        <v>1.8</v>
      </c>
      <c r="V5" s="10" t="s">
        <v>442</v>
      </c>
      <c r="W5" s="43">
        <v>1.8</v>
      </c>
      <c r="X5" s="10">
        <v>1</v>
      </c>
    </row>
    <row r="6" spans="1:28" ht="40" customHeight="1" x14ac:dyDescent="0.2">
      <c r="A6" s="10">
        <v>1</v>
      </c>
      <c r="B6" s="10" t="s">
        <v>660</v>
      </c>
      <c r="E6" s="10" t="s">
        <v>524</v>
      </c>
      <c r="G6" s="10" t="s">
        <v>58</v>
      </c>
      <c r="I6" s="10" t="s">
        <v>389</v>
      </c>
      <c r="J6" s="10" t="s">
        <v>277</v>
      </c>
      <c r="K6" s="10" t="s">
        <v>276</v>
      </c>
      <c r="M6" s="48">
        <f>AVERAGE(1.2,1.2,1.1)</f>
        <v>1.1666666666666667</v>
      </c>
      <c r="N6" s="10" t="s">
        <v>275</v>
      </c>
      <c r="P6" s="43">
        <f>AVERAGE(105,96,118)</f>
        <v>106.33333333333333</v>
      </c>
      <c r="Q6" s="43">
        <f t="shared" ref="Q6:Q12" si="1" xml:space="preserve"> P6*0.9</f>
        <v>95.7</v>
      </c>
      <c r="R6" s="10">
        <v>29</v>
      </c>
      <c r="S6" s="10" t="s">
        <v>65</v>
      </c>
      <c r="U6" s="10">
        <v>539</v>
      </c>
      <c r="V6" s="10" t="s">
        <v>0</v>
      </c>
      <c r="W6" s="43">
        <v>539</v>
      </c>
      <c r="X6" s="10">
        <v>1</v>
      </c>
      <c r="AA6" s="10" t="s">
        <v>443</v>
      </c>
      <c r="AB6" s="10">
        <f>AVERAGE(105,96,118)</f>
        <v>106.33333333333333</v>
      </c>
    </row>
    <row r="7" spans="1:28" ht="40" customHeight="1" x14ac:dyDescent="0.2">
      <c r="A7" s="10">
        <v>1</v>
      </c>
      <c r="B7" s="10" t="s">
        <v>660</v>
      </c>
      <c r="E7" s="10" t="s">
        <v>524</v>
      </c>
      <c r="G7" s="10" t="s">
        <v>58</v>
      </c>
      <c r="I7" s="10" t="s">
        <v>389</v>
      </c>
      <c r="J7" s="10" t="s">
        <v>277</v>
      </c>
      <c r="M7" s="48">
        <f t="shared" ref="M7:M8" si="2">AVERAGE(1.2,1.2,1.1)</f>
        <v>1.1666666666666667</v>
      </c>
      <c r="N7" s="10" t="s">
        <v>275</v>
      </c>
      <c r="P7" s="43">
        <f>AVERAGE(105,96,118)</f>
        <v>106.33333333333333</v>
      </c>
      <c r="Q7" s="43">
        <f t="shared" si="1"/>
        <v>95.7</v>
      </c>
      <c r="R7" s="10">
        <v>29</v>
      </c>
      <c r="S7" s="10" t="s">
        <v>67</v>
      </c>
      <c r="U7" s="10">
        <f>30+1.9</f>
        <v>31.9</v>
      </c>
      <c r="V7" s="10" t="s">
        <v>0</v>
      </c>
      <c r="W7" s="43">
        <f>30+1.9</f>
        <v>31.9</v>
      </c>
      <c r="X7" s="10">
        <v>1</v>
      </c>
    </row>
    <row r="8" spans="1:28" ht="40" customHeight="1" x14ac:dyDescent="0.2">
      <c r="A8" s="10">
        <v>1</v>
      </c>
      <c r="B8" s="10" t="s">
        <v>660</v>
      </c>
      <c r="E8" s="10" t="s">
        <v>524</v>
      </c>
      <c r="G8" s="10" t="s">
        <v>58</v>
      </c>
      <c r="I8" s="10" t="s">
        <v>389</v>
      </c>
      <c r="J8" s="10" t="s">
        <v>277</v>
      </c>
      <c r="M8" s="48">
        <f t="shared" si="2"/>
        <v>1.1666666666666667</v>
      </c>
      <c r="N8" s="10" t="s">
        <v>275</v>
      </c>
      <c r="P8" s="43">
        <f>AVERAGE(105,96,118)</f>
        <v>106.33333333333333</v>
      </c>
      <c r="Q8" s="43">
        <f t="shared" si="1"/>
        <v>95.7</v>
      </c>
      <c r="R8" s="10">
        <v>29</v>
      </c>
      <c r="S8" s="10" t="s">
        <v>435</v>
      </c>
      <c r="U8" s="10">
        <v>0.55000000000000004</v>
      </c>
      <c r="V8" s="10" t="s">
        <v>442</v>
      </c>
      <c r="W8" s="43">
        <v>0.55000000000000004</v>
      </c>
      <c r="X8" s="10">
        <v>1</v>
      </c>
    </row>
    <row r="9" spans="1:28" ht="40" customHeight="1" x14ac:dyDescent="0.2">
      <c r="A9" s="10">
        <v>1</v>
      </c>
      <c r="B9" s="10" t="s">
        <v>660</v>
      </c>
      <c r="E9" s="10" t="s">
        <v>524</v>
      </c>
      <c r="G9" s="10" t="s">
        <v>58</v>
      </c>
      <c r="H9" s="10" t="s">
        <v>282</v>
      </c>
      <c r="I9" s="10" t="s">
        <v>439</v>
      </c>
      <c r="J9" s="10" t="s">
        <v>274</v>
      </c>
      <c r="K9" s="10" t="s">
        <v>892</v>
      </c>
      <c r="M9" s="10">
        <v>1</v>
      </c>
      <c r="N9" s="10" t="s">
        <v>273</v>
      </c>
      <c r="P9" s="10">
        <f>AVERAGE(99, 97)</f>
        <v>98</v>
      </c>
      <c r="Q9" s="43">
        <f t="shared" si="1"/>
        <v>88.2</v>
      </c>
      <c r="R9" s="10">
        <v>29</v>
      </c>
      <c r="S9" s="10" t="s">
        <v>65</v>
      </c>
      <c r="U9" s="10">
        <f>317+221+171+224</f>
        <v>933</v>
      </c>
      <c r="V9" s="10" t="s">
        <v>0</v>
      </c>
      <c r="W9" s="43">
        <f>317+221+171+224</f>
        <v>933</v>
      </c>
      <c r="X9" s="10">
        <v>3</v>
      </c>
      <c r="AB9" s="10">
        <f>AVERAGE(99,96,97)</f>
        <v>97.333333333333329</v>
      </c>
    </row>
    <row r="10" spans="1:28" ht="40" customHeight="1" x14ac:dyDescent="0.2">
      <c r="A10" s="10">
        <v>1</v>
      </c>
      <c r="B10" s="10" t="s">
        <v>660</v>
      </c>
      <c r="E10" s="10" t="s">
        <v>524</v>
      </c>
      <c r="G10" s="10" t="s">
        <v>58</v>
      </c>
      <c r="I10" s="10" t="s">
        <v>439</v>
      </c>
      <c r="J10" s="10" t="s">
        <v>274</v>
      </c>
      <c r="M10" s="10">
        <v>1</v>
      </c>
      <c r="N10" s="10" t="s">
        <v>273</v>
      </c>
      <c r="P10" s="10">
        <f>AVERAGE(99, 97)</f>
        <v>98</v>
      </c>
      <c r="Q10" s="43">
        <f t="shared" si="1"/>
        <v>88.2</v>
      </c>
      <c r="R10" s="10">
        <v>29</v>
      </c>
      <c r="S10" s="10" t="s">
        <v>30</v>
      </c>
      <c r="U10" s="10">
        <f>6.4+14.5+11.1+5.5</f>
        <v>37.5</v>
      </c>
      <c r="V10" s="10" t="s">
        <v>0</v>
      </c>
      <c r="W10" s="43">
        <f>6.4+14.5+11.1+5.5</f>
        <v>37.5</v>
      </c>
      <c r="X10" s="10">
        <v>3</v>
      </c>
    </row>
    <row r="11" spans="1:28" ht="40" customHeight="1" x14ac:dyDescent="0.2">
      <c r="A11" s="10">
        <v>1</v>
      </c>
      <c r="B11" s="10" t="s">
        <v>660</v>
      </c>
      <c r="E11" s="10" t="s">
        <v>524</v>
      </c>
      <c r="G11" s="10" t="s">
        <v>58</v>
      </c>
      <c r="I11" s="10" t="s">
        <v>439</v>
      </c>
      <c r="J11" s="10" t="s">
        <v>274</v>
      </c>
      <c r="M11" s="10">
        <v>1</v>
      </c>
      <c r="N11" s="10" t="s">
        <v>273</v>
      </c>
      <c r="P11" s="10">
        <f>AVERAGE(99, 97)</f>
        <v>98</v>
      </c>
      <c r="Q11" s="43">
        <f t="shared" si="1"/>
        <v>88.2</v>
      </c>
      <c r="R11" s="10">
        <v>29</v>
      </c>
      <c r="S11" s="10" t="s">
        <v>67</v>
      </c>
      <c r="U11" s="10">
        <v>2.7</v>
      </c>
      <c r="V11" s="10" t="s">
        <v>0</v>
      </c>
      <c r="W11" s="43">
        <v>2.7</v>
      </c>
      <c r="X11" s="10">
        <v>3</v>
      </c>
    </row>
    <row r="12" spans="1:28" ht="40" customHeight="1" x14ac:dyDescent="0.2">
      <c r="A12" s="10">
        <v>1</v>
      </c>
      <c r="B12" s="10" t="s">
        <v>660</v>
      </c>
      <c r="E12" s="10" t="s">
        <v>524</v>
      </c>
      <c r="G12" s="10" t="s">
        <v>58</v>
      </c>
      <c r="I12" s="10" t="s">
        <v>439</v>
      </c>
      <c r="J12" s="10" t="s">
        <v>274</v>
      </c>
      <c r="M12" s="10">
        <v>1</v>
      </c>
      <c r="N12" s="10" t="s">
        <v>273</v>
      </c>
      <c r="P12" s="10">
        <f>AVERAGE(99, 97)</f>
        <v>98</v>
      </c>
      <c r="Q12" s="43">
        <f t="shared" si="1"/>
        <v>88.2</v>
      </c>
      <c r="R12" s="10">
        <v>29</v>
      </c>
      <c r="S12" s="10" t="s">
        <v>435</v>
      </c>
      <c r="U12" s="10">
        <v>1.8</v>
      </c>
      <c r="V12" s="10" t="s">
        <v>0</v>
      </c>
      <c r="W12" s="43">
        <v>1.8</v>
      </c>
      <c r="X12" s="10">
        <v>3</v>
      </c>
    </row>
    <row r="13" spans="1:28" ht="40" customHeight="1" x14ac:dyDescent="0.2">
      <c r="A13" s="10">
        <v>2</v>
      </c>
      <c r="B13" s="10" t="s">
        <v>663</v>
      </c>
      <c r="C13" s="10" t="s">
        <v>380</v>
      </c>
      <c r="D13" s="10" t="s">
        <v>806</v>
      </c>
      <c r="E13" s="10" t="s">
        <v>525</v>
      </c>
      <c r="G13" s="10" t="s">
        <v>58</v>
      </c>
      <c r="H13" s="10" t="s">
        <v>282</v>
      </c>
      <c r="I13" s="10" t="s">
        <v>389</v>
      </c>
      <c r="J13" s="10" t="s">
        <v>378</v>
      </c>
      <c r="K13" s="10" t="s">
        <v>379</v>
      </c>
      <c r="M13" s="10">
        <v>1</v>
      </c>
      <c r="N13" s="10">
        <v>1</v>
      </c>
      <c r="O13" s="10">
        <v>4</v>
      </c>
      <c r="Q13" s="10">
        <v>32</v>
      </c>
      <c r="R13" s="10">
        <f t="shared" ref="R13:R20" si="3">Q13/O13</f>
        <v>8</v>
      </c>
      <c r="S13" s="10" t="s">
        <v>65</v>
      </c>
      <c r="U13" s="10">
        <v>7229</v>
      </c>
      <c r="V13" s="10" t="s">
        <v>244</v>
      </c>
      <c r="W13" s="43">
        <f>U13/Q13</f>
        <v>225.90625</v>
      </c>
      <c r="X13" s="10">
        <v>1</v>
      </c>
      <c r="AB13" s="10">
        <v>32</v>
      </c>
    </row>
    <row r="14" spans="1:28" ht="40" customHeight="1" x14ac:dyDescent="0.2">
      <c r="A14" s="10">
        <v>2</v>
      </c>
      <c r="B14" s="10" t="s">
        <v>662</v>
      </c>
      <c r="E14" s="10" t="s">
        <v>525</v>
      </c>
      <c r="G14" s="10" t="s">
        <v>58</v>
      </c>
      <c r="I14" s="10" t="s">
        <v>389</v>
      </c>
      <c r="J14" s="10" t="s">
        <v>378</v>
      </c>
      <c r="M14" s="10">
        <v>1</v>
      </c>
      <c r="N14" s="10">
        <v>1</v>
      </c>
      <c r="O14" s="10">
        <v>4</v>
      </c>
      <c r="Q14" s="10">
        <v>32</v>
      </c>
      <c r="R14" s="10">
        <f t="shared" si="3"/>
        <v>8</v>
      </c>
      <c r="S14" s="10" t="s">
        <v>30</v>
      </c>
      <c r="U14" s="10">
        <v>1136</v>
      </c>
      <c r="V14" s="10" t="s">
        <v>244</v>
      </c>
      <c r="W14" s="43">
        <f>U14/Q14</f>
        <v>35.5</v>
      </c>
      <c r="X14" s="10">
        <v>1</v>
      </c>
    </row>
    <row r="15" spans="1:28" ht="40" customHeight="1" x14ac:dyDescent="0.2">
      <c r="A15" s="10">
        <v>2</v>
      </c>
      <c r="B15" s="10" t="s">
        <v>662</v>
      </c>
      <c r="E15" s="10" t="s">
        <v>525</v>
      </c>
      <c r="G15" s="10" t="s">
        <v>58</v>
      </c>
      <c r="I15" s="10" t="s">
        <v>389</v>
      </c>
      <c r="J15" s="10" t="s">
        <v>378</v>
      </c>
      <c r="M15" s="10">
        <v>1</v>
      </c>
      <c r="N15" s="10">
        <v>1</v>
      </c>
      <c r="O15" s="10">
        <v>4</v>
      </c>
      <c r="Q15" s="10">
        <v>32</v>
      </c>
      <c r="R15" s="10">
        <f t="shared" si="3"/>
        <v>8</v>
      </c>
      <c r="S15" s="10" t="s">
        <v>67</v>
      </c>
      <c r="U15" s="10">
        <v>792</v>
      </c>
      <c r="V15" s="10" t="s">
        <v>244</v>
      </c>
      <c r="W15" s="43">
        <f>U15/Q15</f>
        <v>24.75</v>
      </c>
      <c r="X15" s="10">
        <v>1</v>
      </c>
    </row>
    <row r="16" spans="1:28" ht="40" customHeight="1" x14ac:dyDescent="0.2">
      <c r="A16" s="10">
        <v>3</v>
      </c>
      <c r="B16" s="10" t="s">
        <v>664</v>
      </c>
      <c r="C16" s="10" t="s">
        <v>381</v>
      </c>
      <c r="D16" s="10" t="s">
        <v>807</v>
      </c>
      <c r="E16" s="10" t="s">
        <v>526</v>
      </c>
      <c r="G16" s="10" t="s">
        <v>58</v>
      </c>
      <c r="H16" s="10" t="s">
        <v>2</v>
      </c>
      <c r="I16" s="10" t="s">
        <v>432</v>
      </c>
      <c r="J16" s="10" t="s">
        <v>382</v>
      </c>
      <c r="K16" s="10" t="s">
        <v>441</v>
      </c>
      <c r="M16" s="10">
        <v>2</v>
      </c>
      <c r="N16" s="10">
        <v>1</v>
      </c>
      <c r="O16" s="10">
        <v>4</v>
      </c>
      <c r="Q16" s="10">
        <v>140</v>
      </c>
      <c r="R16" s="10">
        <f t="shared" si="3"/>
        <v>35</v>
      </c>
      <c r="S16" s="10" t="s">
        <v>65</v>
      </c>
      <c r="T16" s="10">
        <v>2320</v>
      </c>
      <c r="U16" s="10">
        <v>54</v>
      </c>
      <c r="V16" s="10" t="s">
        <v>1</v>
      </c>
      <c r="W16" s="43">
        <f>(U16*T16)/Q16</f>
        <v>894.85714285714289</v>
      </c>
      <c r="X16" s="10">
        <v>2</v>
      </c>
      <c r="Z16" s="10" t="s">
        <v>248</v>
      </c>
      <c r="AB16" s="10">
        <v>140</v>
      </c>
    </row>
    <row r="17" spans="1:27" ht="40" customHeight="1" x14ac:dyDescent="0.2">
      <c r="A17" s="10">
        <v>3</v>
      </c>
      <c r="B17" s="10" t="s">
        <v>808</v>
      </c>
      <c r="E17" s="10" t="s">
        <v>526</v>
      </c>
      <c r="G17" s="10" t="s">
        <v>58</v>
      </c>
      <c r="I17" s="10" t="s">
        <v>432</v>
      </c>
      <c r="J17" s="10" t="s">
        <v>382</v>
      </c>
      <c r="M17" s="10">
        <v>2</v>
      </c>
      <c r="N17" s="10">
        <v>1</v>
      </c>
      <c r="O17" s="10">
        <v>4</v>
      </c>
      <c r="Q17" s="10">
        <v>140</v>
      </c>
      <c r="R17" s="10">
        <f t="shared" si="3"/>
        <v>35</v>
      </c>
      <c r="S17" s="10" t="s">
        <v>30</v>
      </c>
      <c r="U17" s="10">
        <v>5500</v>
      </c>
      <c r="V17" s="10" t="s">
        <v>244</v>
      </c>
      <c r="W17" s="43">
        <f>U17/Q17</f>
        <v>39.285714285714285</v>
      </c>
      <c r="X17" s="10">
        <v>2</v>
      </c>
    </row>
    <row r="18" spans="1:27" ht="64" x14ac:dyDescent="0.2">
      <c r="A18" s="10">
        <v>3</v>
      </c>
      <c r="B18" s="10" t="s">
        <v>808</v>
      </c>
      <c r="E18" s="10" t="s">
        <v>526</v>
      </c>
      <c r="G18" s="10" t="s">
        <v>58</v>
      </c>
      <c r="I18" s="10" t="s">
        <v>432</v>
      </c>
      <c r="J18" s="10" t="s">
        <v>382</v>
      </c>
      <c r="M18" s="10">
        <v>2</v>
      </c>
      <c r="N18" s="10">
        <v>1</v>
      </c>
      <c r="O18" s="10">
        <v>4</v>
      </c>
      <c r="Q18" s="10">
        <v>140</v>
      </c>
      <c r="R18" s="10">
        <f t="shared" si="3"/>
        <v>35</v>
      </c>
      <c r="S18" s="10" t="s">
        <v>67</v>
      </c>
      <c r="T18" s="10">
        <v>450</v>
      </c>
      <c r="U18" s="10">
        <v>5.5</v>
      </c>
      <c r="V18" s="10" t="s">
        <v>1</v>
      </c>
      <c r="W18" s="43">
        <f>(U18*T18)/Q18</f>
        <v>17.678571428571427</v>
      </c>
      <c r="X18" s="10">
        <v>2</v>
      </c>
      <c r="AA18" s="10" t="s">
        <v>383</v>
      </c>
    </row>
    <row r="19" spans="1:27" ht="64" x14ac:dyDescent="0.2">
      <c r="A19" s="10">
        <v>3</v>
      </c>
      <c r="B19" s="10" t="s">
        <v>808</v>
      </c>
      <c r="E19" s="10" t="s">
        <v>526</v>
      </c>
      <c r="G19" s="10" t="s">
        <v>58</v>
      </c>
      <c r="I19" s="10" t="s">
        <v>432</v>
      </c>
      <c r="J19" s="10" t="s">
        <v>382</v>
      </c>
      <c r="M19" s="10">
        <v>2</v>
      </c>
      <c r="N19" s="10">
        <v>1</v>
      </c>
      <c r="O19" s="10">
        <v>4</v>
      </c>
      <c r="Q19" s="10">
        <v>140</v>
      </c>
      <c r="R19" s="10">
        <f t="shared" si="3"/>
        <v>35</v>
      </c>
      <c r="S19" s="10" t="s">
        <v>243</v>
      </c>
      <c r="U19" s="10">
        <v>55</v>
      </c>
      <c r="V19" s="10" t="s">
        <v>244</v>
      </c>
      <c r="W19" s="43">
        <f>U19/Q19</f>
        <v>0.39285714285714285</v>
      </c>
      <c r="X19" s="10">
        <v>2</v>
      </c>
    </row>
    <row r="20" spans="1:27" ht="64" x14ac:dyDescent="0.2">
      <c r="A20" s="10">
        <v>3</v>
      </c>
      <c r="B20" s="10" t="s">
        <v>808</v>
      </c>
      <c r="E20" s="10" t="s">
        <v>526</v>
      </c>
      <c r="G20" s="10" t="s">
        <v>58</v>
      </c>
      <c r="I20" s="10" t="s">
        <v>432</v>
      </c>
      <c r="J20" s="10" t="s">
        <v>382</v>
      </c>
      <c r="M20" s="10">
        <v>2</v>
      </c>
      <c r="N20" s="10">
        <v>1</v>
      </c>
      <c r="O20" s="10">
        <v>4</v>
      </c>
      <c r="Q20" s="10">
        <v>140</v>
      </c>
      <c r="R20" s="10">
        <f t="shared" si="3"/>
        <v>35</v>
      </c>
      <c r="S20" s="10" t="s">
        <v>435</v>
      </c>
      <c r="U20" s="10">
        <v>150</v>
      </c>
      <c r="V20" s="10" t="s">
        <v>244</v>
      </c>
      <c r="W20" s="43">
        <f>U20/Q20</f>
        <v>1.0714285714285714</v>
      </c>
      <c r="X20" s="10">
        <v>2</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29</vt:i4>
      </vt:variant>
    </vt:vector>
  </HeadingPairs>
  <TitlesOfParts>
    <vt:vector size="29" baseType="lpstr">
      <vt:lpstr>Description</vt:lpstr>
      <vt:lpstr>Housing types</vt:lpstr>
      <vt:lpstr>Materials</vt:lpstr>
      <vt:lpstr>Region 1</vt:lpstr>
      <vt:lpstr>Region 2</vt:lpstr>
      <vt:lpstr>Region 3</vt:lpstr>
      <vt:lpstr>Region 4</vt:lpstr>
      <vt:lpstr>Region 5</vt:lpstr>
      <vt:lpstr>Region 6</vt:lpstr>
      <vt:lpstr>Region 7</vt:lpstr>
      <vt:lpstr>Region 8</vt:lpstr>
      <vt:lpstr>Region 9</vt:lpstr>
      <vt:lpstr>Region 10</vt:lpstr>
      <vt:lpstr>Region 11</vt:lpstr>
      <vt:lpstr>Region 12</vt:lpstr>
      <vt:lpstr>Region 13</vt:lpstr>
      <vt:lpstr>Region 14</vt:lpstr>
      <vt:lpstr>Region 15</vt:lpstr>
      <vt:lpstr>Region 16</vt:lpstr>
      <vt:lpstr>Region 17</vt:lpstr>
      <vt:lpstr>Region 18</vt:lpstr>
      <vt:lpstr>Region 19</vt:lpstr>
      <vt:lpstr>Region 20</vt:lpstr>
      <vt:lpstr>Region 21</vt:lpstr>
      <vt:lpstr>Region 22</vt:lpstr>
      <vt:lpstr>Region 23</vt:lpstr>
      <vt:lpstr>Region 24</vt:lpstr>
      <vt:lpstr>Region 25</vt:lpstr>
      <vt:lpstr>Region 26</vt:lpstr>
    </vt:vector>
  </TitlesOfParts>
  <Company>Universiteit Leiden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Marinova, S.A.</dc:creator>
  <cp:lastModifiedBy>Kopp, M.E.Z. (Mira)</cp:lastModifiedBy>
  <dcterms:created xsi:type="dcterms:W3CDTF">2018-03-15T10:29:04Z</dcterms:created>
  <dcterms:modified xsi:type="dcterms:W3CDTF">2024-03-18T15:16:54Z</dcterms:modified>
</cp:coreProperties>
</file>