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Lenovo\Desktop\BAV Project\SAMPLE PROJECT\"/>
    </mc:Choice>
  </mc:AlternateContent>
  <xr:revisionPtr revIDLastSave="0" documentId="13_ncr:1_{0936E8C3-BE42-4E4E-A487-D03723610263}" xr6:coauthVersionLast="47" xr6:coauthVersionMax="47" xr10:uidLastSave="{00000000-0000-0000-0000-000000000000}"/>
  <bookViews>
    <workbookView xWindow="-120" yWindow="-120" windowWidth="20730" windowHeight="11040" tabRatio="810" firstSheet="3" activeTab="10" xr2:uid="{00000000-000D-0000-FFFF-FFFF00000000}"/>
  </bookViews>
  <sheets>
    <sheet name="P&amp;L" sheetId="1" r:id="rId1"/>
    <sheet name="BS" sheetId="2" r:id="rId2"/>
    <sheet name="Cash Flow" sheetId="3" r:id="rId3"/>
    <sheet name="Accounting Ratios" sheetId="7" r:id="rId4"/>
    <sheet name="Assumptions" sheetId="10" r:id="rId5"/>
    <sheet name="BETA" sheetId="11" r:id="rId6"/>
    <sheet name="DCF" sheetId="4" r:id="rId7"/>
    <sheet name="Revenue Build Up" sheetId="5" r:id="rId8"/>
    <sheet name="Cost Build Up" sheetId="6" r:id="rId9"/>
    <sheet name="Assets and Lease Liab schedule" sheetId="8" r:id="rId10"/>
    <sheet name="Equity Schedule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5" roundtripDataSignature="AMtx7mg1IbMdf2TEP4XoBHe8I0zDkV3efw=="/>
    </ext>
  </extLst>
</workbook>
</file>

<file path=xl/calcChain.xml><?xml version="1.0" encoding="utf-8"?>
<calcChain xmlns="http://schemas.openxmlformats.org/spreadsheetml/2006/main">
  <c r="G1235" i="11" l="1"/>
  <c r="G1236" i="11"/>
  <c r="G1237" i="11"/>
  <c r="G1238" i="11"/>
  <c r="G1239" i="11"/>
  <c r="G1240" i="11"/>
  <c r="C1241" i="11"/>
  <c r="C1235" i="11"/>
  <c r="C1236" i="11"/>
  <c r="C1237" i="11"/>
  <c r="C1238" i="11"/>
  <c r="C1239" i="11"/>
  <c r="C1240" i="11"/>
  <c r="H7" i="10" l="1"/>
  <c r="G1234" i="11"/>
  <c r="C1234" i="11"/>
  <c r="G1233" i="11"/>
  <c r="C1233" i="11"/>
  <c r="G1232" i="11"/>
  <c r="C1232" i="11"/>
  <c r="G1231" i="11"/>
  <c r="C1231" i="11"/>
  <c r="G1230" i="11"/>
  <c r="C1230" i="11"/>
  <c r="G1229" i="11"/>
  <c r="C1229" i="11"/>
  <c r="G1228" i="11"/>
  <c r="C1228" i="11"/>
  <c r="G1227" i="11"/>
  <c r="C1227" i="11"/>
  <c r="G1226" i="11"/>
  <c r="C1226" i="11"/>
  <c r="G1225" i="11"/>
  <c r="C1225" i="11"/>
  <c r="G1224" i="11"/>
  <c r="C1224" i="11"/>
  <c r="G1223" i="11"/>
  <c r="C1223" i="11"/>
  <c r="G1222" i="11"/>
  <c r="C1222" i="11"/>
  <c r="G1221" i="11"/>
  <c r="C1221" i="11"/>
  <c r="G1220" i="11"/>
  <c r="C1220" i="11"/>
  <c r="G1219" i="11"/>
  <c r="C1219" i="11"/>
  <c r="G1218" i="11"/>
  <c r="C1218" i="11"/>
  <c r="G1217" i="11"/>
  <c r="C1217" i="11"/>
  <c r="G1216" i="11"/>
  <c r="C1216" i="11"/>
  <c r="G1215" i="11"/>
  <c r="C1215" i="11"/>
  <c r="G1214" i="11"/>
  <c r="C1214" i="11"/>
  <c r="G1213" i="11"/>
  <c r="C1213" i="11"/>
  <c r="G1212" i="11"/>
  <c r="C1212" i="11"/>
  <c r="G1211" i="11"/>
  <c r="C1211" i="11"/>
  <c r="G1210" i="11"/>
  <c r="C1210" i="11"/>
  <c r="G1209" i="11"/>
  <c r="C1209" i="11"/>
  <c r="G1208" i="11"/>
  <c r="C1208" i="11"/>
  <c r="G1207" i="11"/>
  <c r="C1207" i="11"/>
  <c r="G1206" i="11"/>
  <c r="C1206" i="11"/>
  <c r="G1205" i="11"/>
  <c r="C1205" i="11"/>
  <c r="G1204" i="11"/>
  <c r="C1204" i="11"/>
  <c r="G1203" i="11"/>
  <c r="C1203" i="11"/>
  <c r="G1202" i="11"/>
  <c r="C1202" i="11"/>
  <c r="G1201" i="11"/>
  <c r="C1201" i="11"/>
  <c r="G1200" i="11"/>
  <c r="C1200" i="11"/>
  <c r="G1199" i="11"/>
  <c r="C1199" i="11"/>
  <c r="G1198" i="11"/>
  <c r="C1198" i="11"/>
  <c r="G1197" i="11"/>
  <c r="C1197" i="11"/>
  <c r="G1196" i="11"/>
  <c r="C1196" i="11"/>
  <c r="G1195" i="11"/>
  <c r="C1195" i="11"/>
  <c r="G1194" i="11"/>
  <c r="C1194" i="11"/>
  <c r="G1193" i="11"/>
  <c r="C1193" i="11"/>
  <c r="G1192" i="11"/>
  <c r="C1192" i="11"/>
  <c r="G1191" i="11"/>
  <c r="C1191" i="11"/>
  <c r="G1190" i="11"/>
  <c r="C1190" i="11"/>
  <c r="G1189" i="11"/>
  <c r="C1189" i="11"/>
  <c r="G1188" i="11"/>
  <c r="C1188" i="11"/>
  <c r="G1187" i="11"/>
  <c r="C1187" i="11"/>
  <c r="G1186" i="11"/>
  <c r="C1186" i="11"/>
  <c r="G1185" i="11"/>
  <c r="C1185" i="11"/>
  <c r="G1184" i="11"/>
  <c r="C1184" i="11"/>
  <c r="G1183" i="11"/>
  <c r="C1183" i="11"/>
  <c r="G1182" i="11"/>
  <c r="C1182" i="11"/>
  <c r="G1181" i="11"/>
  <c r="C1181" i="11"/>
  <c r="G1180" i="11"/>
  <c r="C1180" i="11"/>
  <c r="G1179" i="11"/>
  <c r="C1179" i="11"/>
  <c r="G1178" i="11"/>
  <c r="C1178" i="11"/>
  <c r="G1177" i="11"/>
  <c r="C1177" i="11"/>
  <c r="G1176" i="11"/>
  <c r="C1176" i="11"/>
  <c r="G1175" i="11"/>
  <c r="C1175" i="11"/>
  <c r="G1174" i="11"/>
  <c r="C1174" i="11"/>
  <c r="G1173" i="11"/>
  <c r="C1173" i="11"/>
  <c r="G1172" i="11"/>
  <c r="C1172" i="11"/>
  <c r="G1171" i="11"/>
  <c r="C1171" i="11"/>
  <c r="G1170" i="11"/>
  <c r="C1170" i="11"/>
  <c r="G1169" i="11"/>
  <c r="C1169" i="11"/>
  <c r="G1168" i="11"/>
  <c r="C1168" i="11"/>
  <c r="G1167" i="11"/>
  <c r="C1167" i="11"/>
  <c r="G1166" i="11"/>
  <c r="C1166" i="11"/>
  <c r="G1165" i="11"/>
  <c r="C1165" i="11"/>
  <c r="G1164" i="11"/>
  <c r="C1164" i="11"/>
  <c r="G1163" i="11"/>
  <c r="C1163" i="11"/>
  <c r="G1162" i="11"/>
  <c r="C1162" i="11"/>
  <c r="G1161" i="11"/>
  <c r="C1161" i="11"/>
  <c r="G1160" i="11"/>
  <c r="C1160" i="11"/>
  <c r="G1159" i="11"/>
  <c r="C1159" i="11"/>
  <c r="G1158" i="11"/>
  <c r="C1158" i="11"/>
  <c r="G1157" i="11"/>
  <c r="C1157" i="11"/>
  <c r="G1156" i="11"/>
  <c r="C1156" i="11"/>
  <c r="G1155" i="11"/>
  <c r="C1155" i="11"/>
  <c r="G1154" i="11"/>
  <c r="C1154" i="11"/>
  <c r="G1153" i="11"/>
  <c r="C1153" i="11"/>
  <c r="G1152" i="11"/>
  <c r="C1152" i="11"/>
  <c r="G1151" i="11"/>
  <c r="C1151" i="11"/>
  <c r="G1150" i="11"/>
  <c r="C1150" i="11"/>
  <c r="G1149" i="11"/>
  <c r="C1149" i="11"/>
  <c r="G1148" i="11"/>
  <c r="C1148" i="11"/>
  <c r="G1147" i="11"/>
  <c r="C1147" i="11"/>
  <c r="G1146" i="11"/>
  <c r="C1146" i="11"/>
  <c r="G1145" i="11"/>
  <c r="C1145" i="11"/>
  <c r="G1144" i="11"/>
  <c r="C1144" i="11"/>
  <c r="G1143" i="11"/>
  <c r="C1143" i="11"/>
  <c r="G1142" i="11"/>
  <c r="C1142" i="11"/>
  <c r="G1141" i="11"/>
  <c r="C1141" i="11"/>
  <c r="G1140" i="11"/>
  <c r="C1140" i="11"/>
  <c r="G1139" i="11"/>
  <c r="C1139" i="11"/>
  <c r="G1138" i="11"/>
  <c r="C1138" i="11"/>
  <c r="G1137" i="11"/>
  <c r="C1137" i="11"/>
  <c r="G1136" i="11"/>
  <c r="C1136" i="11"/>
  <c r="G1135" i="11"/>
  <c r="C1135" i="11"/>
  <c r="G1134" i="11"/>
  <c r="C1134" i="11"/>
  <c r="G1133" i="11"/>
  <c r="C1133" i="11"/>
  <c r="G1132" i="11"/>
  <c r="C1132" i="11"/>
  <c r="G1131" i="11"/>
  <c r="C1131" i="11"/>
  <c r="G1130" i="11"/>
  <c r="C1130" i="11"/>
  <c r="G1129" i="11"/>
  <c r="C1129" i="11"/>
  <c r="G1128" i="11"/>
  <c r="C1128" i="11"/>
  <c r="G1127" i="11"/>
  <c r="C1127" i="11"/>
  <c r="G1126" i="11"/>
  <c r="C1126" i="11"/>
  <c r="G1125" i="11"/>
  <c r="C1125" i="11"/>
  <c r="G1124" i="11"/>
  <c r="C1124" i="11"/>
  <c r="G1123" i="11"/>
  <c r="C1123" i="11"/>
  <c r="G1122" i="11"/>
  <c r="C1122" i="11"/>
  <c r="G1121" i="11"/>
  <c r="C1121" i="11"/>
  <c r="G1120" i="11"/>
  <c r="C1120" i="11"/>
  <c r="G1119" i="11"/>
  <c r="C1119" i="11"/>
  <c r="G1118" i="11"/>
  <c r="C1118" i="11"/>
  <c r="G1117" i="11"/>
  <c r="C1117" i="11"/>
  <c r="G1116" i="11"/>
  <c r="C1116" i="11"/>
  <c r="G1115" i="11"/>
  <c r="C1115" i="11"/>
  <c r="G1114" i="11"/>
  <c r="C1114" i="11"/>
  <c r="G1113" i="11"/>
  <c r="C1113" i="11"/>
  <c r="G1112" i="11"/>
  <c r="C1112" i="11"/>
  <c r="G1111" i="11"/>
  <c r="C1111" i="11"/>
  <c r="G1110" i="11"/>
  <c r="C1110" i="11"/>
  <c r="G1109" i="11"/>
  <c r="C1109" i="11"/>
  <c r="G1108" i="11"/>
  <c r="C1108" i="11"/>
  <c r="G1107" i="11"/>
  <c r="C1107" i="11"/>
  <c r="G1106" i="11"/>
  <c r="C1106" i="11"/>
  <c r="G1105" i="11"/>
  <c r="C1105" i="11"/>
  <c r="G1104" i="11"/>
  <c r="C1104" i="11"/>
  <c r="G1103" i="11"/>
  <c r="C1103" i="11"/>
  <c r="G1102" i="11"/>
  <c r="C1102" i="11"/>
  <c r="G1101" i="11"/>
  <c r="C1101" i="11"/>
  <c r="G1100" i="11"/>
  <c r="C1100" i="11"/>
  <c r="G1099" i="11"/>
  <c r="C1099" i="11"/>
  <c r="G1098" i="11"/>
  <c r="C1098" i="11"/>
  <c r="G1097" i="11"/>
  <c r="C1097" i="11"/>
  <c r="G1096" i="11"/>
  <c r="C1096" i="11"/>
  <c r="G1095" i="11"/>
  <c r="C1095" i="11"/>
  <c r="G1094" i="11"/>
  <c r="C1094" i="11"/>
  <c r="G1093" i="11"/>
  <c r="C1093" i="11"/>
  <c r="G1092" i="11"/>
  <c r="C1092" i="11"/>
  <c r="G1091" i="11"/>
  <c r="C1091" i="11"/>
  <c r="G1090" i="11"/>
  <c r="C1090" i="11"/>
  <c r="G1089" i="11"/>
  <c r="C1089" i="11"/>
  <c r="G1088" i="11"/>
  <c r="C1088" i="11"/>
  <c r="G1087" i="11"/>
  <c r="C1087" i="11"/>
  <c r="G1086" i="11"/>
  <c r="C1086" i="11"/>
  <c r="G1085" i="11"/>
  <c r="C1085" i="11"/>
  <c r="G1084" i="11"/>
  <c r="C1084" i="11"/>
  <c r="G1083" i="11"/>
  <c r="C1083" i="11"/>
  <c r="G1082" i="11"/>
  <c r="C1082" i="11"/>
  <c r="G1081" i="11"/>
  <c r="C1081" i="11"/>
  <c r="G1080" i="11"/>
  <c r="C1080" i="11"/>
  <c r="G1079" i="11"/>
  <c r="C1079" i="11"/>
  <c r="G1078" i="11"/>
  <c r="C1078" i="11"/>
  <c r="G1077" i="11"/>
  <c r="C1077" i="11"/>
  <c r="G1076" i="11"/>
  <c r="C1076" i="11"/>
  <c r="G1075" i="11"/>
  <c r="C1075" i="11"/>
  <c r="G1074" i="11"/>
  <c r="C1074" i="11"/>
  <c r="G1073" i="11"/>
  <c r="C1073" i="11"/>
  <c r="G1072" i="11"/>
  <c r="C1072" i="11"/>
  <c r="G1071" i="11"/>
  <c r="C1071" i="11"/>
  <c r="G1070" i="11"/>
  <c r="C1070" i="11"/>
  <c r="G1069" i="11"/>
  <c r="C1069" i="11"/>
  <c r="G1068" i="11"/>
  <c r="C1068" i="11"/>
  <c r="G1067" i="11"/>
  <c r="C1067" i="11"/>
  <c r="G1066" i="11"/>
  <c r="C1066" i="11"/>
  <c r="G1065" i="11"/>
  <c r="C1065" i="11"/>
  <c r="G1064" i="11"/>
  <c r="C1064" i="11"/>
  <c r="G1063" i="11"/>
  <c r="C1063" i="11"/>
  <c r="G1062" i="11"/>
  <c r="C1062" i="11"/>
  <c r="G1061" i="11"/>
  <c r="C1061" i="11"/>
  <c r="G1060" i="11"/>
  <c r="C1060" i="11"/>
  <c r="G1059" i="11"/>
  <c r="C1059" i="11"/>
  <c r="G1058" i="11"/>
  <c r="C1058" i="11"/>
  <c r="G1057" i="11"/>
  <c r="C1057" i="11"/>
  <c r="G1056" i="11"/>
  <c r="C1056" i="11"/>
  <c r="G1055" i="11"/>
  <c r="C1055" i="11"/>
  <c r="G1054" i="11"/>
  <c r="C1054" i="11"/>
  <c r="G1053" i="11"/>
  <c r="C1053" i="11"/>
  <c r="G1052" i="11"/>
  <c r="C1052" i="11"/>
  <c r="G1051" i="11"/>
  <c r="C1051" i="11"/>
  <c r="G1050" i="11"/>
  <c r="C1050" i="11"/>
  <c r="G1049" i="11"/>
  <c r="C1049" i="11"/>
  <c r="G1048" i="11"/>
  <c r="C1048" i="11"/>
  <c r="G1047" i="11"/>
  <c r="C1047" i="11"/>
  <c r="G1046" i="11"/>
  <c r="C1046" i="11"/>
  <c r="G1045" i="11"/>
  <c r="C1045" i="11"/>
  <c r="G1044" i="11"/>
  <c r="C1044" i="11"/>
  <c r="G1043" i="11"/>
  <c r="C1043" i="11"/>
  <c r="G1042" i="11"/>
  <c r="C1042" i="11"/>
  <c r="G1041" i="11"/>
  <c r="C1041" i="11"/>
  <c r="G1040" i="11"/>
  <c r="C1040" i="11"/>
  <c r="G1039" i="11"/>
  <c r="C1039" i="11"/>
  <c r="G1038" i="11"/>
  <c r="C1038" i="11"/>
  <c r="G1037" i="11"/>
  <c r="C1037" i="11"/>
  <c r="G1036" i="11"/>
  <c r="C1036" i="11"/>
  <c r="G1035" i="11"/>
  <c r="C1035" i="11"/>
  <c r="G1034" i="11"/>
  <c r="C1034" i="11"/>
  <c r="G1033" i="11"/>
  <c r="C1033" i="11"/>
  <c r="G1032" i="11"/>
  <c r="C1032" i="11"/>
  <c r="G1031" i="11"/>
  <c r="C1031" i="11"/>
  <c r="G1030" i="11"/>
  <c r="C1030" i="11"/>
  <c r="G1029" i="11"/>
  <c r="C1029" i="11"/>
  <c r="G1028" i="11"/>
  <c r="C1028" i="11"/>
  <c r="G1027" i="11"/>
  <c r="C1027" i="11"/>
  <c r="G1026" i="11"/>
  <c r="C1026" i="11"/>
  <c r="G1025" i="11"/>
  <c r="C1025" i="11"/>
  <c r="G1024" i="11"/>
  <c r="C1024" i="11"/>
  <c r="G1023" i="11"/>
  <c r="C1023" i="11"/>
  <c r="G1022" i="11"/>
  <c r="C1022" i="11"/>
  <c r="G1021" i="11"/>
  <c r="C1021" i="11"/>
  <c r="G1020" i="11"/>
  <c r="C1020" i="11"/>
  <c r="G1019" i="11"/>
  <c r="C1019" i="11"/>
  <c r="G1018" i="11"/>
  <c r="C1018" i="11"/>
  <c r="G1017" i="11"/>
  <c r="C1017" i="11"/>
  <c r="G1016" i="11"/>
  <c r="C1016" i="11"/>
  <c r="G1015" i="11"/>
  <c r="C1015" i="11"/>
  <c r="G1014" i="11"/>
  <c r="C1014" i="11"/>
  <c r="G1013" i="11"/>
  <c r="C1013" i="11"/>
  <c r="G1012" i="11"/>
  <c r="C1012" i="11"/>
  <c r="G1011" i="11"/>
  <c r="C1011" i="11"/>
  <c r="G1010" i="11"/>
  <c r="C1010" i="11"/>
  <c r="G1009" i="11"/>
  <c r="C1009" i="11"/>
  <c r="G1008" i="11"/>
  <c r="C1008" i="11"/>
  <c r="G1007" i="11"/>
  <c r="C1007" i="11"/>
  <c r="G1006" i="11"/>
  <c r="C1006" i="11"/>
  <c r="G1005" i="11"/>
  <c r="C1005" i="11"/>
  <c r="G1004" i="11"/>
  <c r="C1004" i="11"/>
  <c r="G1003" i="11"/>
  <c r="C1003" i="11"/>
  <c r="G1002" i="11"/>
  <c r="C1002" i="11"/>
  <c r="G1001" i="11"/>
  <c r="C1001" i="11"/>
  <c r="G1000" i="11"/>
  <c r="C1000" i="11"/>
  <c r="G999" i="11"/>
  <c r="C999" i="11"/>
  <c r="G998" i="11"/>
  <c r="C998" i="11"/>
  <c r="G997" i="11"/>
  <c r="C997" i="11"/>
  <c r="G996" i="11"/>
  <c r="C996" i="11"/>
  <c r="G995" i="11"/>
  <c r="C995" i="11"/>
  <c r="G994" i="11"/>
  <c r="C994" i="11"/>
  <c r="G993" i="11"/>
  <c r="C993" i="11"/>
  <c r="G992" i="11"/>
  <c r="C992" i="11"/>
  <c r="G991" i="11"/>
  <c r="C991" i="11"/>
  <c r="G990" i="11"/>
  <c r="C990" i="11"/>
  <c r="G989" i="11"/>
  <c r="C989" i="11"/>
  <c r="G988" i="11"/>
  <c r="C988" i="11"/>
  <c r="G987" i="11"/>
  <c r="C987" i="11"/>
  <c r="G986" i="11"/>
  <c r="C986" i="11"/>
  <c r="G985" i="11"/>
  <c r="C985" i="11"/>
  <c r="G984" i="11"/>
  <c r="C984" i="11"/>
  <c r="G983" i="11"/>
  <c r="C983" i="11"/>
  <c r="G982" i="11"/>
  <c r="C982" i="11"/>
  <c r="G981" i="11"/>
  <c r="C981" i="11"/>
  <c r="G980" i="11"/>
  <c r="C980" i="11"/>
  <c r="G979" i="11"/>
  <c r="C979" i="11"/>
  <c r="G978" i="11"/>
  <c r="C978" i="11"/>
  <c r="G977" i="11"/>
  <c r="C977" i="11"/>
  <c r="G976" i="11"/>
  <c r="C976" i="11"/>
  <c r="G975" i="11"/>
  <c r="C975" i="11"/>
  <c r="G974" i="11"/>
  <c r="C974" i="11"/>
  <c r="G973" i="11"/>
  <c r="C973" i="11"/>
  <c r="G972" i="11"/>
  <c r="C972" i="11"/>
  <c r="G971" i="11"/>
  <c r="C971" i="11"/>
  <c r="G970" i="11"/>
  <c r="C970" i="11"/>
  <c r="G969" i="11"/>
  <c r="C969" i="11"/>
  <c r="G968" i="11"/>
  <c r="C968" i="11"/>
  <c r="G967" i="11"/>
  <c r="C967" i="11"/>
  <c r="G966" i="11"/>
  <c r="C966" i="11"/>
  <c r="G965" i="11"/>
  <c r="C965" i="11"/>
  <c r="G964" i="11"/>
  <c r="C964" i="11"/>
  <c r="G963" i="11"/>
  <c r="C963" i="11"/>
  <c r="G962" i="11"/>
  <c r="C962" i="11"/>
  <c r="G961" i="11"/>
  <c r="C961" i="11"/>
  <c r="G960" i="11"/>
  <c r="C960" i="11"/>
  <c r="G959" i="11"/>
  <c r="C959" i="11"/>
  <c r="G958" i="11"/>
  <c r="C958" i="11"/>
  <c r="G957" i="11"/>
  <c r="C957" i="11"/>
  <c r="G956" i="11"/>
  <c r="C956" i="11"/>
  <c r="G955" i="11"/>
  <c r="C955" i="11"/>
  <c r="G954" i="11"/>
  <c r="C954" i="11"/>
  <c r="G953" i="11"/>
  <c r="C953" i="11"/>
  <c r="G952" i="11"/>
  <c r="C952" i="11"/>
  <c r="G951" i="11"/>
  <c r="C951" i="11"/>
  <c r="G950" i="11"/>
  <c r="C950" i="11"/>
  <c r="G949" i="11"/>
  <c r="C949" i="11"/>
  <c r="G948" i="11"/>
  <c r="C948" i="11"/>
  <c r="G947" i="11"/>
  <c r="C947" i="11"/>
  <c r="G946" i="11"/>
  <c r="C946" i="11"/>
  <c r="G945" i="11"/>
  <c r="C945" i="11"/>
  <c r="G944" i="11"/>
  <c r="C944" i="11"/>
  <c r="G943" i="11"/>
  <c r="C943" i="11"/>
  <c r="G942" i="11"/>
  <c r="C942" i="11"/>
  <c r="G941" i="11"/>
  <c r="C941" i="11"/>
  <c r="G940" i="11"/>
  <c r="C940" i="11"/>
  <c r="G939" i="11"/>
  <c r="C939" i="11"/>
  <c r="G938" i="11"/>
  <c r="C938" i="11"/>
  <c r="G937" i="11"/>
  <c r="C937" i="11"/>
  <c r="G936" i="11"/>
  <c r="C936" i="11"/>
  <c r="G935" i="11"/>
  <c r="C935" i="11"/>
  <c r="G934" i="11"/>
  <c r="C934" i="11"/>
  <c r="G933" i="11"/>
  <c r="C933" i="11"/>
  <c r="G932" i="11"/>
  <c r="C932" i="11"/>
  <c r="G931" i="11"/>
  <c r="C931" i="11"/>
  <c r="G930" i="11"/>
  <c r="C930" i="11"/>
  <c r="G929" i="11"/>
  <c r="C929" i="11"/>
  <c r="G928" i="11"/>
  <c r="C928" i="11"/>
  <c r="G927" i="11"/>
  <c r="C927" i="11"/>
  <c r="G926" i="11"/>
  <c r="C926" i="11"/>
  <c r="G925" i="11"/>
  <c r="C925" i="11"/>
  <c r="G924" i="11"/>
  <c r="C924" i="11"/>
  <c r="G923" i="11"/>
  <c r="C923" i="11"/>
  <c r="G922" i="11"/>
  <c r="C922" i="11"/>
  <c r="G921" i="11"/>
  <c r="C921" i="11"/>
  <c r="G920" i="11"/>
  <c r="C920" i="11"/>
  <c r="G919" i="11"/>
  <c r="C919" i="11"/>
  <c r="G918" i="11"/>
  <c r="C918" i="11"/>
  <c r="G917" i="11"/>
  <c r="C917" i="11"/>
  <c r="G916" i="11"/>
  <c r="C916" i="11"/>
  <c r="G915" i="11"/>
  <c r="C915" i="11"/>
  <c r="G914" i="11"/>
  <c r="C914" i="11"/>
  <c r="G913" i="11"/>
  <c r="C913" i="11"/>
  <c r="G912" i="11"/>
  <c r="C912" i="11"/>
  <c r="G911" i="11"/>
  <c r="C911" i="11"/>
  <c r="G910" i="11"/>
  <c r="C910" i="11"/>
  <c r="G909" i="11"/>
  <c r="C909" i="11"/>
  <c r="G908" i="11"/>
  <c r="C908" i="11"/>
  <c r="G907" i="11"/>
  <c r="C907" i="11"/>
  <c r="G906" i="11"/>
  <c r="C906" i="11"/>
  <c r="G905" i="11"/>
  <c r="C905" i="11"/>
  <c r="G904" i="11"/>
  <c r="C904" i="11"/>
  <c r="G903" i="11"/>
  <c r="C903" i="11"/>
  <c r="G902" i="11"/>
  <c r="C902" i="11"/>
  <c r="G901" i="11"/>
  <c r="C901" i="11"/>
  <c r="G900" i="11"/>
  <c r="C900" i="11"/>
  <c r="G899" i="11"/>
  <c r="C899" i="11"/>
  <c r="G898" i="11"/>
  <c r="C898" i="11"/>
  <c r="G897" i="11"/>
  <c r="C897" i="11"/>
  <c r="G896" i="11"/>
  <c r="C896" i="11"/>
  <c r="G895" i="11"/>
  <c r="C895" i="11"/>
  <c r="G894" i="11"/>
  <c r="C894" i="11"/>
  <c r="G893" i="11"/>
  <c r="C893" i="11"/>
  <c r="G892" i="11"/>
  <c r="C892" i="11"/>
  <c r="G891" i="11"/>
  <c r="C891" i="11"/>
  <c r="G890" i="11"/>
  <c r="C890" i="11"/>
  <c r="G889" i="11"/>
  <c r="C889" i="11"/>
  <c r="G888" i="11"/>
  <c r="C888" i="11"/>
  <c r="G887" i="11"/>
  <c r="C887" i="11"/>
  <c r="G886" i="11"/>
  <c r="C886" i="11"/>
  <c r="G885" i="11"/>
  <c r="C885" i="11"/>
  <c r="G884" i="11"/>
  <c r="C884" i="11"/>
  <c r="G883" i="11"/>
  <c r="C883" i="11"/>
  <c r="G882" i="11"/>
  <c r="C882" i="11"/>
  <c r="G881" i="11"/>
  <c r="C881" i="11"/>
  <c r="G880" i="11"/>
  <c r="C880" i="11"/>
  <c r="G879" i="11"/>
  <c r="C879" i="11"/>
  <c r="G878" i="11"/>
  <c r="C878" i="11"/>
  <c r="G877" i="11"/>
  <c r="C877" i="11"/>
  <c r="G876" i="11"/>
  <c r="C876" i="11"/>
  <c r="G875" i="11"/>
  <c r="C875" i="11"/>
  <c r="G874" i="11"/>
  <c r="C874" i="11"/>
  <c r="G873" i="11"/>
  <c r="C873" i="11"/>
  <c r="G872" i="11"/>
  <c r="C872" i="11"/>
  <c r="G871" i="11"/>
  <c r="C871" i="11"/>
  <c r="G870" i="11"/>
  <c r="C870" i="11"/>
  <c r="G869" i="11"/>
  <c r="C869" i="11"/>
  <c r="G868" i="11"/>
  <c r="C868" i="11"/>
  <c r="G867" i="11"/>
  <c r="C867" i="11"/>
  <c r="G866" i="11"/>
  <c r="C866" i="11"/>
  <c r="G865" i="11"/>
  <c r="C865" i="11"/>
  <c r="G864" i="11"/>
  <c r="C864" i="11"/>
  <c r="G863" i="11"/>
  <c r="C863" i="11"/>
  <c r="G862" i="11"/>
  <c r="C862" i="11"/>
  <c r="G861" i="11"/>
  <c r="C861" i="11"/>
  <c r="G860" i="11"/>
  <c r="C860" i="11"/>
  <c r="G859" i="11"/>
  <c r="C859" i="11"/>
  <c r="G858" i="11"/>
  <c r="C858" i="11"/>
  <c r="G857" i="11"/>
  <c r="C857" i="11"/>
  <c r="G856" i="11"/>
  <c r="C856" i="11"/>
  <c r="G855" i="11"/>
  <c r="C855" i="11"/>
  <c r="G854" i="11"/>
  <c r="C854" i="11"/>
  <c r="G853" i="11"/>
  <c r="C853" i="11"/>
  <c r="G852" i="11"/>
  <c r="C852" i="11"/>
  <c r="G851" i="11"/>
  <c r="C851" i="11"/>
  <c r="G850" i="11"/>
  <c r="C850" i="11"/>
  <c r="G849" i="11"/>
  <c r="C849" i="11"/>
  <c r="G848" i="11"/>
  <c r="C848" i="11"/>
  <c r="G847" i="11"/>
  <c r="C847" i="11"/>
  <c r="G846" i="11"/>
  <c r="C846" i="11"/>
  <c r="G845" i="11"/>
  <c r="C845" i="11"/>
  <c r="G844" i="11"/>
  <c r="C844" i="11"/>
  <c r="G843" i="11"/>
  <c r="C843" i="11"/>
  <c r="G842" i="11"/>
  <c r="C842" i="11"/>
  <c r="G841" i="11"/>
  <c r="C841" i="11"/>
  <c r="G840" i="11"/>
  <c r="C840" i="11"/>
  <c r="G839" i="11"/>
  <c r="C839" i="11"/>
  <c r="G838" i="11"/>
  <c r="C838" i="11"/>
  <c r="G837" i="11"/>
  <c r="C837" i="11"/>
  <c r="G836" i="11"/>
  <c r="C836" i="11"/>
  <c r="G835" i="11"/>
  <c r="C835" i="11"/>
  <c r="G834" i="11"/>
  <c r="C834" i="11"/>
  <c r="G833" i="11"/>
  <c r="C833" i="11"/>
  <c r="G832" i="11"/>
  <c r="C832" i="11"/>
  <c r="G831" i="11"/>
  <c r="C831" i="11"/>
  <c r="G830" i="11"/>
  <c r="C830" i="11"/>
  <c r="G829" i="11"/>
  <c r="C829" i="11"/>
  <c r="G828" i="11"/>
  <c r="C828" i="11"/>
  <c r="G827" i="11"/>
  <c r="C827" i="11"/>
  <c r="G826" i="11"/>
  <c r="C826" i="11"/>
  <c r="G825" i="11"/>
  <c r="C825" i="11"/>
  <c r="G824" i="11"/>
  <c r="C824" i="11"/>
  <c r="G823" i="11"/>
  <c r="C823" i="11"/>
  <c r="G822" i="11"/>
  <c r="C822" i="11"/>
  <c r="G821" i="11"/>
  <c r="C821" i="11"/>
  <c r="G820" i="11"/>
  <c r="C820" i="11"/>
  <c r="G819" i="11"/>
  <c r="C819" i="11"/>
  <c r="G818" i="11"/>
  <c r="C818" i="11"/>
  <c r="G817" i="11"/>
  <c r="C817" i="11"/>
  <c r="G816" i="11"/>
  <c r="C816" i="11"/>
  <c r="G815" i="11"/>
  <c r="C815" i="11"/>
  <c r="G814" i="11"/>
  <c r="C814" i="11"/>
  <c r="G813" i="11"/>
  <c r="C813" i="11"/>
  <c r="G812" i="11"/>
  <c r="C812" i="11"/>
  <c r="G811" i="11"/>
  <c r="C811" i="11"/>
  <c r="G810" i="11"/>
  <c r="C810" i="11"/>
  <c r="G809" i="11"/>
  <c r="C809" i="11"/>
  <c r="G808" i="11"/>
  <c r="C808" i="11"/>
  <c r="G807" i="11"/>
  <c r="C807" i="11"/>
  <c r="G806" i="11"/>
  <c r="C806" i="11"/>
  <c r="G805" i="11"/>
  <c r="C805" i="11"/>
  <c r="G804" i="11"/>
  <c r="C804" i="11"/>
  <c r="G803" i="11"/>
  <c r="C803" i="11"/>
  <c r="G802" i="11"/>
  <c r="C802" i="11"/>
  <c r="G801" i="11"/>
  <c r="C801" i="11"/>
  <c r="G800" i="11"/>
  <c r="C800" i="11"/>
  <c r="G799" i="11"/>
  <c r="C799" i="11"/>
  <c r="G798" i="11"/>
  <c r="C798" i="11"/>
  <c r="G797" i="11"/>
  <c r="C797" i="11"/>
  <c r="G796" i="11"/>
  <c r="C796" i="11"/>
  <c r="G795" i="11"/>
  <c r="C795" i="11"/>
  <c r="G794" i="11"/>
  <c r="C794" i="11"/>
  <c r="G793" i="11"/>
  <c r="C793" i="11"/>
  <c r="G792" i="11"/>
  <c r="C792" i="11"/>
  <c r="G791" i="11"/>
  <c r="C791" i="11"/>
  <c r="G790" i="11"/>
  <c r="C790" i="11"/>
  <c r="G789" i="11"/>
  <c r="C789" i="11"/>
  <c r="G788" i="11"/>
  <c r="C788" i="11"/>
  <c r="G787" i="11"/>
  <c r="C787" i="11"/>
  <c r="G786" i="11"/>
  <c r="C786" i="11"/>
  <c r="G785" i="11"/>
  <c r="C785" i="11"/>
  <c r="G784" i="11"/>
  <c r="C784" i="11"/>
  <c r="G783" i="11"/>
  <c r="C783" i="11"/>
  <c r="G782" i="11"/>
  <c r="C782" i="11"/>
  <c r="G781" i="11"/>
  <c r="C781" i="11"/>
  <c r="G780" i="11"/>
  <c r="C780" i="11"/>
  <c r="G779" i="11"/>
  <c r="C779" i="11"/>
  <c r="G778" i="11"/>
  <c r="C778" i="11"/>
  <c r="G777" i="11"/>
  <c r="C777" i="11"/>
  <c r="G776" i="11"/>
  <c r="C776" i="11"/>
  <c r="G775" i="11"/>
  <c r="C775" i="11"/>
  <c r="G774" i="11"/>
  <c r="C774" i="11"/>
  <c r="G773" i="11"/>
  <c r="C773" i="11"/>
  <c r="G772" i="11"/>
  <c r="C772" i="11"/>
  <c r="G771" i="11"/>
  <c r="C771" i="11"/>
  <c r="G770" i="11"/>
  <c r="C770" i="11"/>
  <c r="G769" i="11"/>
  <c r="C769" i="11"/>
  <c r="G768" i="11"/>
  <c r="C768" i="11"/>
  <c r="G767" i="11"/>
  <c r="C767" i="11"/>
  <c r="G766" i="11"/>
  <c r="C766" i="11"/>
  <c r="G765" i="11"/>
  <c r="C765" i="11"/>
  <c r="G764" i="11"/>
  <c r="C764" i="11"/>
  <c r="G763" i="11"/>
  <c r="C763" i="11"/>
  <c r="G762" i="11"/>
  <c r="C762" i="11"/>
  <c r="G761" i="11"/>
  <c r="C761" i="11"/>
  <c r="G760" i="11"/>
  <c r="C760" i="11"/>
  <c r="G759" i="11"/>
  <c r="C759" i="11"/>
  <c r="G758" i="11"/>
  <c r="C758" i="11"/>
  <c r="G757" i="11"/>
  <c r="C757" i="11"/>
  <c r="G756" i="11"/>
  <c r="C756" i="11"/>
  <c r="G755" i="11"/>
  <c r="C755" i="11"/>
  <c r="G754" i="11"/>
  <c r="C754" i="11"/>
  <c r="G753" i="11"/>
  <c r="C753" i="11"/>
  <c r="G752" i="11"/>
  <c r="C752" i="11"/>
  <c r="G751" i="11"/>
  <c r="C751" i="11"/>
  <c r="G750" i="11"/>
  <c r="C750" i="11"/>
  <c r="G749" i="11"/>
  <c r="C749" i="11"/>
  <c r="G748" i="11"/>
  <c r="C748" i="11"/>
  <c r="G747" i="11"/>
  <c r="C747" i="11"/>
  <c r="G746" i="11"/>
  <c r="C746" i="11"/>
  <c r="G745" i="11"/>
  <c r="C745" i="11"/>
  <c r="G744" i="11"/>
  <c r="C744" i="11"/>
  <c r="G743" i="11"/>
  <c r="C743" i="11"/>
  <c r="G742" i="11"/>
  <c r="C742" i="11"/>
  <c r="G741" i="11"/>
  <c r="C741" i="11"/>
  <c r="G740" i="11"/>
  <c r="C740" i="11"/>
  <c r="G739" i="11"/>
  <c r="C739" i="11"/>
  <c r="G738" i="11"/>
  <c r="C738" i="11"/>
  <c r="G737" i="11"/>
  <c r="C737" i="11"/>
  <c r="G736" i="11"/>
  <c r="C736" i="11"/>
  <c r="G735" i="11"/>
  <c r="C735" i="11"/>
  <c r="G734" i="11"/>
  <c r="C734" i="11"/>
  <c r="G733" i="11"/>
  <c r="C733" i="11"/>
  <c r="G732" i="11"/>
  <c r="C732" i="11"/>
  <c r="G731" i="11"/>
  <c r="C731" i="11"/>
  <c r="G730" i="11"/>
  <c r="C730" i="11"/>
  <c r="G729" i="11"/>
  <c r="C729" i="11"/>
  <c r="G728" i="11"/>
  <c r="C728" i="11"/>
  <c r="G727" i="11"/>
  <c r="C727" i="11"/>
  <c r="G726" i="11"/>
  <c r="C726" i="11"/>
  <c r="G725" i="11"/>
  <c r="C725" i="11"/>
  <c r="G724" i="11"/>
  <c r="C724" i="11"/>
  <c r="G723" i="11"/>
  <c r="C723" i="11"/>
  <c r="G722" i="11"/>
  <c r="C722" i="11"/>
  <c r="G721" i="11"/>
  <c r="C721" i="11"/>
  <c r="G720" i="11"/>
  <c r="C720" i="11"/>
  <c r="G719" i="11"/>
  <c r="C719" i="11"/>
  <c r="G718" i="11"/>
  <c r="C718" i="11"/>
  <c r="G717" i="11"/>
  <c r="C717" i="11"/>
  <c r="G716" i="11"/>
  <c r="C716" i="11"/>
  <c r="G715" i="11"/>
  <c r="C715" i="11"/>
  <c r="G714" i="11"/>
  <c r="C714" i="11"/>
  <c r="G713" i="11"/>
  <c r="C713" i="11"/>
  <c r="G712" i="11"/>
  <c r="C712" i="11"/>
  <c r="G711" i="11"/>
  <c r="C711" i="11"/>
  <c r="G710" i="11"/>
  <c r="C710" i="11"/>
  <c r="G709" i="11"/>
  <c r="C709" i="11"/>
  <c r="G708" i="11"/>
  <c r="C708" i="11"/>
  <c r="G707" i="11"/>
  <c r="C707" i="11"/>
  <c r="G706" i="11"/>
  <c r="C706" i="11"/>
  <c r="G705" i="11"/>
  <c r="C705" i="11"/>
  <c r="G704" i="11"/>
  <c r="C704" i="11"/>
  <c r="G703" i="11"/>
  <c r="C703" i="11"/>
  <c r="G702" i="11"/>
  <c r="C702" i="11"/>
  <c r="G701" i="11"/>
  <c r="C701" i="11"/>
  <c r="G700" i="11"/>
  <c r="C700" i="11"/>
  <c r="G699" i="11"/>
  <c r="C699" i="11"/>
  <c r="G698" i="11"/>
  <c r="C698" i="11"/>
  <c r="G697" i="11"/>
  <c r="C697" i="11"/>
  <c r="G696" i="11"/>
  <c r="C696" i="11"/>
  <c r="G695" i="11"/>
  <c r="C695" i="11"/>
  <c r="G694" i="11"/>
  <c r="C694" i="11"/>
  <c r="G693" i="11"/>
  <c r="C693" i="11"/>
  <c r="G692" i="11"/>
  <c r="C692" i="11"/>
  <c r="G691" i="11"/>
  <c r="C691" i="11"/>
  <c r="G690" i="11"/>
  <c r="C690" i="11"/>
  <c r="G689" i="11"/>
  <c r="C689" i="11"/>
  <c r="G688" i="11"/>
  <c r="C688" i="11"/>
  <c r="G687" i="11"/>
  <c r="C687" i="11"/>
  <c r="G686" i="11"/>
  <c r="C686" i="11"/>
  <c r="G685" i="11"/>
  <c r="C685" i="11"/>
  <c r="G684" i="11"/>
  <c r="C684" i="11"/>
  <c r="G683" i="11"/>
  <c r="C683" i="11"/>
  <c r="G682" i="11"/>
  <c r="C682" i="11"/>
  <c r="G681" i="11"/>
  <c r="C681" i="11"/>
  <c r="G680" i="11"/>
  <c r="C680" i="11"/>
  <c r="G679" i="11"/>
  <c r="C679" i="11"/>
  <c r="G678" i="11"/>
  <c r="C678" i="11"/>
  <c r="G677" i="11"/>
  <c r="C677" i="11"/>
  <c r="G676" i="11"/>
  <c r="C676" i="11"/>
  <c r="G675" i="11"/>
  <c r="C675" i="11"/>
  <c r="G674" i="11"/>
  <c r="C674" i="11"/>
  <c r="G673" i="11"/>
  <c r="C673" i="11"/>
  <c r="G672" i="11"/>
  <c r="C672" i="11"/>
  <c r="G671" i="11"/>
  <c r="C671" i="11"/>
  <c r="G670" i="11"/>
  <c r="C670" i="11"/>
  <c r="G669" i="11"/>
  <c r="C669" i="11"/>
  <c r="G668" i="11"/>
  <c r="C668" i="11"/>
  <c r="G667" i="11"/>
  <c r="C667" i="11"/>
  <c r="G666" i="11"/>
  <c r="C666" i="11"/>
  <c r="G665" i="11"/>
  <c r="C665" i="11"/>
  <c r="G664" i="11"/>
  <c r="C664" i="11"/>
  <c r="G663" i="11"/>
  <c r="C663" i="11"/>
  <c r="G662" i="11"/>
  <c r="C662" i="11"/>
  <c r="G661" i="11"/>
  <c r="C661" i="11"/>
  <c r="G660" i="11"/>
  <c r="C660" i="11"/>
  <c r="G659" i="11"/>
  <c r="C659" i="11"/>
  <c r="G658" i="11"/>
  <c r="G657" i="11"/>
  <c r="C657" i="11"/>
  <c r="G656" i="11"/>
  <c r="C656" i="11"/>
  <c r="G655" i="11"/>
  <c r="C655" i="11"/>
  <c r="G654" i="11"/>
  <c r="C654" i="11"/>
  <c r="G653" i="11"/>
  <c r="C653" i="11"/>
  <c r="G652" i="11"/>
  <c r="C652" i="11"/>
  <c r="G651" i="11"/>
  <c r="C651" i="11"/>
  <c r="G650" i="11"/>
  <c r="C650" i="11"/>
  <c r="G649" i="11"/>
  <c r="C649" i="11"/>
  <c r="G648" i="11"/>
  <c r="C648" i="11"/>
  <c r="G647" i="11"/>
  <c r="C647" i="11"/>
  <c r="G646" i="11"/>
  <c r="C646" i="11"/>
  <c r="G645" i="11"/>
  <c r="C645" i="11"/>
  <c r="G644" i="11"/>
  <c r="C644" i="11"/>
  <c r="G643" i="11"/>
  <c r="C643" i="11"/>
  <c r="G642" i="11"/>
  <c r="C642" i="11"/>
  <c r="G641" i="11"/>
  <c r="C641" i="11"/>
  <c r="G640" i="11"/>
  <c r="C640" i="11"/>
  <c r="G639" i="11"/>
  <c r="C639" i="11"/>
  <c r="G638" i="11"/>
  <c r="C638" i="11"/>
  <c r="G637" i="11"/>
  <c r="C637" i="11"/>
  <c r="G636" i="11"/>
  <c r="C636" i="11"/>
  <c r="G635" i="11"/>
  <c r="C635" i="11"/>
  <c r="G634" i="11"/>
  <c r="C634" i="11"/>
  <c r="G633" i="11"/>
  <c r="C633" i="11"/>
  <c r="G632" i="11"/>
  <c r="C632" i="11"/>
  <c r="G631" i="11"/>
  <c r="C631" i="11"/>
  <c r="G630" i="11"/>
  <c r="C630" i="11"/>
  <c r="G629" i="11"/>
  <c r="C629" i="11"/>
  <c r="G628" i="11"/>
  <c r="C628" i="11"/>
  <c r="G627" i="11"/>
  <c r="C627" i="11"/>
  <c r="G626" i="11"/>
  <c r="C626" i="11"/>
  <c r="G625" i="11"/>
  <c r="C625" i="11"/>
  <c r="G624" i="11"/>
  <c r="C624" i="11"/>
  <c r="G623" i="11"/>
  <c r="C623" i="11"/>
  <c r="G622" i="11"/>
  <c r="C622" i="11"/>
  <c r="G621" i="11"/>
  <c r="C621" i="11"/>
  <c r="G620" i="11"/>
  <c r="C620" i="11"/>
  <c r="G619" i="11"/>
  <c r="C619" i="11"/>
  <c r="G618" i="11"/>
  <c r="C618" i="11"/>
  <c r="G617" i="11"/>
  <c r="C617" i="11"/>
  <c r="G616" i="11"/>
  <c r="C616" i="11"/>
  <c r="G615" i="11"/>
  <c r="C615" i="11"/>
  <c r="G614" i="11"/>
  <c r="C614" i="11"/>
  <c r="G613" i="11"/>
  <c r="C613" i="11"/>
  <c r="G612" i="11"/>
  <c r="C612" i="11"/>
  <c r="G611" i="11"/>
  <c r="C611" i="11"/>
  <c r="G610" i="11"/>
  <c r="C610" i="11"/>
  <c r="G609" i="11"/>
  <c r="C609" i="11"/>
  <c r="G608" i="11"/>
  <c r="C608" i="11"/>
  <c r="G607" i="11"/>
  <c r="C607" i="11"/>
  <c r="G606" i="11"/>
  <c r="C606" i="11"/>
  <c r="G605" i="11"/>
  <c r="C605" i="11"/>
  <c r="G604" i="11"/>
  <c r="C604" i="11"/>
  <c r="G603" i="11"/>
  <c r="C603" i="11"/>
  <c r="G602" i="11"/>
  <c r="C602" i="11"/>
  <c r="G601" i="11"/>
  <c r="C601" i="11"/>
  <c r="G600" i="11"/>
  <c r="C600" i="11"/>
  <c r="G599" i="11"/>
  <c r="C599" i="11"/>
  <c r="G598" i="11"/>
  <c r="C598" i="11"/>
  <c r="G597" i="11"/>
  <c r="C597" i="11"/>
  <c r="G596" i="11"/>
  <c r="C596" i="11"/>
  <c r="G595" i="11"/>
  <c r="C595" i="11"/>
  <c r="G594" i="11"/>
  <c r="C594" i="11"/>
  <c r="G593" i="11"/>
  <c r="C593" i="11"/>
  <c r="G592" i="11"/>
  <c r="C592" i="11"/>
  <c r="G591" i="11"/>
  <c r="C591" i="11"/>
  <c r="G590" i="11"/>
  <c r="C590" i="11"/>
  <c r="G589" i="11"/>
  <c r="C589" i="11"/>
  <c r="G588" i="11"/>
  <c r="C588" i="11"/>
  <c r="G587" i="11"/>
  <c r="C587" i="11"/>
  <c r="G586" i="11"/>
  <c r="C586" i="11"/>
  <c r="G585" i="11"/>
  <c r="C585" i="11"/>
  <c r="G584" i="11"/>
  <c r="C584" i="11"/>
  <c r="G583" i="11"/>
  <c r="C583" i="11"/>
  <c r="G582" i="11"/>
  <c r="C582" i="11"/>
  <c r="G581" i="11"/>
  <c r="C581" i="11"/>
  <c r="G580" i="11"/>
  <c r="C580" i="11"/>
  <c r="G579" i="11"/>
  <c r="C579" i="11"/>
  <c r="G578" i="11"/>
  <c r="C578" i="11"/>
  <c r="G577" i="11"/>
  <c r="C577" i="11"/>
  <c r="G576" i="11"/>
  <c r="C576" i="11"/>
  <c r="G575" i="11"/>
  <c r="C575" i="11"/>
  <c r="G574" i="11"/>
  <c r="C574" i="11"/>
  <c r="G573" i="11"/>
  <c r="C573" i="11"/>
  <c r="G572" i="11"/>
  <c r="C572" i="11"/>
  <c r="G571" i="11"/>
  <c r="C571" i="11"/>
  <c r="G570" i="11"/>
  <c r="C570" i="11"/>
  <c r="G569" i="11"/>
  <c r="C569" i="11"/>
  <c r="G568" i="11"/>
  <c r="C568" i="11"/>
  <c r="G567" i="11"/>
  <c r="C567" i="11"/>
  <c r="G566" i="11"/>
  <c r="C566" i="11"/>
  <c r="G565" i="11"/>
  <c r="C565" i="11"/>
  <c r="G564" i="11"/>
  <c r="C564" i="11"/>
  <c r="G563" i="11"/>
  <c r="C563" i="11"/>
  <c r="G562" i="11"/>
  <c r="C562" i="11"/>
  <c r="G561" i="11"/>
  <c r="C561" i="11"/>
  <c r="G560" i="11"/>
  <c r="C560" i="11"/>
  <c r="G559" i="11"/>
  <c r="C559" i="11"/>
  <c r="G558" i="11"/>
  <c r="C558" i="11"/>
  <c r="G557" i="11"/>
  <c r="C557" i="11"/>
  <c r="G556" i="11"/>
  <c r="C556" i="11"/>
  <c r="G555" i="11"/>
  <c r="C555" i="11"/>
  <c r="G554" i="11"/>
  <c r="C554" i="11"/>
  <c r="G553" i="11"/>
  <c r="C553" i="11"/>
  <c r="G552" i="11"/>
  <c r="C552" i="11"/>
  <c r="G551" i="11"/>
  <c r="C551" i="11"/>
  <c r="G550" i="11"/>
  <c r="C550" i="11"/>
  <c r="G549" i="11"/>
  <c r="C549" i="11"/>
  <c r="G548" i="11"/>
  <c r="C548" i="11"/>
  <c r="G547" i="11"/>
  <c r="C547" i="11"/>
  <c r="G546" i="11"/>
  <c r="C546" i="11"/>
  <c r="G545" i="11"/>
  <c r="C545" i="11"/>
  <c r="G544" i="11"/>
  <c r="C544" i="11"/>
  <c r="G543" i="11"/>
  <c r="C543" i="11"/>
  <c r="G542" i="11"/>
  <c r="C542" i="11"/>
  <c r="G541" i="11"/>
  <c r="C541" i="11"/>
  <c r="G540" i="11"/>
  <c r="C540" i="11"/>
  <c r="G539" i="11"/>
  <c r="C539" i="11"/>
  <c r="G538" i="11"/>
  <c r="C538" i="11"/>
  <c r="G537" i="11"/>
  <c r="C537" i="11"/>
  <c r="G536" i="11"/>
  <c r="C536" i="11"/>
  <c r="G535" i="11"/>
  <c r="C535" i="11"/>
  <c r="G534" i="11"/>
  <c r="C534" i="11"/>
  <c r="G533" i="11"/>
  <c r="C533" i="11"/>
  <c r="G532" i="11"/>
  <c r="C532" i="11"/>
  <c r="G531" i="11"/>
  <c r="C531" i="11"/>
  <c r="G530" i="11"/>
  <c r="C530" i="11"/>
  <c r="G529" i="11"/>
  <c r="C529" i="11"/>
  <c r="G528" i="11"/>
  <c r="C528" i="11"/>
  <c r="G527" i="11"/>
  <c r="C527" i="11"/>
  <c r="G526" i="11"/>
  <c r="C526" i="11"/>
  <c r="G525" i="11"/>
  <c r="C525" i="11"/>
  <c r="G524" i="11"/>
  <c r="C524" i="11"/>
  <c r="G523" i="11"/>
  <c r="C523" i="11"/>
  <c r="G522" i="11"/>
  <c r="C522" i="11"/>
  <c r="G521" i="11"/>
  <c r="C521" i="11"/>
  <c r="G520" i="11"/>
  <c r="C520" i="11"/>
  <c r="G519" i="11"/>
  <c r="C519" i="11"/>
  <c r="G518" i="11"/>
  <c r="C518" i="11"/>
  <c r="G517" i="11"/>
  <c r="C517" i="11"/>
  <c r="G516" i="11"/>
  <c r="C516" i="11"/>
  <c r="G515" i="11"/>
  <c r="C515" i="11"/>
  <c r="G514" i="11"/>
  <c r="C514" i="11"/>
  <c r="G513" i="11"/>
  <c r="C513" i="11"/>
  <c r="G512" i="11"/>
  <c r="C512" i="11"/>
  <c r="G511" i="11"/>
  <c r="C511" i="11"/>
  <c r="G510" i="11"/>
  <c r="C510" i="11"/>
  <c r="G509" i="11"/>
  <c r="C509" i="11"/>
  <c r="G508" i="11"/>
  <c r="C508" i="11"/>
  <c r="G507" i="11"/>
  <c r="C507" i="11"/>
  <c r="G506" i="11"/>
  <c r="C506" i="11"/>
  <c r="G505" i="11"/>
  <c r="C505" i="11"/>
  <c r="G504" i="11"/>
  <c r="C504" i="11"/>
  <c r="G503" i="11"/>
  <c r="C503" i="11"/>
  <c r="G502" i="11"/>
  <c r="C502" i="11"/>
  <c r="G501" i="11"/>
  <c r="C501" i="11"/>
  <c r="G500" i="11"/>
  <c r="C500" i="11"/>
  <c r="G499" i="11"/>
  <c r="C499" i="11"/>
  <c r="G498" i="11"/>
  <c r="C498" i="11"/>
  <c r="G497" i="11"/>
  <c r="C497" i="11"/>
  <c r="G496" i="11"/>
  <c r="C496" i="11"/>
  <c r="G495" i="11"/>
  <c r="C495" i="11"/>
  <c r="G494" i="11"/>
  <c r="C494" i="11"/>
  <c r="G493" i="11"/>
  <c r="C493" i="11"/>
  <c r="G492" i="11"/>
  <c r="C492" i="11"/>
  <c r="G491" i="11"/>
  <c r="C491" i="11"/>
  <c r="G490" i="11"/>
  <c r="C490" i="11"/>
  <c r="G489" i="11"/>
  <c r="C489" i="11"/>
  <c r="G488" i="11"/>
  <c r="C488" i="11"/>
  <c r="G487" i="11"/>
  <c r="C487" i="11"/>
  <c r="G486" i="11"/>
  <c r="C486" i="11"/>
  <c r="G485" i="11"/>
  <c r="C485" i="11"/>
  <c r="G484" i="11"/>
  <c r="C484" i="11"/>
  <c r="G483" i="11"/>
  <c r="C483" i="11"/>
  <c r="G482" i="11"/>
  <c r="C482" i="11"/>
  <c r="G481" i="11"/>
  <c r="C481" i="11"/>
  <c r="G480" i="11"/>
  <c r="C480" i="11"/>
  <c r="G479" i="11"/>
  <c r="C479" i="11"/>
  <c r="G478" i="11"/>
  <c r="C478" i="11"/>
  <c r="G477" i="11"/>
  <c r="C477" i="11"/>
  <c r="G476" i="11"/>
  <c r="C476" i="11"/>
  <c r="G475" i="11"/>
  <c r="C475" i="11"/>
  <c r="G474" i="11"/>
  <c r="C474" i="11"/>
  <c r="G473" i="11"/>
  <c r="C473" i="11"/>
  <c r="G472" i="11"/>
  <c r="C472" i="11"/>
  <c r="G471" i="11"/>
  <c r="C471" i="11"/>
  <c r="G470" i="11"/>
  <c r="C470" i="11"/>
  <c r="G469" i="11"/>
  <c r="C469" i="11"/>
  <c r="G468" i="11"/>
  <c r="C468" i="11"/>
  <c r="G467" i="11"/>
  <c r="C467" i="11"/>
  <c r="G466" i="11"/>
  <c r="C466" i="11"/>
  <c r="G465" i="11"/>
  <c r="C465" i="11"/>
  <c r="G464" i="11"/>
  <c r="C464" i="11"/>
  <c r="G463" i="11"/>
  <c r="C463" i="11"/>
  <c r="G462" i="11"/>
  <c r="C462" i="11"/>
  <c r="G461" i="11"/>
  <c r="C461" i="11"/>
  <c r="G460" i="11"/>
  <c r="C460" i="11"/>
  <c r="G459" i="11"/>
  <c r="C459" i="11"/>
  <c r="G458" i="11"/>
  <c r="C458" i="11"/>
  <c r="G457" i="11"/>
  <c r="C457" i="11"/>
  <c r="G456" i="11"/>
  <c r="C456" i="11"/>
  <c r="G455" i="11"/>
  <c r="C455" i="11"/>
  <c r="G454" i="11"/>
  <c r="C454" i="11"/>
  <c r="G453" i="11"/>
  <c r="C453" i="11"/>
  <c r="G452" i="11"/>
  <c r="C452" i="11"/>
  <c r="G451" i="11"/>
  <c r="C451" i="11"/>
  <c r="G450" i="11"/>
  <c r="C450" i="11"/>
  <c r="G449" i="11"/>
  <c r="C449" i="11"/>
  <c r="G448" i="11"/>
  <c r="C448" i="11"/>
  <c r="G447" i="11"/>
  <c r="C447" i="11"/>
  <c r="G446" i="11"/>
  <c r="C446" i="11"/>
  <c r="G445" i="11"/>
  <c r="C445" i="11"/>
  <c r="G444" i="11"/>
  <c r="C444" i="11"/>
  <c r="G443" i="11"/>
  <c r="C443" i="11"/>
  <c r="G442" i="11"/>
  <c r="C442" i="11"/>
  <c r="G441" i="11"/>
  <c r="C441" i="11"/>
  <c r="G440" i="11"/>
  <c r="C440" i="11"/>
  <c r="G439" i="11"/>
  <c r="C439" i="11"/>
  <c r="G438" i="11"/>
  <c r="C438" i="11"/>
  <c r="G437" i="11"/>
  <c r="C437" i="11"/>
  <c r="G436" i="11"/>
  <c r="C436" i="11"/>
  <c r="G435" i="11"/>
  <c r="C435" i="11"/>
  <c r="G434" i="11"/>
  <c r="C434" i="11"/>
  <c r="G433" i="11"/>
  <c r="C433" i="11"/>
  <c r="G432" i="11"/>
  <c r="C432" i="11"/>
  <c r="G431" i="11"/>
  <c r="C431" i="11"/>
  <c r="G430" i="11"/>
  <c r="C430" i="11"/>
  <c r="G429" i="11"/>
  <c r="C429" i="11"/>
  <c r="G428" i="11"/>
  <c r="C428" i="11"/>
  <c r="G427" i="11"/>
  <c r="C427" i="11"/>
  <c r="G426" i="11"/>
  <c r="C426" i="11"/>
  <c r="G425" i="11"/>
  <c r="C425" i="11"/>
  <c r="G424" i="11"/>
  <c r="C424" i="11"/>
  <c r="G423" i="11"/>
  <c r="C423" i="11"/>
  <c r="G422" i="11"/>
  <c r="C422" i="11"/>
  <c r="G421" i="11"/>
  <c r="C421" i="11"/>
  <c r="G420" i="11"/>
  <c r="C420" i="11"/>
  <c r="G419" i="11"/>
  <c r="C419" i="11"/>
  <c r="G418" i="11"/>
  <c r="C418" i="11"/>
  <c r="G417" i="11"/>
  <c r="C417" i="11"/>
  <c r="G416" i="11"/>
  <c r="C416" i="11"/>
  <c r="G415" i="11"/>
  <c r="C415" i="11"/>
  <c r="G414" i="11"/>
  <c r="C414" i="11"/>
  <c r="G413" i="11"/>
  <c r="C413" i="11"/>
  <c r="G412" i="11"/>
  <c r="C412" i="11"/>
  <c r="G411" i="11"/>
  <c r="C411" i="11"/>
  <c r="G410" i="11"/>
  <c r="C410" i="11"/>
  <c r="G409" i="11"/>
  <c r="C409" i="11"/>
  <c r="G408" i="11"/>
  <c r="C408" i="11"/>
  <c r="G407" i="11"/>
  <c r="C407" i="11"/>
  <c r="G406" i="11"/>
  <c r="C406" i="11"/>
  <c r="G405" i="11"/>
  <c r="C405" i="11"/>
  <c r="G404" i="11"/>
  <c r="C404" i="11"/>
  <c r="G403" i="11"/>
  <c r="C403" i="11"/>
  <c r="G402" i="11"/>
  <c r="C402" i="11"/>
  <c r="G401" i="11"/>
  <c r="C401" i="11"/>
  <c r="G400" i="11"/>
  <c r="C400" i="11"/>
  <c r="G399" i="11"/>
  <c r="C399" i="11"/>
  <c r="G398" i="11"/>
  <c r="C398" i="11"/>
  <c r="G397" i="11"/>
  <c r="C397" i="11"/>
  <c r="G396" i="11"/>
  <c r="C396" i="11"/>
  <c r="G395" i="11"/>
  <c r="C395" i="11"/>
  <c r="G394" i="11"/>
  <c r="C394" i="11"/>
  <c r="G393" i="11"/>
  <c r="C393" i="11"/>
  <c r="G392" i="11"/>
  <c r="C392" i="11"/>
  <c r="G391" i="11"/>
  <c r="C391" i="11"/>
  <c r="G390" i="11"/>
  <c r="C390" i="11"/>
  <c r="G389" i="11"/>
  <c r="C389" i="11"/>
  <c r="G388" i="11"/>
  <c r="C388" i="11"/>
  <c r="G387" i="11"/>
  <c r="C387" i="11"/>
  <c r="G386" i="11"/>
  <c r="C386" i="11"/>
  <c r="G385" i="11"/>
  <c r="C385" i="11"/>
  <c r="G384" i="11"/>
  <c r="C384" i="11"/>
  <c r="G383" i="11"/>
  <c r="C383" i="11"/>
  <c r="G382" i="11"/>
  <c r="C382" i="11"/>
  <c r="G381" i="11"/>
  <c r="C381" i="11"/>
  <c r="G380" i="11"/>
  <c r="C380" i="11"/>
  <c r="G379" i="11"/>
  <c r="C379" i="11"/>
  <c r="G378" i="11"/>
  <c r="C378" i="11"/>
  <c r="G377" i="11"/>
  <c r="C377" i="11"/>
  <c r="G376" i="11"/>
  <c r="C376" i="11"/>
  <c r="G375" i="11"/>
  <c r="C375" i="11"/>
  <c r="G374" i="11"/>
  <c r="C374" i="11"/>
  <c r="G373" i="11"/>
  <c r="C373" i="11"/>
  <c r="G372" i="11"/>
  <c r="C372" i="11"/>
  <c r="G371" i="11"/>
  <c r="C371" i="11"/>
  <c r="G370" i="11"/>
  <c r="C370" i="11"/>
  <c r="G369" i="11"/>
  <c r="C369" i="11"/>
  <c r="G368" i="11"/>
  <c r="C368" i="11"/>
  <c r="G367" i="11"/>
  <c r="C367" i="11"/>
  <c r="G366" i="11"/>
  <c r="C366" i="11"/>
  <c r="G365" i="11"/>
  <c r="C365" i="11"/>
  <c r="G364" i="11"/>
  <c r="C364" i="11"/>
  <c r="G363" i="11"/>
  <c r="C363" i="11"/>
  <c r="G362" i="11"/>
  <c r="C362" i="11"/>
  <c r="G361" i="11"/>
  <c r="C361" i="11"/>
  <c r="G360" i="11"/>
  <c r="C360" i="11"/>
  <c r="G359" i="11"/>
  <c r="C359" i="11"/>
  <c r="G358" i="11"/>
  <c r="C358" i="11"/>
  <c r="G357" i="11"/>
  <c r="C357" i="11"/>
  <c r="G356" i="11"/>
  <c r="C356" i="11"/>
  <c r="G355" i="11"/>
  <c r="C355" i="11"/>
  <c r="G354" i="11"/>
  <c r="C354" i="11"/>
  <c r="G353" i="11"/>
  <c r="C353" i="11"/>
  <c r="G352" i="11"/>
  <c r="C352" i="11"/>
  <c r="G351" i="11"/>
  <c r="C351" i="11"/>
  <c r="G350" i="11"/>
  <c r="C350" i="11"/>
  <c r="G349" i="11"/>
  <c r="C349" i="11"/>
  <c r="G348" i="11"/>
  <c r="C348" i="11"/>
  <c r="G347" i="11"/>
  <c r="C347" i="11"/>
  <c r="G346" i="11"/>
  <c r="C346" i="11"/>
  <c r="G345" i="11"/>
  <c r="C345" i="11"/>
  <c r="G344" i="11"/>
  <c r="C344" i="11"/>
  <c r="G343" i="11"/>
  <c r="C343" i="11"/>
  <c r="G342" i="11"/>
  <c r="C342" i="11"/>
  <c r="G341" i="11"/>
  <c r="C341" i="11"/>
  <c r="G340" i="11"/>
  <c r="C340" i="11"/>
  <c r="G339" i="11"/>
  <c r="C339" i="11"/>
  <c r="G338" i="11"/>
  <c r="C338" i="11"/>
  <c r="G337" i="11"/>
  <c r="C337" i="11"/>
  <c r="G336" i="11"/>
  <c r="C336" i="11"/>
  <c r="G335" i="11"/>
  <c r="C335" i="11"/>
  <c r="G334" i="11"/>
  <c r="C334" i="11"/>
  <c r="G333" i="11"/>
  <c r="C333" i="11"/>
  <c r="G332" i="11"/>
  <c r="C332" i="11"/>
  <c r="G331" i="11"/>
  <c r="C331" i="11"/>
  <c r="G330" i="11"/>
  <c r="C330" i="11"/>
  <c r="G329" i="11"/>
  <c r="C329" i="11"/>
  <c r="G328" i="11"/>
  <c r="C328" i="11"/>
  <c r="G327" i="11"/>
  <c r="C327" i="11"/>
  <c r="G326" i="11"/>
  <c r="C326" i="11"/>
  <c r="G325" i="11"/>
  <c r="C325" i="11"/>
  <c r="G324" i="11"/>
  <c r="C324" i="11"/>
  <c r="G323" i="11"/>
  <c r="C323" i="11"/>
  <c r="G322" i="11"/>
  <c r="C322" i="11"/>
  <c r="G321" i="11"/>
  <c r="C321" i="11"/>
  <c r="G320" i="11"/>
  <c r="C320" i="11"/>
  <c r="G319" i="11"/>
  <c r="C319" i="11"/>
  <c r="G318" i="11"/>
  <c r="C318" i="11"/>
  <c r="G317" i="11"/>
  <c r="C317" i="11"/>
  <c r="G316" i="11"/>
  <c r="C316" i="11"/>
  <c r="G315" i="11"/>
  <c r="C315" i="11"/>
  <c r="G314" i="11"/>
  <c r="C314" i="11"/>
  <c r="G313" i="11"/>
  <c r="C313" i="11"/>
  <c r="G312" i="11"/>
  <c r="C312" i="11"/>
  <c r="G311" i="11"/>
  <c r="C311" i="11"/>
  <c r="G310" i="11"/>
  <c r="C310" i="11"/>
  <c r="G309" i="11"/>
  <c r="C309" i="11"/>
  <c r="G308" i="11"/>
  <c r="C308" i="11"/>
  <c r="G307" i="11"/>
  <c r="C307" i="11"/>
  <c r="G306" i="11"/>
  <c r="C306" i="11"/>
  <c r="G305" i="11"/>
  <c r="C305" i="11"/>
  <c r="G304" i="11"/>
  <c r="C304" i="11"/>
  <c r="G303" i="11"/>
  <c r="C303" i="11"/>
  <c r="G302" i="11"/>
  <c r="C302" i="11"/>
  <c r="G301" i="11"/>
  <c r="C301" i="11"/>
  <c r="G300" i="11"/>
  <c r="C300" i="11"/>
  <c r="G299" i="11"/>
  <c r="C299" i="11"/>
  <c r="G298" i="11"/>
  <c r="C298" i="11"/>
  <c r="G297" i="11"/>
  <c r="C297" i="11"/>
  <c r="G296" i="11"/>
  <c r="C296" i="11"/>
  <c r="G295" i="11"/>
  <c r="C295" i="11"/>
  <c r="G294" i="11"/>
  <c r="C294" i="11"/>
  <c r="G293" i="11"/>
  <c r="C293" i="11"/>
  <c r="G292" i="11"/>
  <c r="C292" i="11"/>
  <c r="G291" i="11"/>
  <c r="C291" i="11"/>
  <c r="G290" i="11"/>
  <c r="C290" i="11"/>
  <c r="G289" i="11"/>
  <c r="C289" i="11"/>
  <c r="G288" i="11"/>
  <c r="C288" i="11"/>
  <c r="G287" i="11"/>
  <c r="C287" i="11"/>
  <c r="G286" i="11"/>
  <c r="C286" i="11"/>
  <c r="G285" i="11"/>
  <c r="C285" i="11"/>
  <c r="G284" i="11"/>
  <c r="C284" i="11"/>
  <c r="G283" i="11"/>
  <c r="C283" i="11"/>
  <c r="G282" i="11"/>
  <c r="C282" i="11"/>
  <c r="G281" i="11"/>
  <c r="C281" i="11"/>
  <c r="G280" i="11"/>
  <c r="C280" i="11"/>
  <c r="G279" i="11"/>
  <c r="C279" i="11"/>
  <c r="G278" i="11"/>
  <c r="C278" i="11"/>
  <c r="G277" i="11"/>
  <c r="C277" i="11"/>
  <c r="G276" i="11"/>
  <c r="C276" i="11"/>
  <c r="G275" i="11"/>
  <c r="C275" i="11"/>
  <c r="G274" i="11"/>
  <c r="C274" i="11"/>
  <c r="G273" i="11"/>
  <c r="C273" i="11"/>
  <c r="G272" i="11"/>
  <c r="C272" i="11"/>
  <c r="G271" i="11"/>
  <c r="C271" i="11"/>
  <c r="G270" i="11"/>
  <c r="C270" i="11"/>
  <c r="G269" i="11"/>
  <c r="C269" i="11"/>
  <c r="G268" i="11"/>
  <c r="C268" i="11"/>
  <c r="G267" i="11"/>
  <c r="C267" i="11"/>
  <c r="G266" i="11"/>
  <c r="C266" i="11"/>
  <c r="G265" i="11"/>
  <c r="C265" i="11"/>
  <c r="G264" i="11"/>
  <c r="C264" i="11"/>
  <c r="G263" i="11"/>
  <c r="C263" i="11"/>
  <c r="G262" i="11"/>
  <c r="C262" i="11"/>
  <c r="G261" i="11"/>
  <c r="C261" i="11"/>
  <c r="G260" i="11"/>
  <c r="C260" i="11"/>
  <c r="G259" i="11"/>
  <c r="C259" i="11"/>
  <c r="G258" i="11"/>
  <c r="C258" i="11"/>
  <c r="G257" i="11"/>
  <c r="C257" i="11"/>
  <c r="G256" i="11"/>
  <c r="C256" i="11"/>
  <c r="G255" i="11"/>
  <c r="C255" i="11"/>
  <c r="G254" i="11"/>
  <c r="C254" i="11"/>
  <c r="G253" i="11"/>
  <c r="C253" i="11"/>
  <c r="G252" i="11"/>
  <c r="C252" i="11"/>
  <c r="G251" i="11"/>
  <c r="C251" i="11"/>
  <c r="G250" i="11"/>
  <c r="C250" i="11"/>
  <c r="G249" i="11"/>
  <c r="C249" i="11"/>
  <c r="G248" i="11"/>
  <c r="C248" i="11"/>
  <c r="G247" i="11"/>
  <c r="C247" i="11"/>
  <c r="G246" i="11"/>
  <c r="C246" i="11"/>
  <c r="G245" i="11"/>
  <c r="C245" i="11"/>
  <c r="G244" i="11"/>
  <c r="C244" i="11"/>
  <c r="G243" i="11"/>
  <c r="C243" i="11"/>
  <c r="G242" i="11"/>
  <c r="C242" i="11"/>
  <c r="G241" i="11"/>
  <c r="C241" i="11"/>
  <c r="G240" i="11"/>
  <c r="C240" i="11"/>
  <c r="G239" i="11"/>
  <c r="C239" i="11"/>
  <c r="G238" i="11"/>
  <c r="C238" i="11"/>
  <c r="G237" i="11"/>
  <c r="C237" i="11"/>
  <c r="G236" i="11"/>
  <c r="C236" i="11"/>
  <c r="G235" i="11"/>
  <c r="C235" i="11"/>
  <c r="G234" i="11"/>
  <c r="C234" i="11"/>
  <c r="G233" i="11"/>
  <c r="C233" i="11"/>
  <c r="G232" i="11"/>
  <c r="C232" i="11"/>
  <c r="G231" i="11"/>
  <c r="C231" i="11"/>
  <c r="G230" i="11"/>
  <c r="C230" i="11"/>
  <c r="G229" i="11"/>
  <c r="C229" i="11"/>
  <c r="G228" i="11"/>
  <c r="C228" i="11"/>
  <c r="G227" i="11"/>
  <c r="C227" i="11"/>
  <c r="G226" i="11"/>
  <c r="C226" i="11"/>
  <c r="G225" i="11"/>
  <c r="C225" i="11"/>
  <c r="G224" i="11"/>
  <c r="C224" i="11"/>
  <c r="G223" i="11"/>
  <c r="C223" i="11"/>
  <c r="G222" i="11"/>
  <c r="C222" i="11"/>
  <c r="G221" i="11"/>
  <c r="C221" i="11"/>
  <c r="G220" i="11"/>
  <c r="C220" i="11"/>
  <c r="G219" i="11"/>
  <c r="C219" i="11"/>
  <c r="G218" i="11"/>
  <c r="C218" i="11"/>
  <c r="G217" i="11"/>
  <c r="C217" i="11"/>
  <c r="G216" i="11"/>
  <c r="C216" i="11"/>
  <c r="G215" i="11"/>
  <c r="C215" i="11"/>
  <c r="G214" i="11"/>
  <c r="C214" i="11"/>
  <c r="G213" i="11"/>
  <c r="C213" i="11"/>
  <c r="G212" i="11"/>
  <c r="C212" i="11"/>
  <c r="G211" i="11"/>
  <c r="C211" i="11"/>
  <c r="G210" i="11"/>
  <c r="C210" i="11"/>
  <c r="G209" i="11"/>
  <c r="C209" i="11"/>
  <c r="G208" i="11"/>
  <c r="C208" i="11"/>
  <c r="G207" i="11"/>
  <c r="C207" i="11"/>
  <c r="G206" i="11"/>
  <c r="C206" i="11"/>
  <c r="G205" i="11"/>
  <c r="C205" i="11"/>
  <c r="G204" i="11"/>
  <c r="C204" i="11"/>
  <c r="G203" i="11"/>
  <c r="C203" i="11"/>
  <c r="G202" i="11"/>
  <c r="C202" i="11"/>
  <c r="G201" i="11"/>
  <c r="C201" i="11"/>
  <c r="G200" i="11"/>
  <c r="C200" i="11"/>
  <c r="G199" i="11"/>
  <c r="C199" i="11"/>
  <c r="G198" i="11"/>
  <c r="C198" i="11"/>
  <c r="G197" i="11"/>
  <c r="C197" i="11"/>
  <c r="G196" i="11"/>
  <c r="C196" i="11"/>
  <c r="G195" i="11"/>
  <c r="C195" i="11"/>
  <c r="G194" i="11"/>
  <c r="C194" i="11"/>
  <c r="G193" i="11"/>
  <c r="C193" i="11"/>
  <c r="G192" i="11"/>
  <c r="C192" i="11"/>
  <c r="G191" i="11"/>
  <c r="C191" i="11"/>
  <c r="G190" i="11"/>
  <c r="C190" i="11"/>
  <c r="G189" i="11"/>
  <c r="C189" i="11"/>
  <c r="G188" i="11"/>
  <c r="C188" i="11"/>
  <c r="G187" i="11"/>
  <c r="C187" i="11"/>
  <c r="G186" i="11"/>
  <c r="C186" i="11"/>
  <c r="G185" i="11"/>
  <c r="C185" i="11"/>
  <c r="G184" i="11"/>
  <c r="C184" i="11"/>
  <c r="G183" i="11"/>
  <c r="C183" i="11"/>
  <c r="G182" i="11"/>
  <c r="C182" i="11"/>
  <c r="G181" i="11"/>
  <c r="C181" i="11"/>
  <c r="G180" i="11"/>
  <c r="C180" i="11"/>
  <c r="G179" i="11"/>
  <c r="C179" i="11"/>
  <c r="G178" i="11"/>
  <c r="C178" i="11"/>
  <c r="G177" i="11"/>
  <c r="C177" i="11"/>
  <c r="G176" i="11"/>
  <c r="C176" i="11"/>
  <c r="G175" i="11"/>
  <c r="C175" i="11"/>
  <c r="G174" i="11"/>
  <c r="C174" i="11"/>
  <c r="G173" i="11"/>
  <c r="C173" i="11"/>
  <c r="G172" i="11"/>
  <c r="C172" i="11"/>
  <c r="G171" i="11"/>
  <c r="C171" i="11"/>
  <c r="G170" i="11"/>
  <c r="C170" i="11"/>
  <c r="G169" i="11"/>
  <c r="C169" i="11"/>
  <c r="G168" i="11"/>
  <c r="C168" i="11"/>
  <c r="G167" i="11"/>
  <c r="C167" i="11"/>
  <c r="G166" i="11"/>
  <c r="C166" i="11"/>
  <c r="G165" i="11"/>
  <c r="C165" i="11"/>
  <c r="G164" i="11"/>
  <c r="C164" i="11"/>
  <c r="G163" i="11"/>
  <c r="C163" i="11"/>
  <c r="G162" i="11"/>
  <c r="C162" i="11"/>
  <c r="G161" i="11"/>
  <c r="C161" i="11"/>
  <c r="G160" i="11"/>
  <c r="C160" i="11"/>
  <c r="G159" i="11"/>
  <c r="C159" i="11"/>
  <c r="G158" i="11"/>
  <c r="C158" i="11"/>
  <c r="G157" i="11"/>
  <c r="C157" i="11"/>
  <c r="G156" i="11"/>
  <c r="C156" i="11"/>
  <c r="G155" i="11"/>
  <c r="C155" i="11"/>
  <c r="G154" i="11"/>
  <c r="C154" i="11"/>
  <c r="G153" i="11"/>
  <c r="C153" i="11"/>
  <c r="G152" i="11"/>
  <c r="C152" i="11"/>
  <c r="G151" i="11"/>
  <c r="C151" i="11"/>
  <c r="G150" i="11"/>
  <c r="C150" i="11"/>
  <c r="G149" i="11"/>
  <c r="C149" i="11"/>
  <c r="G148" i="11"/>
  <c r="C148" i="11"/>
  <c r="G147" i="11"/>
  <c r="C147" i="11"/>
  <c r="G146" i="11"/>
  <c r="C146" i="11"/>
  <c r="G145" i="11"/>
  <c r="C145" i="11"/>
  <c r="G144" i="11"/>
  <c r="C144" i="11"/>
  <c r="G143" i="11"/>
  <c r="C143" i="11"/>
  <c r="G142" i="11"/>
  <c r="C142" i="11"/>
  <c r="G141" i="11"/>
  <c r="C141" i="11"/>
  <c r="G140" i="11"/>
  <c r="C140" i="11"/>
  <c r="G139" i="11"/>
  <c r="C139" i="11"/>
  <c r="G138" i="11"/>
  <c r="C138" i="11"/>
  <c r="G137" i="11"/>
  <c r="C137" i="11"/>
  <c r="G136" i="11"/>
  <c r="C136" i="11"/>
  <c r="G135" i="11"/>
  <c r="C135" i="11"/>
  <c r="G134" i="11"/>
  <c r="C134" i="11"/>
  <c r="G133" i="11"/>
  <c r="C133" i="11"/>
  <c r="G132" i="11"/>
  <c r="C132" i="11"/>
  <c r="G131" i="11"/>
  <c r="C131" i="11"/>
  <c r="G130" i="11"/>
  <c r="C130" i="11"/>
  <c r="G129" i="11"/>
  <c r="C129" i="11"/>
  <c r="G128" i="11"/>
  <c r="C128" i="11"/>
  <c r="G127" i="11"/>
  <c r="C127" i="11"/>
  <c r="G126" i="11"/>
  <c r="C126" i="11"/>
  <c r="G125" i="11"/>
  <c r="C125" i="11"/>
  <c r="G124" i="11"/>
  <c r="C124" i="11"/>
  <c r="G123" i="11"/>
  <c r="C123" i="11"/>
  <c r="G122" i="11"/>
  <c r="C122" i="11"/>
  <c r="G121" i="11"/>
  <c r="C121" i="11"/>
  <c r="G120" i="11"/>
  <c r="C120" i="11"/>
  <c r="G119" i="11"/>
  <c r="C119" i="11"/>
  <c r="G118" i="11"/>
  <c r="C118" i="11"/>
  <c r="G117" i="11"/>
  <c r="C117" i="11"/>
  <c r="G116" i="11"/>
  <c r="C116" i="11"/>
  <c r="G115" i="11"/>
  <c r="C115" i="11"/>
  <c r="G114" i="11"/>
  <c r="C114" i="11"/>
  <c r="G113" i="11"/>
  <c r="C113" i="11"/>
  <c r="G112" i="11"/>
  <c r="C112" i="11"/>
  <c r="G111" i="11"/>
  <c r="C111" i="11"/>
  <c r="G110" i="11"/>
  <c r="C110" i="11"/>
  <c r="G109" i="11"/>
  <c r="C109" i="11"/>
  <c r="G108" i="11"/>
  <c r="C108" i="11"/>
  <c r="G107" i="11"/>
  <c r="C107" i="11"/>
  <c r="G106" i="11"/>
  <c r="C106" i="11"/>
  <c r="G105" i="11"/>
  <c r="C105" i="11"/>
  <c r="G104" i="11"/>
  <c r="C104" i="11"/>
  <c r="G103" i="11"/>
  <c r="C103" i="11"/>
  <c r="G102" i="11"/>
  <c r="C102" i="11"/>
  <c r="G101" i="11"/>
  <c r="C101" i="11"/>
  <c r="G100" i="11"/>
  <c r="C100" i="11"/>
  <c r="G99" i="11"/>
  <c r="C99" i="11"/>
  <c r="G98" i="11"/>
  <c r="C98" i="11"/>
  <c r="G97" i="11"/>
  <c r="C97" i="11"/>
  <c r="G96" i="11"/>
  <c r="C96" i="11"/>
  <c r="G95" i="11"/>
  <c r="C95" i="11"/>
  <c r="G94" i="11"/>
  <c r="C94" i="11"/>
  <c r="G93" i="11"/>
  <c r="C93" i="11"/>
  <c r="G92" i="11"/>
  <c r="C92" i="11"/>
  <c r="G91" i="11"/>
  <c r="C91" i="11"/>
  <c r="G90" i="11"/>
  <c r="C90" i="11"/>
  <c r="G89" i="11"/>
  <c r="C89" i="11"/>
  <c r="G88" i="11"/>
  <c r="C88" i="11"/>
  <c r="G87" i="11"/>
  <c r="C87" i="11"/>
  <c r="G86" i="11"/>
  <c r="C86" i="11"/>
  <c r="G85" i="11"/>
  <c r="C85" i="11"/>
  <c r="G84" i="11"/>
  <c r="C84" i="11"/>
  <c r="G83" i="11"/>
  <c r="C83" i="11"/>
  <c r="G82" i="11"/>
  <c r="C82" i="11"/>
  <c r="G81" i="11"/>
  <c r="C81" i="11"/>
  <c r="G80" i="11"/>
  <c r="C80" i="11"/>
  <c r="G79" i="11"/>
  <c r="C79" i="11"/>
  <c r="G78" i="11"/>
  <c r="C78" i="11"/>
  <c r="G77" i="11"/>
  <c r="C77" i="11"/>
  <c r="G76" i="11"/>
  <c r="C76" i="11"/>
  <c r="G75" i="11"/>
  <c r="C75" i="11"/>
  <c r="G74" i="11"/>
  <c r="C74" i="11"/>
  <c r="G73" i="11"/>
  <c r="C73" i="11"/>
  <c r="G72" i="11"/>
  <c r="C72" i="11"/>
  <c r="G71" i="11"/>
  <c r="C71" i="11"/>
  <c r="G70" i="11"/>
  <c r="C70" i="11"/>
  <c r="G69" i="11"/>
  <c r="C69" i="11"/>
  <c r="G68" i="11"/>
  <c r="C68" i="11"/>
  <c r="G67" i="11"/>
  <c r="C67" i="11"/>
  <c r="G66" i="11"/>
  <c r="C66" i="11"/>
  <c r="G65" i="11"/>
  <c r="C65" i="11"/>
  <c r="G64" i="11"/>
  <c r="C64" i="11"/>
  <c r="G63" i="11"/>
  <c r="C63" i="11"/>
  <c r="G62" i="11"/>
  <c r="C62" i="11"/>
  <c r="G61" i="11"/>
  <c r="C61" i="11"/>
  <c r="G60" i="11"/>
  <c r="C60" i="11"/>
  <c r="G59" i="11"/>
  <c r="C59" i="11"/>
  <c r="G58" i="11"/>
  <c r="C58" i="11"/>
  <c r="G57" i="11"/>
  <c r="C57" i="11"/>
  <c r="G56" i="11"/>
  <c r="C56" i="11"/>
  <c r="G55" i="11"/>
  <c r="C55" i="11"/>
  <c r="G54" i="11"/>
  <c r="C54" i="11"/>
  <c r="G53" i="11"/>
  <c r="C53" i="11"/>
  <c r="G52" i="11"/>
  <c r="C52" i="11"/>
  <c r="G51" i="11"/>
  <c r="C51" i="11"/>
  <c r="G50" i="11"/>
  <c r="C50" i="11"/>
  <c r="G49" i="11"/>
  <c r="C49" i="11"/>
  <c r="G48" i="11"/>
  <c r="C48" i="11"/>
  <c r="G47" i="11"/>
  <c r="C47" i="11"/>
  <c r="G46" i="11"/>
  <c r="C46" i="11"/>
  <c r="G45" i="11"/>
  <c r="C45" i="11"/>
  <c r="G44" i="11"/>
  <c r="C44" i="11"/>
  <c r="G43" i="11"/>
  <c r="C43" i="11"/>
  <c r="G42" i="11"/>
  <c r="C42" i="11"/>
  <c r="G41" i="11"/>
  <c r="C41" i="11"/>
  <c r="G40" i="11"/>
  <c r="C40" i="11"/>
  <c r="G39" i="11"/>
  <c r="C39" i="11"/>
  <c r="G38" i="11"/>
  <c r="C38" i="11"/>
  <c r="G37" i="11"/>
  <c r="C37" i="11"/>
  <c r="G36" i="11"/>
  <c r="C36" i="11"/>
  <c r="G35" i="11"/>
  <c r="C35" i="11"/>
  <c r="G34" i="11"/>
  <c r="C34" i="11"/>
  <c r="G33" i="11"/>
  <c r="C33" i="11"/>
  <c r="G32" i="11"/>
  <c r="C32" i="11"/>
  <c r="G31" i="11"/>
  <c r="C31" i="11"/>
  <c r="G30" i="11"/>
  <c r="C30" i="11"/>
  <c r="G29" i="11"/>
  <c r="C29" i="11"/>
  <c r="G28" i="11"/>
  <c r="C28" i="11"/>
  <c r="G27" i="11"/>
  <c r="C27" i="11"/>
  <c r="G26" i="11"/>
  <c r="C26" i="11"/>
  <c r="G25" i="11"/>
  <c r="C25" i="11"/>
  <c r="G24" i="11"/>
  <c r="C24" i="11"/>
  <c r="G23" i="11"/>
  <c r="C23" i="11"/>
  <c r="G22" i="11"/>
  <c r="C22" i="11"/>
  <c r="G21" i="11"/>
  <c r="C21" i="11"/>
  <c r="G20" i="11"/>
  <c r="C20" i="11"/>
  <c r="G19" i="11"/>
  <c r="C19" i="11"/>
  <c r="G18" i="11"/>
  <c r="C18" i="11"/>
  <c r="G17" i="11"/>
  <c r="C17" i="11"/>
  <c r="G16" i="11"/>
  <c r="C16" i="11"/>
  <c r="G15" i="11"/>
  <c r="C15" i="11"/>
  <c r="G14" i="11"/>
  <c r="C14" i="11"/>
  <c r="G13" i="11"/>
  <c r="C13" i="11"/>
  <c r="G12" i="11"/>
  <c r="C12" i="11"/>
  <c r="G11" i="11"/>
  <c r="C11" i="11"/>
  <c r="G10" i="11"/>
  <c r="C10" i="11"/>
  <c r="G9" i="11"/>
  <c r="C9" i="11"/>
  <c r="G8" i="11"/>
  <c r="C8" i="11"/>
  <c r="G7" i="11"/>
  <c r="C7" i="11"/>
  <c r="G6" i="11"/>
  <c r="C6" i="11"/>
  <c r="K20" i="10"/>
  <c r="J20" i="10"/>
  <c r="I20" i="10"/>
  <c r="H20" i="10"/>
  <c r="K18" i="10"/>
  <c r="J18" i="10"/>
  <c r="I18" i="10"/>
  <c r="H18" i="10"/>
  <c r="G18" i="10"/>
  <c r="K15" i="10"/>
  <c r="J15" i="10"/>
  <c r="I15" i="10"/>
  <c r="H15" i="10"/>
  <c r="K12" i="10"/>
  <c r="L12" i="10" s="1"/>
  <c r="M12" i="10" s="1"/>
  <c r="N12" i="10" s="1"/>
  <c r="O12" i="10" s="1"/>
  <c r="P12" i="10" s="1"/>
  <c r="J12" i="10"/>
  <c r="I12" i="10"/>
  <c r="H12" i="10"/>
  <c r="G12" i="10"/>
  <c r="K11" i="10"/>
  <c r="L11" i="10" s="1"/>
  <c r="J11" i="10"/>
  <c r="I11" i="10"/>
  <c r="H11" i="10"/>
  <c r="G11" i="10"/>
  <c r="K10" i="10"/>
  <c r="J10" i="10"/>
  <c r="I10" i="10"/>
  <c r="H10" i="10"/>
  <c r="G10" i="10"/>
  <c r="K9" i="10"/>
  <c r="J9" i="10"/>
  <c r="I9" i="10"/>
  <c r="H9" i="10"/>
  <c r="G9" i="10"/>
  <c r="K8" i="10"/>
  <c r="J8" i="10"/>
  <c r="I8" i="10"/>
  <c r="H8" i="10"/>
  <c r="L8" i="10" s="1"/>
  <c r="K7" i="10"/>
  <c r="J7" i="10"/>
  <c r="I7" i="10"/>
  <c r="K4" i="10"/>
  <c r="L4" i="10" s="1"/>
  <c r="M4" i="10" s="1"/>
  <c r="N4" i="10" s="1"/>
  <c r="O4" i="10" s="1"/>
  <c r="P4" i="10" s="1"/>
  <c r="H4" i="10"/>
  <c r="I4" i="10" s="1"/>
  <c r="J4" i="10" s="1"/>
  <c r="K2" i="10"/>
  <c r="L2" i="10" s="1"/>
  <c r="M2" i="10" s="1"/>
  <c r="N2" i="10" s="1"/>
  <c r="O2" i="10" s="1"/>
  <c r="P2" i="10" s="1"/>
  <c r="H2" i="10"/>
  <c r="I2" i="10" s="1"/>
  <c r="J2" i="10" s="1"/>
  <c r="L23" i="9"/>
  <c r="H21" i="9"/>
  <c r="H24" i="9" s="1"/>
  <c r="I21" i="9" s="1"/>
  <c r="I24" i="9" s="1"/>
  <c r="J21" i="9" s="1"/>
  <c r="J24" i="9" s="1"/>
  <c r="K21" i="9" s="1"/>
  <c r="K24" i="9" s="1"/>
  <c r="L21" i="9" s="1"/>
  <c r="G15" i="9"/>
  <c r="H12" i="9"/>
  <c r="H10" i="9"/>
  <c r="H4" i="9"/>
  <c r="I4" i="9" s="1"/>
  <c r="J4" i="9" s="1"/>
  <c r="K4" i="9" s="1"/>
  <c r="L4" i="9" s="1"/>
  <c r="M4" i="9" s="1"/>
  <c r="N4" i="9" s="1"/>
  <c r="O4" i="9" s="1"/>
  <c r="P4" i="9" s="1"/>
  <c r="H2" i="9"/>
  <c r="I2" i="9" s="1"/>
  <c r="J2" i="9" s="1"/>
  <c r="K2" i="9" s="1"/>
  <c r="L2" i="9" s="1"/>
  <c r="M2" i="9" s="1"/>
  <c r="N2" i="9" s="1"/>
  <c r="O2" i="9" s="1"/>
  <c r="P2" i="9" s="1"/>
  <c r="K88" i="8"/>
  <c r="K91" i="8" s="1"/>
  <c r="J88" i="8"/>
  <c r="J91" i="8" s="1"/>
  <c r="I88" i="8"/>
  <c r="H88" i="8"/>
  <c r="G88" i="8"/>
  <c r="L82" i="8"/>
  <c r="K78" i="8"/>
  <c r="J78" i="8"/>
  <c r="I76" i="8"/>
  <c r="J74" i="8" s="1"/>
  <c r="J75" i="8"/>
  <c r="K75" i="8" s="1"/>
  <c r="L69" i="8"/>
  <c r="M69" i="8" s="1"/>
  <c r="M83" i="8" s="1"/>
  <c r="J68" i="8"/>
  <c r="J71" i="8" s="1"/>
  <c r="K68" i="8" s="1"/>
  <c r="H65" i="8"/>
  <c r="I64" i="8"/>
  <c r="I65" i="8" s="1"/>
  <c r="J63" i="8" s="1"/>
  <c r="I63" i="8"/>
  <c r="I61" i="8"/>
  <c r="J58" i="8"/>
  <c r="J61" i="8" s="1"/>
  <c r="I55" i="8"/>
  <c r="H55" i="8"/>
  <c r="G55" i="8"/>
  <c r="H53" i="8" s="1"/>
  <c r="J54" i="8"/>
  <c r="K54" i="8" s="1"/>
  <c r="J53" i="8"/>
  <c r="I53" i="8"/>
  <c r="P49" i="8"/>
  <c r="O49" i="8"/>
  <c r="N49" i="8"/>
  <c r="M49" i="8"/>
  <c r="L49" i="8"/>
  <c r="K48" i="8"/>
  <c r="K44" i="8"/>
  <c r="K49" i="8" s="1"/>
  <c r="J44" i="8"/>
  <c r="J49" i="8" s="1"/>
  <c r="I44" i="8"/>
  <c r="H44" i="8"/>
  <c r="G44" i="8"/>
  <c r="K26" i="8"/>
  <c r="J26" i="8"/>
  <c r="J7" i="8" s="1"/>
  <c r="J8" i="8" s="1"/>
  <c r="I26" i="8"/>
  <c r="I7" i="8" s="1"/>
  <c r="H26" i="8"/>
  <c r="H7" i="8" s="1"/>
  <c r="H8" i="8" s="1"/>
  <c r="G26" i="8"/>
  <c r="I8" i="8"/>
  <c r="K7" i="8"/>
  <c r="K8" i="8" s="1"/>
  <c r="G7" i="8"/>
  <c r="G8" i="8" s="1"/>
  <c r="I4" i="8"/>
  <c r="J4" i="8" s="1"/>
  <c r="K4" i="8" s="1"/>
  <c r="L4" i="8" s="1"/>
  <c r="H4" i="8"/>
  <c r="N2" i="8"/>
  <c r="O2" i="8" s="1"/>
  <c r="P2" i="8" s="1"/>
  <c r="H2" i="8"/>
  <c r="I2" i="8" s="1"/>
  <c r="J2" i="8" s="1"/>
  <c r="K2" i="8" s="1"/>
  <c r="L2" i="8" s="1"/>
  <c r="M2" i="8" s="1"/>
  <c r="H4" i="7"/>
  <c r="I4" i="7" s="1"/>
  <c r="J4" i="7" s="1"/>
  <c r="K4" i="7" s="1"/>
  <c r="L4" i="7" s="1"/>
  <c r="M4" i="7" s="1"/>
  <c r="N4" i="7" s="1"/>
  <c r="O4" i="7" s="1"/>
  <c r="P4" i="7" s="1"/>
  <c r="H2" i="7"/>
  <c r="I2" i="7" s="1"/>
  <c r="J2" i="7" s="1"/>
  <c r="K2" i="7" s="1"/>
  <c r="L2" i="7" s="1"/>
  <c r="M2" i="7" s="1"/>
  <c r="N2" i="7" s="1"/>
  <c r="O2" i="7" s="1"/>
  <c r="P2" i="7" s="1"/>
  <c r="K38" i="6"/>
  <c r="J38" i="6"/>
  <c r="I38" i="6"/>
  <c r="H38" i="6"/>
  <c r="G38" i="6"/>
  <c r="K35" i="6"/>
  <c r="J35" i="6"/>
  <c r="I35" i="6"/>
  <c r="H35" i="6"/>
  <c r="G35" i="6"/>
  <c r="K32" i="6"/>
  <c r="J32" i="6"/>
  <c r="I32" i="6"/>
  <c r="H32" i="6"/>
  <c r="G32" i="6"/>
  <c r="K29" i="6"/>
  <c r="J29" i="6"/>
  <c r="I29" i="6"/>
  <c r="H29" i="6"/>
  <c r="G29" i="6"/>
  <c r="K26" i="6"/>
  <c r="J26" i="6"/>
  <c r="I26" i="6"/>
  <c r="H26" i="6"/>
  <c r="G26" i="6"/>
  <c r="K23" i="6"/>
  <c r="J23" i="6"/>
  <c r="I23" i="6"/>
  <c r="H23" i="6"/>
  <c r="G23" i="6"/>
  <c r="K21" i="6"/>
  <c r="J21" i="6"/>
  <c r="I21" i="6"/>
  <c r="H21" i="6"/>
  <c r="G21" i="6"/>
  <c r="K17" i="6"/>
  <c r="J17" i="6"/>
  <c r="I17" i="6"/>
  <c r="H17" i="6"/>
  <c r="G17" i="6"/>
  <c r="K14" i="6"/>
  <c r="J14" i="6"/>
  <c r="I14" i="6"/>
  <c r="H14" i="6"/>
  <c r="G14" i="6"/>
  <c r="I7" i="6"/>
  <c r="K6" i="6"/>
  <c r="K7" i="6" s="1"/>
  <c r="J6" i="6"/>
  <c r="J7" i="6" s="1"/>
  <c r="I6" i="6"/>
  <c r="H6" i="6"/>
  <c r="H7" i="6" s="1"/>
  <c r="G6" i="6"/>
  <c r="G7" i="6" s="1"/>
  <c r="I4" i="6"/>
  <c r="J4" i="6" s="1"/>
  <c r="K4" i="6" s="1"/>
  <c r="L4" i="6" s="1"/>
  <c r="M4" i="6" s="1"/>
  <c r="N4" i="6" s="1"/>
  <c r="O4" i="6" s="1"/>
  <c r="P4" i="6" s="1"/>
  <c r="H4" i="6"/>
  <c r="H2" i="6"/>
  <c r="I2" i="6" s="1"/>
  <c r="J2" i="6" s="1"/>
  <c r="K2" i="6" s="1"/>
  <c r="L2" i="6" s="1"/>
  <c r="M2" i="6" s="1"/>
  <c r="N2" i="6" s="1"/>
  <c r="O2" i="6" s="1"/>
  <c r="P2" i="6" s="1"/>
  <c r="I30" i="5"/>
  <c r="H30" i="5"/>
  <c r="K28" i="5"/>
  <c r="J28" i="5"/>
  <c r="I28" i="5"/>
  <c r="H28" i="5"/>
  <c r="M27" i="5"/>
  <c r="N27" i="5" s="1"/>
  <c r="O27" i="5" s="1"/>
  <c r="P27" i="5" s="1"/>
  <c r="L27" i="5"/>
  <c r="K25" i="5"/>
  <c r="K30" i="5" s="1"/>
  <c r="K31" i="5" s="1"/>
  <c r="J25" i="5"/>
  <c r="J30" i="5" s="1"/>
  <c r="J31" i="5" s="1"/>
  <c r="I25" i="5"/>
  <c r="H25" i="5"/>
  <c r="G25" i="5"/>
  <c r="G30" i="5" s="1"/>
  <c r="K23" i="5"/>
  <c r="J23" i="5"/>
  <c r="I23" i="5"/>
  <c r="H23" i="5"/>
  <c r="L22" i="5"/>
  <c r="M22" i="5" s="1"/>
  <c r="N22" i="5" s="1"/>
  <c r="O22" i="5" s="1"/>
  <c r="P22" i="5" s="1"/>
  <c r="K20" i="5"/>
  <c r="J20" i="5"/>
  <c r="I20" i="5"/>
  <c r="H20" i="5"/>
  <c r="K17" i="5"/>
  <c r="L17" i="5" s="1"/>
  <c r="J17" i="5"/>
  <c r="I17" i="5"/>
  <c r="H17" i="5"/>
  <c r="K14" i="5"/>
  <c r="J14" i="5"/>
  <c r="I14" i="5"/>
  <c r="H14" i="5"/>
  <c r="K10" i="5"/>
  <c r="J10" i="5"/>
  <c r="I10" i="5"/>
  <c r="I11" i="5" s="1"/>
  <c r="H10" i="5"/>
  <c r="G10" i="5"/>
  <c r="K7" i="5"/>
  <c r="J7" i="5"/>
  <c r="I7" i="5"/>
  <c r="H7" i="5"/>
  <c r="L6" i="5"/>
  <c r="M6" i="5" s="1"/>
  <c r="N6" i="5" s="1"/>
  <c r="O6" i="5" s="1"/>
  <c r="H4" i="5"/>
  <c r="I4" i="5" s="1"/>
  <c r="J4" i="5" s="1"/>
  <c r="K4" i="5" s="1"/>
  <c r="L4" i="5" s="1"/>
  <c r="M4" i="5" s="1"/>
  <c r="N4" i="5" s="1"/>
  <c r="O4" i="5" s="1"/>
  <c r="P4" i="5" s="1"/>
  <c r="H2" i="5"/>
  <c r="I2" i="5" s="1"/>
  <c r="J2" i="5" s="1"/>
  <c r="K2" i="5" s="1"/>
  <c r="L2" i="5" s="1"/>
  <c r="M2" i="5" s="1"/>
  <c r="N2" i="5" s="1"/>
  <c r="O2" i="5" s="1"/>
  <c r="P2" i="5" s="1"/>
  <c r="K38" i="4"/>
  <c r="K37" i="4"/>
  <c r="K35" i="4"/>
  <c r="K34" i="4"/>
  <c r="H13" i="4"/>
  <c r="I13" i="4" s="1"/>
  <c r="J13" i="4" s="1"/>
  <c r="K13" i="4" s="1"/>
  <c r="L13" i="4" s="1"/>
  <c r="M13" i="4" s="1"/>
  <c r="N13" i="4" s="1"/>
  <c r="O13" i="4" s="1"/>
  <c r="P13" i="4" s="1"/>
  <c r="H12" i="4"/>
  <c r="I12" i="4" s="1"/>
  <c r="J12" i="4" s="1"/>
  <c r="K12" i="4" s="1"/>
  <c r="L12" i="4" s="1"/>
  <c r="M12" i="4" s="1"/>
  <c r="N12" i="4" s="1"/>
  <c r="O12" i="4" s="1"/>
  <c r="P12" i="4" s="1"/>
  <c r="K56" i="3"/>
  <c r="L55" i="3" s="1"/>
  <c r="L49" i="3"/>
  <c r="P40" i="3"/>
  <c r="O40" i="3"/>
  <c r="N40" i="3"/>
  <c r="M40" i="3"/>
  <c r="L40" i="3"/>
  <c r="C31" i="3"/>
  <c r="C30" i="3"/>
  <c r="C27" i="3"/>
  <c r="C26" i="3"/>
  <c r="C25" i="3"/>
  <c r="C22" i="3"/>
  <c r="M9" i="3"/>
  <c r="N9" i="3" s="1"/>
  <c r="O9" i="3" s="1"/>
  <c r="P9" i="3" s="1"/>
  <c r="L9" i="3"/>
  <c r="I4" i="3"/>
  <c r="J4" i="3" s="1"/>
  <c r="K4" i="3" s="1"/>
  <c r="L4" i="3" s="1"/>
  <c r="M4" i="3" s="1"/>
  <c r="N4" i="3" s="1"/>
  <c r="O4" i="3" s="1"/>
  <c r="P4" i="3" s="1"/>
  <c r="H4" i="3"/>
  <c r="J2" i="3"/>
  <c r="K2" i="3" s="1"/>
  <c r="L2" i="3" s="1"/>
  <c r="M2" i="3" s="1"/>
  <c r="N2" i="3" s="1"/>
  <c r="O2" i="3" s="1"/>
  <c r="P2" i="3" s="1"/>
  <c r="H2" i="3"/>
  <c r="I2" i="3" s="1"/>
  <c r="K60" i="2"/>
  <c r="K58" i="2"/>
  <c r="J58" i="2"/>
  <c r="I58" i="2"/>
  <c r="H58" i="2"/>
  <c r="G58" i="2"/>
  <c r="L57" i="2"/>
  <c r="M57" i="2" s="1"/>
  <c r="N57" i="2" s="1"/>
  <c r="O57" i="2" s="1"/>
  <c r="P57" i="2" s="1"/>
  <c r="L56" i="2"/>
  <c r="M56" i="2" s="1"/>
  <c r="M55" i="2"/>
  <c r="L55" i="2"/>
  <c r="L31" i="3" s="1"/>
  <c r="L52" i="2"/>
  <c r="K48" i="2"/>
  <c r="J48" i="2"/>
  <c r="I48" i="2"/>
  <c r="H48" i="2"/>
  <c r="G48" i="2"/>
  <c r="M47" i="2"/>
  <c r="N47" i="2" s="1"/>
  <c r="O47" i="2" s="1"/>
  <c r="P47" i="2" s="1"/>
  <c r="L47" i="2"/>
  <c r="P46" i="2"/>
  <c r="L46" i="2"/>
  <c r="M46" i="2" s="1"/>
  <c r="N46" i="2" s="1"/>
  <c r="O46" i="2" s="1"/>
  <c r="M45" i="2"/>
  <c r="N45" i="2" s="1"/>
  <c r="O45" i="2" s="1"/>
  <c r="P45" i="2" s="1"/>
  <c r="L45" i="2"/>
  <c r="K40" i="2"/>
  <c r="J40" i="2"/>
  <c r="J25" i="7" s="1"/>
  <c r="I40" i="2"/>
  <c r="I25" i="7" s="1"/>
  <c r="H40" i="2"/>
  <c r="H25" i="7" s="1"/>
  <c r="G40" i="2"/>
  <c r="G25" i="7" s="1"/>
  <c r="K32" i="2"/>
  <c r="K34" i="2" s="1"/>
  <c r="J32" i="2"/>
  <c r="I32" i="2"/>
  <c r="H32" i="2"/>
  <c r="G32" i="2"/>
  <c r="G34" i="2" s="1"/>
  <c r="M31" i="2"/>
  <c r="N31" i="2" s="1"/>
  <c r="L31" i="2"/>
  <c r="L26" i="3" s="1"/>
  <c r="L30" i="2"/>
  <c r="M30" i="2" s="1"/>
  <c r="N30" i="2" s="1"/>
  <c r="O30" i="2" s="1"/>
  <c r="P30" i="2" s="1"/>
  <c r="P26" i="2"/>
  <c r="O26" i="2"/>
  <c r="N26" i="2"/>
  <c r="M26" i="2"/>
  <c r="L26" i="2"/>
  <c r="L24" i="2"/>
  <c r="L41" i="3" s="1"/>
  <c r="M22" i="2"/>
  <c r="N22" i="2" s="1"/>
  <c r="O22" i="2" s="1"/>
  <c r="P22" i="2" s="1"/>
  <c r="L22" i="2"/>
  <c r="K17" i="2"/>
  <c r="J17" i="2"/>
  <c r="I17" i="2"/>
  <c r="H17" i="2"/>
  <c r="G17" i="2"/>
  <c r="Q16" i="2"/>
  <c r="M16" i="2"/>
  <c r="N16" i="2" s="1"/>
  <c r="O16" i="2" s="1"/>
  <c r="P16" i="2" s="1"/>
  <c r="L16" i="2"/>
  <c r="Q15" i="2"/>
  <c r="L15" i="2"/>
  <c r="M15" i="2" s="1"/>
  <c r="N15" i="2" s="1"/>
  <c r="O15" i="2" s="1"/>
  <c r="P15" i="2" s="1"/>
  <c r="L14" i="2"/>
  <c r="M14" i="2" s="1"/>
  <c r="N14" i="2" s="1"/>
  <c r="O14" i="2" s="1"/>
  <c r="P14" i="2" s="1"/>
  <c r="L13" i="2"/>
  <c r="M13" i="2" s="1"/>
  <c r="N13" i="2" s="1"/>
  <c r="O13" i="2" s="1"/>
  <c r="P13" i="2" s="1"/>
  <c r="L10" i="2"/>
  <c r="M10" i="2" s="1"/>
  <c r="N10" i="2" s="1"/>
  <c r="O10" i="2" s="1"/>
  <c r="P10" i="2" s="1"/>
  <c r="L8" i="2"/>
  <c r="M8" i="2" s="1"/>
  <c r="N8" i="2" s="1"/>
  <c r="O8" i="2" s="1"/>
  <c r="P8" i="2" s="1"/>
  <c r="G4" i="2"/>
  <c r="H4" i="2" s="1"/>
  <c r="I4" i="2" s="1"/>
  <c r="J4" i="2" s="1"/>
  <c r="K4" i="2" s="1"/>
  <c r="L4" i="2" s="1"/>
  <c r="M4" i="2" s="1"/>
  <c r="N4" i="2" s="1"/>
  <c r="O4" i="2" s="1"/>
  <c r="P4" i="2" s="1"/>
  <c r="G2" i="2"/>
  <c r="H2" i="2" s="1"/>
  <c r="I2" i="2" s="1"/>
  <c r="J2" i="2" s="1"/>
  <c r="K2" i="2" s="1"/>
  <c r="L2" i="2" s="1"/>
  <c r="M2" i="2" s="1"/>
  <c r="N2" i="2" s="1"/>
  <c r="O2" i="2" s="1"/>
  <c r="P2" i="2" s="1"/>
  <c r="K32" i="1"/>
  <c r="J32" i="1"/>
  <c r="I32" i="1"/>
  <c r="H32" i="1"/>
  <c r="G32" i="1"/>
  <c r="L31" i="1"/>
  <c r="M31" i="1" s="1"/>
  <c r="N31" i="1" s="1"/>
  <c r="O31" i="1" s="1"/>
  <c r="P31" i="1" s="1"/>
  <c r="L30" i="1"/>
  <c r="M30" i="1" s="1"/>
  <c r="N30" i="1" s="1"/>
  <c r="O30" i="1" s="1"/>
  <c r="P30" i="1" s="1"/>
  <c r="P25" i="1"/>
  <c r="O25" i="1"/>
  <c r="N25" i="1"/>
  <c r="M25" i="1"/>
  <c r="L25" i="1"/>
  <c r="K18" i="1"/>
  <c r="J18" i="1"/>
  <c r="I18" i="1"/>
  <c r="H18" i="1"/>
  <c r="G18" i="1"/>
  <c r="K7" i="1"/>
  <c r="K20" i="1" s="1"/>
  <c r="J7" i="1"/>
  <c r="I7" i="1"/>
  <c r="H7" i="1"/>
  <c r="G7" i="1"/>
  <c r="H4" i="1"/>
  <c r="I4" i="1" s="1"/>
  <c r="J4" i="1" s="1"/>
  <c r="K4" i="1" s="1"/>
  <c r="L4" i="1" s="1"/>
  <c r="M4" i="1" s="1"/>
  <c r="N4" i="1" s="1"/>
  <c r="O4" i="1" s="1"/>
  <c r="P4" i="1" s="1"/>
  <c r="H2" i="1"/>
  <c r="I2" i="1" s="1"/>
  <c r="J2" i="1" s="1"/>
  <c r="K2" i="1" s="1"/>
  <c r="L2" i="1" s="1"/>
  <c r="M2" i="1" s="1"/>
  <c r="N2" i="1" s="1"/>
  <c r="O2" i="1" s="1"/>
  <c r="P2" i="1" s="1"/>
  <c r="M6" i="11" l="1"/>
  <c r="G3" i="4" s="1"/>
  <c r="G5" i="4" s="1"/>
  <c r="M4" i="8"/>
  <c r="L95" i="8"/>
  <c r="L100" i="8" s="1"/>
  <c r="L86" i="8" s="1"/>
  <c r="L87" i="8" s="1"/>
  <c r="L48" i="3" s="1"/>
  <c r="L25" i="2"/>
  <c r="L25" i="3" s="1"/>
  <c r="M11" i="10"/>
  <c r="H34" i="2"/>
  <c r="H41" i="6"/>
  <c r="J48" i="8"/>
  <c r="N69" i="8"/>
  <c r="J76" i="8"/>
  <c r="K74" i="8" s="1"/>
  <c r="L83" i="8"/>
  <c r="T90" i="8" s="1"/>
  <c r="M26" i="3"/>
  <c r="J60" i="2"/>
  <c r="L15" i="10"/>
  <c r="G20" i="1"/>
  <c r="G28" i="7" s="1"/>
  <c r="I20" i="1"/>
  <c r="H31" i="5"/>
  <c r="L7" i="6"/>
  <c r="J41" i="6"/>
  <c r="K58" i="8"/>
  <c r="H60" i="2"/>
  <c r="G27" i="7"/>
  <c r="G6" i="7"/>
  <c r="G26" i="7"/>
  <c r="G23" i="1"/>
  <c r="H11" i="7"/>
  <c r="H30" i="6"/>
  <c r="H11" i="6"/>
  <c r="H16" i="10"/>
  <c r="H39" i="6"/>
  <c r="H33" i="6"/>
  <c r="H27" i="6"/>
  <c r="H20" i="1"/>
  <c r="M31" i="3"/>
  <c r="N55" i="2"/>
  <c r="I60" i="2"/>
  <c r="G60" i="2"/>
  <c r="M32" i="3"/>
  <c r="N56" i="2"/>
  <c r="L47" i="3"/>
  <c r="M52" i="2"/>
  <c r="J16" i="10"/>
  <c r="J36" i="6"/>
  <c r="J11" i="6"/>
  <c r="J11" i="7"/>
  <c r="J20" i="1"/>
  <c r="I28" i="7"/>
  <c r="I26" i="7"/>
  <c r="I6" i="7"/>
  <c r="I27" i="7"/>
  <c r="I12" i="7"/>
  <c r="I23" i="1"/>
  <c r="O26" i="3"/>
  <c r="I18" i="7"/>
  <c r="I17" i="7"/>
  <c r="I34" i="2"/>
  <c r="L32" i="3"/>
  <c r="K27" i="7"/>
  <c r="K6" i="7"/>
  <c r="K28" i="7"/>
  <c r="K26" i="7"/>
  <c r="K12" i="7"/>
  <c r="K23" i="1"/>
  <c r="O31" i="2"/>
  <c r="K25" i="7"/>
  <c r="G8" i="4"/>
  <c r="K11" i="5"/>
  <c r="L10" i="5"/>
  <c r="H42" i="6"/>
  <c r="G16" i="10"/>
  <c r="G39" i="6"/>
  <c r="G27" i="6"/>
  <c r="G11" i="6"/>
  <c r="K39" i="6"/>
  <c r="L39" i="6" s="1"/>
  <c r="K27" i="6"/>
  <c r="K16" i="10"/>
  <c r="K11" i="7"/>
  <c r="K11" i="6"/>
  <c r="J17" i="7"/>
  <c r="J18" i="7"/>
  <c r="H11" i="5"/>
  <c r="L16" i="5"/>
  <c r="M17" i="5"/>
  <c r="N17" i="5" s="1"/>
  <c r="O17" i="5" s="1"/>
  <c r="P17" i="5" s="1"/>
  <c r="G30" i="6"/>
  <c r="K30" i="6"/>
  <c r="J33" i="6"/>
  <c r="I36" i="6"/>
  <c r="K17" i="7"/>
  <c r="K18" i="7"/>
  <c r="N26" i="3"/>
  <c r="J42" i="6"/>
  <c r="G17" i="7"/>
  <c r="G18" i="7"/>
  <c r="I16" i="10"/>
  <c r="I11" i="7"/>
  <c r="I33" i="6"/>
  <c r="I11" i="6"/>
  <c r="M24" i="2"/>
  <c r="M41" i="3" s="1"/>
  <c r="H18" i="7"/>
  <c r="H17" i="7"/>
  <c r="J34" i="2"/>
  <c r="P6" i="5"/>
  <c r="M7" i="6"/>
  <c r="N7" i="6"/>
  <c r="J27" i="6"/>
  <c r="I30" i="6"/>
  <c r="G36" i="6"/>
  <c r="K36" i="6"/>
  <c r="J39" i="6"/>
  <c r="I41" i="6"/>
  <c r="I42" i="6" s="1"/>
  <c r="I27" i="6"/>
  <c r="G33" i="6"/>
  <c r="K33" i="6"/>
  <c r="J50" i="8"/>
  <c r="K47" i="8" s="1"/>
  <c r="J55" i="8"/>
  <c r="K53" i="8" s="1"/>
  <c r="M8" i="10"/>
  <c r="I31" i="5"/>
  <c r="G41" i="6"/>
  <c r="G42" i="6" s="1"/>
  <c r="K41" i="6"/>
  <c r="K42" i="6" s="1"/>
  <c r="J30" i="6"/>
  <c r="M96" i="8"/>
  <c r="M95" i="8"/>
  <c r="M100" i="8" s="1"/>
  <c r="M86" i="8" s="1"/>
  <c r="M87" i="8" s="1"/>
  <c r="M48" i="3" s="1"/>
  <c r="N4" i="8"/>
  <c r="J11" i="5"/>
  <c r="I39" i="6"/>
  <c r="N83" i="8"/>
  <c r="O69" i="8"/>
  <c r="M15" i="10"/>
  <c r="N15" i="10" s="1"/>
  <c r="L20" i="5"/>
  <c r="H36" i="6"/>
  <c r="K76" i="8"/>
  <c r="L72" i="8" s="1"/>
  <c r="K71" i="8"/>
  <c r="L68" i="8" s="1"/>
  <c r="H15" i="9"/>
  <c r="I10" i="9"/>
  <c r="I12" i="9" s="1"/>
  <c r="L7" i="10"/>
  <c r="J64" i="8"/>
  <c r="N11" i="10" l="1"/>
  <c r="M25" i="2"/>
  <c r="O15" i="10"/>
  <c r="L16" i="10"/>
  <c r="K61" i="8"/>
  <c r="L58" i="8"/>
  <c r="L88" i="8"/>
  <c r="L71" i="8"/>
  <c r="M68" i="8" s="1"/>
  <c r="M7" i="10"/>
  <c r="N24" i="2"/>
  <c r="M16" i="5"/>
  <c r="N16" i="5" s="1"/>
  <c r="O16" i="5" s="1"/>
  <c r="P16" i="5" s="1"/>
  <c r="M10" i="5"/>
  <c r="L13" i="5"/>
  <c r="P31" i="2"/>
  <c r="P26" i="3" s="1"/>
  <c r="J28" i="7"/>
  <c r="J27" i="7"/>
  <c r="J26" i="7"/>
  <c r="J12" i="7"/>
  <c r="J6" i="7"/>
  <c r="J23" i="1"/>
  <c r="K13" i="7" s="1"/>
  <c r="O56" i="2"/>
  <c r="N32" i="3"/>
  <c r="N31" i="3"/>
  <c r="O55" i="2"/>
  <c r="M20" i="5"/>
  <c r="N20" i="5" s="1"/>
  <c r="O20" i="5" s="1"/>
  <c r="P20" i="5" s="1"/>
  <c r="L19" i="5"/>
  <c r="M19" i="5" s="1"/>
  <c r="N19" i="5" s="1"/>
  <c r="O19" i="5" s="1"/>
  <c r="P19" i="5" s="1"/>
  <c r="L75" i="8"/>
  <c r="L76" i="8" s="1"/>
  <c r="O83" i="8"/>
  <c r="P69" i="8"/>
  <c r="P83" i="8" s="1"/>
  <c r="K50" i="8"/>
  <c r="L47" i="8"/>
  <c r="K55" i="8"/>
  <c r="L51" i="8" s="1"/>
  <c r="L54" i="8" s="1"/>
  <c r="M47" i="3"/>
  <c r="N52" i="2"/>
  <c r="J65" i="8"/>
  <c r="K63" i="8" s="1"/>
  <c r="K64" i="8"/>
  <c r="N8" i="10"/>
  <c r="O8" i="10" s="1"/>
  <c r="I15" i="9"/>
  <c r="J10" i="9"/>
  <c r="J12" i="9" s="1"/>
  <c r="P15" i="10"/>
  <c r="N96" i="8"/>
  <c r="N95" i="8"/>
  <c r="N97" i="8"/>
  <c r="O4" i="8"/>
  <c r="O7" i="6"/>
  <c r="P7" i="6" s="1"/>
  <c r="M39" i="6"/>
  <c r="G9" i="4"/>
  <c r="K7" i="7"/>
  <c r="K26" i="1"/>
  <c r="I7" i="7"/>
  <c r="I26" i="1"/>
  <c r="H12" i="7"/>
  <c r="H27" i="7"/>
  <c r="H28" i="7"/>
  <c r="H6" i="7"/>
  <c r="H26" i="7"/>
  <c r="H23" i="1"/>
  <c r="M16" i="10"/>
  <c r="N16" i="10" s="1"/>
  <c r="G7" i="7"/>
  <c r="G26" i="1"/>
  <c r="M82" i="8" l="1"/>
  <c r="M88" i="8" s="1"/>
  <c r="L44" i="2"/>
  <c r="L48" i="2" s="1"/>
  <c r="L90" i="8"/>
  <c r="L24" i="1" s="1"/>
  <c r="L61" i="8"/>
  <c r="M58" i="8"/>
  <c r="M25" i="3"/>
  <c r="N100" i="8"/>
  <c r="N86" i="8" s="1"/>
  <c r="N87" i="8" s="1"/>
  <c r="N48" i="3" s="1"/>
  <c r="O11" i="10"/>
  <c r="N25" i="2"/>
  <c r="M72" i="8"/>
  <c r="L11" i="2"/>
  <c r="G21" i="7"/>
  <c r="G8" i="7"/>
  <c r="G34" i="1"/>
  <c r="G37" i="1"/>
  <c r="O24" i="2"/>
  <c r="O97" i="8"/>
  <c r="P4" i="8"/>
  <c r="O96" i="8"/>
  <c r="O98" i="8"/>
  <c r="O95" i="8"/>
  <c r="O100" i="8" s="1"/>
  <c r="O86" i="8" s="1"/>
  <c r="O87" i="8" s="1"/>
  <c r="O48" i="3" s="1"/>
  <c r="O32" i="3"/>
  <c r="P56" i="2"/>
  <c r="P32" i="3" s="1"/>
  <c r="N41" i="3"/>
  <c r="M71" i="8"/>
  <c r="N68" i="8" s="1"/>
  <c r="N7" i="10"/>
  <c r="O7" i="10" s="1"/>
  <c r="P7" i="10" s="1"/>
  <c r="K8" i="7"/>
  <c r="K21" i="7"/>
  <c r="K34" i="1"/>
  <c r="K37" i="1"/>
  <c r="L37" i="1" s="1"/>
  <c r="G7" i="4" s="1"/>
  <c r="J7" i="7"/>
  <c r="J13" i="7"/>
  <c r="J26" i="1"/>
  <c r="K14" i="7" s="1"/>
  <c r="L14" i="5"/>
  <c r="L25" i="5"/>
  <c r="I21" i="7"/>
  <c r="I8" i="7"/>
  <c r="I37" i="1"/>
  <c r="I34" i="1"/>
  <c r="M90" i="8"/>
  <c r="M24" i="1" s="1"/>
  <c r="N82" i="8"/>
  <c r="M44" i="2"/>
  <c r="N10" i="5"/>
  <c r="M13" i="5"/>
  <c r="P8" i="10"/>
  <c r="H7" i="7"/>
  <c r="H13" i="7"/>
  <c r="H26" i="1"/>
  <c r="I13" i="7"/>
  <c r="N39" i="6"/>
  <c r="K10" i="9"/>
  <c r="K12" i="9" s="1"/>
  <c r="J15" i="9"/>
  <c r="K65" i="8"/>
  <c r="L62" i="8" s="1"/>
  <c r="L78" i="8" s="1"/>
  <c r="L21" i="1" s="1"/>
  <c r="O52" i="2"/>
  <c r="N47" i="3"/>
  <c r="O31" i="3"/>
  <c r="P55" i="2"/>
  <c r="P31" i="3" s="1"/>
  <c r="O16" i="10"/>
  <c r="L8" i="3" l="1"/>
  <c r="L50" i="3"/>
  <c r="N25" i="3"/>
  <c r="L64" i="8"/>
  <c r="N88" i="8"/>
  <c r="N44" i="2" s="1"/>
  <c r="P11" i="10"/>
  <c r="P25" i="2" s="1"/>
  <c r="O25" i="2"/>
  <c r="P25" i="3" s="1"/>
  <c r="M61" i="8"/>
  <c r="N58" i="8"/>
  <c r="L30" i="5"/>
  <c r="L31" i="5" s="1"/>
  <c r="L6" i="1"/>
  <c r="P99" i="8"/>
  <c r="P98" i="8"/>
  <c r="P96" i="8"/>
  <c r="P97" i="8"/>
  <c r="P95" i="8"/>
  <c r="M48" i="2"/>
  <c r="I23" i="7"/>
  <c r="I20" i="7"/>
  <c r="I9" i="7"/>
  <c r="I22" i="7"/>
  <c r="N71" i="8"/>
  <c r="O68" i="8" s="1"/>
  <c r="P16" i="10"/>
  <c r="L65" i="8"/>
  <c r="H8" i="7"/>
  <c r="H14" i="7"/>
  <c r="H21" i="7"/>
  <c r="H34" i="1"/>
  <c r="H37" i="1"/>
  <c r="J14" i="7"/>
  <c r="J21" i="7"/>
  <c r="J8" i="7"/>
  <c r="J37" i="1"/>
  <c r="J34" i="1"/>
  <c r="K15" i="7" s="1"/>
  <c r="G10" i="4"/>
  <c r="M37" i="1"/>
  <c r="N37" i="1" s="1"/>
  <c r="O37" i="1" s="1"/>
  <c r="P37" i="1" s="1"/>
  <c r="P24" i="2"/>
  <c r="P41" i="3" s="1"/>
  <c r="G22" i="7"/>
  <c r="G20" i="7"/>
  <c r="G9" i="7"/>
  <c r="G23" i="7"/>
  <c r="O10" i="5"/>
  <c r="N13" i="5"/>
  <c r="O47" i="3"/>
  <c r="P52" i="2"/>
  <c r="L10" i="9"/>
  <c r="L12" i="9" s="1"/>
  <c r="K15" i="9"/>
  <c r="K42" i="4" s="1"/>
  <c r="N90" i="8"/>
  <c r="N24" i="1" s="1"/>
  <c r="O82" i="8"/>
  <c r="O88" i="8" s="1"/>
  <c r="L17" i="4"/>
  <c r="L7" i="3"/>
  <c r="O39" i="6"/>
  <c r="M25" i="5"/>
  <c r="M14" i="5"/>
  <c r="M50" i="3"/>
  <c r="M8" i="3"/>
  <c r="I14" i="7"/>
  <c r="K22" i="7"/>
  <c r="K20" i="7"/>
  <c r="K23" i="7"/>
  <c r="K9" i="7"/>
  <c r="K30" i="9"/>
  <c r="O41" i="3"/>
  <c r="M75" i="8"/>
  <c r="M76" i="8" s="1"/>
  <c r="O25" i="3" l="1"/>
  <c r="N61" i="8"/>
  <c r="O58" i="8"/>
  <c r="M30" i="5"/>
  <c r="M31" i="5" s="1"/>
  <c r="M6" i="1"/>
  <c r="N48" i="2"/>
  <c r="L15" i="9"/>
  <c r="L38" i="2" s="1"/>
  <c r="M10" i="9"/>
  <c r="M12" i="9" s="1"/>
  <c r="N14" i="5"/>
  <c r="N25" i="5"/>
  <c r="P100" i="8"/>
  <c r="P86" i="8" s="1"/>
  <c r="P87" i="8" s="1"/>
  <c r="P48" i="3" s="1"/>
  <c r="N72" i="8"/>
  <c r="M11" i="2"/>
  <c r="P39" i="6"/>
  <c r="H23" i="7"/>
  <c r="H22" i="7"/>
  <c r="H15" i="7"/>
  <c r="H20" i="7"/>
  <c r="H9" i="7"/>
  <c r="M62" i="8"/>
  <c r="L9" i="2"/>
  <c r="O71" i="8"/>
  <c r="P68" i="8" s="1"/>
  <c r="I15" i="7"/>
  <c r="L27" i="2"/>
  <c r="L7" i="1"/>
  <c r="L6" i="6"/>
  <c r="L10" i="1" s="1"/>
  <c r="P82" i="8"/>
  <c r="O90" i="8"/>
  <c r="O24" i="1" s="1"/>
  <c r="O44" i="2"/>
  <c r="P47" i="3"/>
  <c r="P10" i="5"/>
  <c r="P13" i="5" s="1"/>
  <c r="O13" i="5"/>
  <c r="N50" i="3"/>
  <c r="N8" i="3"/>
  <c r="J9" i="7"/>
  <c r="J15" i="7"/>
  <c r="J22" i="7"/>
  <c r="J20" i="7"/>
  <c r="J23" i="7"/>
  <c r="P58" i="8" l="1"/>
  <c r="P61" i="8" s="1"/>
  <c r="O61" i="8"/>
  <c r="P88" i="8"/>
  <c r="M15" i="9"/>
  <c r="M38" i="2" s="1"/>
  <c r="N10" i="9"/>
  <c r="N12" i="9" s="1"/>
  <c r="P14" i="5"/>
  <c r="P25" i="5"/>
  <c r="O50" i="3"/>
  <c r="O8" i="3"/>
  <c r="L22" i="3"/>
  <c r="L45" i="3"/>
  <c r="L51" i="3" s="1"/>
  <c r="O14" i="5"/>
  <c r="O25" i="5"/>
  <c r="M64" i="8"/>
  <c r="N75" i="8"/>
  <c r="N76" i="8" s="1"/>
  <c r="N30" i="5"/>
  <c r="N31" i="5" s="1"/>
  <c r="N6" i="1"/>
  <c r="M7" i="1"/>
  <c r="M6" i="6"/>
  <c r="M10" i="1" s="1"/>
  <c r="M27" i="2"/>
  <c r="M22" i="3" s="1"/>
  <c r="O48" i="2"/>
  <c r="L35" i="6"/>
  <c r="L16" i="1" s="1"/>
  <c r="L29" i="6"/>
  <c r="L14" i="1" s="1"/>
  <c r="L26" i="6"/>
  <c r="L13" i="1" s="1"/>
  <c r="L11" i="7"/>
  <c r="L7" i="8"/>
  <c r="L32" i="6"/>
  <c r="L15" i="1" s="1"/>
  <c r="L10" i="6"/>
  <c r="L38" i="6"/>
  <c r="L17" i="1" s="1"/>
  <c r="L54" i="2"/>
  <c r="L29" i="3" s="1"/>
  <c r="P90" i="8"/>
  <c r="P24" i="1" s="1"/>
  <c r="P44" i="2"/>
  <c r="L29" i="2"/>
  <c r="L28" i="2"/>
  <c r="L53" i="2"/>
  <c r="L20" i="2"/>
  <c r="P71" i="8"/>
  <c r="P50" i="3" l="1"/>
  <c r="P8" i="3"/>
  <c r="M7" i="8"/>
  <c r="M11" i="7"/>
  <c r="M32" i="6"/>
  <c r="M15" i="1" s="1"/>
  <c r="M35" i="6"/>
  <c r="M16" i="1" s="1"/>
  <c r="M29" i="6"/>
  <c r="M14" i="1" s="1"/>
  <c r="M10" i="6"/>
  <c r="M26" i="6"/>
  <c r="M13" i="1" s="1"/>
  <c r="M38" i="6"/>
  <c r="M17" i="1" s="1"/>
  <c r="M54" i="2"/>
  <c r="M29" i="3" s="1"/>
  <c r="P30" i="5"/>
  <c r="P6" i="1"/>
  <c r="N7" i="1"/>
  <c r="N6" i="6"/>
  <c r="N10" i="1" s="1"/>
  <c r="N27" i="2"/>
  <c r="N22" i="3" s="1"/>
  <c r="L23" i="3"/>
  <c r="L24" i="3"/>
  <c r="L19" i="4"/>
  <c r="L26" i="8"/>
  <c r="M65" i="8"/>
  <c r="O10" i="9"/>
  <c r="O12" i="9" s="1"/>
  <c r="N15" i="9"/>
  <c r="N38" i="2" s="1"/>
  <c r="L20" i="6"/>
  <c r="L13" i="6"/>
  <c r="L16" i="6"/>
  <c r="L27" i="3"/>
  <c r="L30" i="3"/>
  <c r="L58" i="2"/>
  <c r="P48" i="2"/>
  <c r="M28" i="2"/>
  <c r="M23" i="3" s="1"/>
  <c r="M29" i="2"/>
  <c r="M24" i="3" s="1"/>
  <c r="M53" i="2"/>
  <c r="M20" i="2"/>
  <c r="M27" i="3" s="1"/>
  <c r="O72" i="8"/>
  <c r="N11" i="2"/>
  <c r="O30" i="5"/>
  <c r="O31" i="5" s="1"/>
  <c r="O6" i="1"/>
  <c r="L20" i="10"/>
  <c r="L18" i="4" s="1"/>
  <c r="M45" i="3"/>
  <c r="M20" i="10" l="1"/>
  <c r="M18" i="4" s="1"/>
  <c r="O75" i="8"/>
  <c r="O76" i="8" s="1"/>
  <c r="P10" i="9"/>
  <c r="P12" i="9" s="1"/>
  <c r="P15" i="9" s="1"/>
  <c r="P38" i="2" s="1"/>
  <c r="O15" i="9"/>
  <c r="O38" i="2" s="1"/>
  <c r="L48" i="8"/>
  <c r="L39" i="3"/>
  <c r="L42" i="3" s="1"/>
  <c r="N7" i="8"/>
  <c r="N11" i="7"/>
  <c r="N29" i="6"/>
  <c r="N14" i="1" s="1"/>
  <c r="N35" i="6"/>
  <c r="N16" i="1" s="1"/>
  <c r="N10" i="6"/>
  <c r="N32" i="6"/>
  <c r="N15" i="1" s="1"/>
  <c r="N26" i="6"/>
  <c r="N13" i="1" s="1"/>
  <c r="N54" i="2"/>
  <c r="N29" i="3" s="1"/>
  <c r="N38" i="6"/>
  <c r="N17" i="1" s="1"/>
  <c r="M26" i="8"/>
  <c r="M19" i="4"/>
  <c r="P7" i="1"/>
  <c r="P6" i="6"/>
  <c r="P10" i="1" s="1"/>
  <c r="P27" i="2"/>
  <c r="N45" i="3"/>
  <c r="N29" i="2"/>
  <c r="N28" i="2"/>
  <c r="N53" i="2"/>
  <c r="N20" i="2"/>
  <c r="N27" i="3" s="1"/>
  <c r="M20" i="6"/>
  <c r="M16" i="6"/>
  <c r="M13" i="6"/>
  <c r="O7" i="1"/>
  <c r="O27" i="2"/>
  <c r="O6" i="6"/>
  <c r="O10" i="1" s="1"/>
  <c r="M30" i="3"/>
  <c r="M58" i="2"/>
  <c r="L23" i="6"/>
  <c r="N62" i="8"/>
  <c r="M9" i="2"/>
  <c r="P31" i="5"/>
  <c r="N20" i="10" l="1"/>
  <c r="N18" i="4" s="1"/>
  <c r="M23" i="6"/>
  <c r="M41" i="6" s="1"/>
  <c r="M42" i="6" s="1"/>
  <c r="N64" i="8"/>
  <c r="L41" i="6"/>
  <c r="L42" i="6" s="1"/>
  <c r="L11" i="1"/>
  <c r="L18" i="1" s="1"/>
  <c r="L20" i="1" s="1"/>
  <c r="O32" i="6"/>
  <c r="O15" i="1" s="1"/>
  <c r="O7" i="8"/>
  <c r="O26" i="6"/>
  <c r="O13" i="1" s="1"/>
  <c r="O11" i="7"/>
  <c r="O10" i="6"/>
  <c r="O35" i="6"/>
  <c r="O16" i="1" s="1"/>
  <c r="O29" i="6"/>
  <c r="O14" i="1" s="1"/>
  <c r="O54" i="2"/>
  <c r="O29" i="3" s="1"/>
  <c r="O38" i="6"/>
  <c r="O17" i="1" s="1"/>
  <c r="P29" i="2"/>
  <c r="P28" i="2"/>
  <c r="P53" i="2"/>
  <c r="P20" i="2"/>
  <c r="N24" i="3"/>
  <c r="M11" i="1"/>
  <c r="M18" i="1" s="1"/>
  <c r="M20" i="1" s="1"/>
  <c r="N30" i="3"/>
  <c r="N58" i="2"/>
  <c r="P35" i="6"/>
  <c r="P16" i="1" s="1"/>
  <c r="P11" i="7"/>
  <c r="P29" i="6"/>
  <c r="P14" i="1" s="1"/>
  <c r="P32" i="6"/>
  <c r="P15" i="1" s="1"/>
  <c r="P10" i="6"/>
  <c r="P7" i="8"/>
  <c r="P26" i="6"/>
  <c r="P13" i="1" s="1"/>
  <c r="P54" i="2"/>
  <c r="P38" i="6"/>
  <c r="P17" i="1" s="1"/>
  <c r="M48" i="8"/>
  <c r="M39" i="3"/>
  <c r="M42" i="3" s="1"/>
  <c r="L55" i="8"/>
  <c r="L50" i="8"/>
  <c r="M47" i="8"/>
  <c r="P22" i="3"/>
  <c r="N16" i="6"/>
  <c r="N20" i="6"/>
  <c r="N13" i="6"/>
  <c r="N26" i="8"/>
  <c r="N19" i="4"/>
  <c r="P45" i="3"/>
  <c r="O22" i="3"/>
  <c r="O29" i="2"/>
  <c r="O28" i="2"/>
  <c r="O53" i="2"/>
  <c r="O20" i="2"/>
  <c r="N23" i="3"/>
  <c r="O45" i="3"/>
  <c r="P72" i="8"/>
  <c r="O11" i="2"/>
  <c r="P20" i="10" l="1"/>
  <c r="P18" i="4" s="1"/>
  <c r="P23" i="3"/>
  <c r="P29" i="3"/>
  <c r="P24" i="3"/>
  <c r="P26" i="8"/>
  <c r="P19" i="4"/>
  <c r="O30" i="3"/>
  <c r="O58" i="2"/>
  <c r="N48" i="8"/>
  <c r="N39" i="3"/>
  <c r="N42" i="3" s="1"/>
  <c r="O20" i="10"/>
  <c r="O18" i="4" s="1"/>
  <c r="M51" i="8"/>
  <c r="L7" i="2"/>
  <c r="L17" i="2" s="1"/>
  <c r="P20" i="6"/>
  <c r="P13" i="6"/>
  <c r="P16" i="6"/>
  <c r="M28" i="7"/>
  <c r="M27" i="7"/>
  <c r="M12" i="7"/>
  <c r="M6" i="7"/>
  <c r="M26" i="7"/>
  <c r="O26" i="8"/>
  <c r="O19" i="4"/>
  <c r="P30" i="3"/>
  <c r="P58" i="2"/>
  <c r="O24" i="3"/>
  <c r="O20" i="6"/>
  <c r="O16" i="6"/>
  <c r="O13" i="6"/>
  <c r="N65" i="8"/>
  <c r="P27" i="3"/>
  <c r="O27" i="3"/>
  <c r="P75" i="8"/>
  <c r="P76" i="8" s="1"/>
  <c r="P11" i="2" s="1"/>
  <c r="O23" i="3"/>
  <c r="N23" i="6"/>
  <c r="M50" i="8"/>
  <c r="N47" i="8"/>
  <c r="L28" i="7"/>
  <c r="L12" i="7"/>
  <c r="L6" i="7"/>
  <c r="L27" i="7"/>
  <c r="L23" i="1"/>
  <c r="L26" i="7"/>
  <c r="M54" i="8" l="1"/>
  <c r="M78" i="8"/>
  <c r="M21" i="1" s="1"/>
  <c r="N41" i="6"/>
  <c r="N42" i="6" s="1"/>
  <c r="N11" i="1"/>
  <c r="N18" i="1" s="1"/>
  <c r="N20" i="1" s="1"/>
  <c r="L13" i="7"/>
  <c r="L7" i="7"/>
  <c r="L26" i="1"/>
  <c r="P23" i="6"/>
  <c r="O48" i="8"/>
  <c r="O39" i="3"/>
  <c r="O42" i="3" s="1"/>
  <c r="N50" i="8"/>
  <c r="O47" i="8"/>
  <c r="O62" i="8"/>
  <c r="N9" i="2"/>
  <c r="O23" i="6"/>
  <c r="P48" i="8"/>
  <c r="P39" i="3"/>
  <c r="P42" i="3" s="1"/>
  <c r="O64" i="8" l="1"/>
  <c r="L8" i="7"/>
  <c r="L15" i="4"/>
  <c r="L16" i="4" s="1"/>
  <c r="L20" i="4" s="1"/>
  <c r="L25" i="4" s="1"/>
  <c r="L14" i="7"/>
  <c r="L29" i="1"/>
  <c r="L32" i="1" s="1"/>
  <c r="L35" i="3" s="1"/>
  <c r="L6" i="3"/>
  <c r="L20" i="3" s="1"/>
  <c r="L34" i="3" s="1"/>
  <c r="M17" i="4"/>
  <c r="M7" i="3"/>
  <c r="M23" i="1"/>
  <c r="N28" i="7"/>
  <c r="N27" i="7"/>
  <c r="N12" i="7"/>
  <c r="N6" i="7"/>
  <c r="N26" i="7"/>
  <c r="O41" i="6"/>
  <c r="O42" i="6" s="1"/>
  <c r="O11" i="1"/>
  <c r="O18" i="1" s="1"/>
  <c r="O20" i="1" s="1"/>
  <c r="O50" i="8"/>
  <c r="P47" i="8"/>
  <c r="P41" i="6"/>
  <c r="P42" i="6" s="1"/>
  <c r="P11" i="1"/>
  <c r="P18" i="1" s="1"/>
  <c r="P20" i="1" s="1"/>
  <c r="M55" i="8"/>
  <c r="L36" i="3" l="1"/>
  <c r="L53" i="3" s="1"/>
  <c r="L56" i="3" s="1"/>
  <c r="P27" i="7"/>
  <c r="P12" i="7"/>
  <c r="P6" i="7"/>
  <c r="P28" i="7"/>
  <c r="P26" i="7"/>
  <c r="L21" i="2"/>
  <c r="L32" i="2" s="1"/>
  <c r="M55" i="3"/>
  <c r="O27" i="7"/>
  <c r="O12" i="7"/>
  <c r="O6" i="7"/>
  <c r="O28" i="7"/>
  <c r="O26" i="7"/>
  <c r="M7" i="7"/>
  <c r="M13" i="7"/>
  <c r="M26" i="1"/>
  <c r="N51" i="8"/>
  <c r="M7" i="2"/>
  <c r="M17" i="2" s="1"/>
  <c r="L34" i="1"/>
  <c r="P50" i="8"/>
  <c r="O65" i="8"/>
  <c r="L29" i="9" l="1"/>
  <c r="M23" i="9" s="1"/>
  <c r="M49" i="3" s="1"/>
  <c r="M51" i="3" s="1"/>
  <c r="L9" i="7"/>
  <c r="L15" i="7"/>
  <c r="L22" i="9"/>
  <c r="L24" i="9" s="1"/>
  <c r="L18" i="7"/>
  <c r="L17" i="7"/>
  <c r="L34" i="2"/>
  <c r="L21" i="7" s="1"/>
  <c r="N78" i="8"/>
  <c r="N21" i="1" s="1"/>
  <c r="N54" i="8"/>
  <c r="P62" i="8"/>
  <c r="O9" i="2"/>
  <c r="M14" i="7"/>
  <c r="M8" i="7"/>
  <c r="M15" i="4"/>
  <c r="M16" i="4" s="1"/>
  <c r="M20" i="4" s="1"/>
  <c r="M25" i="4" s="1"/>
  <c r="M29" i="1"/>
  <c r="M32" i="1" s="1"/>
  <c r="M35" i="3" s="1"/>
  <c r="M6" i="3"/>
  <c r="M20" i="3" s="1"/>
  <c r="M34" i="3" s="1"/>
  <c r="M36" i="3" l="1"/>
  <c r="M53" i="3" s="1"/>
  <c r="M56" i="3" s="1"/>
  <c r="N55" i="8"/>
  <c r="N17" i="4"/>
  <c r="N7" i="3"/>
  <c r="N23" i="1"/>
  <c r="L22" i="7"/>
  <c r="L23" i="7"/>
  <c r="M34" i="1"/>
  <c r="P64" i="8"/>
  <c r="P65" i="8" s="1"/>
  <c r="P9" i="2" s="1"/>
  <c r="M21" i="9"/>
  <c r="L39" i="2"/>
  <c r="L40" i="2" s="1"/>
  <c r="N55" i="3" l="1"/>
  <c r="M21" i="2"/>
  <c r="M32" i="2" s="1"/>
  <c r="O51" i="8"/>
  <c r="N7" i="2"/>
  <c r="N17" i="2" s="1"/>
  <c r="L25" i="7"/>
  <c r="L60" i="2"/>
  <c r="L20" i="7"/>
  <c r="M15" i="7"/>
  <c r="M29" i="9"/>
  <c r="N23" i="9" s="1"/>
  <c r="N49" i="3" s="1"/>
  <c r="N51" i="3" s="1"/>
  <c r="M22" i="9"/>
  <c r="M24" i="9" s="1"/>
  <c r="M9" i="7"/>
  <c r="N7" i="7"/>
  <c r="N13" i="7"/>
  <c r="N26" i="1"/>
  <c r="N21" i="9" l="1"/>
  <c r="M39" i="2"/>
  <c r="M40" i="2" s="1"/>
  <c r="M18" i="7"/>
  <c r="M17" i="7"/>
  <c r="M34" i="2"/>
  <c r="N14" i="7"/>
  <c r="N8" i="7"/>
  <c r="N15" i="4"/>
  <c r="N16" i="4" s="1"/>
  <c r="N20" i="4" s="1"/>
  <c r="N25" i="4" s="1"/>
  <c r="N29" i="1"/>
  <c r="N32" i="1" s="1"/>
  <c r="N35" i="3" s="1"/>
  <c r="N6" i="3"/>
  <c r="N20" i="3" s="1"/>
  <c r="N34" i="3" s="1"/>
  <c r="O78" i="8"/>
  <c r="O21" i="1" s="1"/>
  <c r="O54" i="8"/>
  <c r="N34" i="1" l="1"/>
  <c r="N22" i="9" s="1"/>
  <c r="N24" i="9" s="1"/>
  <c r="N15" i="7"/>
  <c r="O55" i="8"/>
  <c r="N36" i="3"/>
  <c r="N53" i="3" s="1"/>
  <c r="N56" i="3" s="1"/>
  <c r="O17" i="4"/>
  <c r="O7" i="3"/>
  <c r="O23" i="1"/>
  <c r="M25" i="7"/>
  <c r="M60" i="2"/>
  <c r="M20" i="7"/>
  <c r="M21" i="7"/>
  <c r="M23" i="7"/>
  <c r="M22" i="7"/>
  <c r="N9" i="7" l="1"/>
  <c r="N29" i="9"/>
  <c r="O23" i="9" s="1"/>
  <c r="O49" i="3" s="1"/>
  <c r="O51" i="3" s="1"/>
  <c r="O55" i="3"/>
  <c r="N21" i="2"/>
  <c r="N32" i="2" s="1"/>
  <c r="O21" i="9"/>
  <c r="N39" i="2"/>
  <c r="N40" i="2" s="1"/>
  <c r="O13" i="7"/>
  <c r="O7" i="7"/>
  <c r="O26" i="1"/>
  <c r="P51" i="8"/>
  <c r="O7" i="2"/>
  <c r="O17" i="2" s="1"/>
  <c r="O14" i="7" l="1"/>
  <c r="O8" i="7"/>
  <c r="O6" i="3"/>
  <c r="O20" i="3" s="1"/>
  <c r="O34" i="3" s="1"/>
  <c r="O15" i="4"/>
  <c r="O16" i="4" s="1"/>
  <c r="O20" i="4" s="1"/>
  <c r="O25" i="4" s="1"/>
  <c r="O29" i="1"/>
  <c r="O32" i="1" s="1"/>
  <c r="O35" i="3" s="1"/>
  <c r="N18" i="7"/>
  <c r="N17" i="7"/>
  <c r="N34" i="2"/>
  <c r="P78" i="8"/>
  <c r="P21" i="1" s="1"/>
  <c r="P54" i="8"/>
  <c r="P55" i="8" s="1"/>
  <c r="P7" i="2" s="1"/>
  <c r="P17" i="2" s="1"/>
  <c r="N25" i="7"/>
  <c r="N60" i="2"/>
  <c r="N20" i="7"/>
  <c r="O36" i="3" l="1"/>
  <c r="O53" i="3" s="1"/>
  <c r="O56" i="3" s="1"/>
  <c r="P17" i="4"/>
  <c r="P7" i="3"/>
  <c r="P23" i="1"/>
  <c r="P55" i="3"/>
  <c r="O21" i="2"/>
  <c r="O32" i="2" s="1"/>
  <c r="N21" i="7"/>
  <c r="N22" i="7"/>
  <c r="N23" i="7"/>
  <c r="O34" i="1"/>
  <c r="P7" i="7" l="1"/>
  <c r="P13" i="7"/>
  <c r="P26" i="1"/>
  <c r="O22" i="9"/>
  <c r="O24" i="9" s="1"/>
  <c r="O29" i="9"/>
  <c r="P23" i="9" s="1"/>
  <c r="P49" i="3" s="1"/>
  <c r="P51" i="3" s="1"/>
  <c r="O15" i="7"/>
  <c r="O9" i="7"/>
  <c r="O17" i="7"/>
  <c r="O18" i="7"/>
  <c r="O34" i="2"/>
  <c r="O21" i="7" s="1"/>
  <c r="P21" i="9" l="1"/>
  <c r="O39" i="2"/>
  <c r="O40" i="2" s="1"/>
  <c r="P8" i="7"/>
  <c r="P14" i="7"/>
  <c r="P15" i="4"/>
  <c r="P16" i="4" s="1"/>
  <c r="P20" i="4" s="1"/>
  <c r="P29" i="1"/>
  <c r="P32" i="1" s="1"/>
  <c r="P35" i="3" s="1"/>
  <c r="P6" i="3"/>
  <c r="P20" i="3" s="1"/>
  <c r="P34" i="3" s="1"/>
  <c r="O23" i="7"/>
  <c r="O22" i="7"/>
  <c r="P34" i="1" l="1"/>
  <c r="O25" i="7"/>
  <c r="O60" i="2"/>
  <c r="O20" i="7"/>
  <c r="P36" i="3"/>
  <c r="P53" i="3" s="1"/>
  <c r="P56" i="3" s="1"/>
  <c r="P21" i="2" s="1"/>
  <c r="P32" i="2" s="1"/>
  <c r="P22" i="4"/>
  <c r="P25" i="4"/>
  <c r="K29" i="4" s="1"/>
  <c r="P26" i="4" l="1"/>
  <c r="K30" i="4" s="1"/>
  <c r="K31" i="4" s="1"/>
  <c r="K41" i="4" s="1"/>
  <c r="K43" i="4" s="1"/>
  <c r="K46" i="4" s="1"/>
  <c r="P18" i="7"/>
  <c r="P17" i="7"/>
  <c r="P34" i="2"/>
  <c r="P21" i="7" s="1"/>
  <c r="P29" i="9"/>
  <c r="P22" i="9"/>
  <c r="P24" i="9" s="1"/>
  <c r="P39" i="2" s="1"/>
  <c r="P40" i="2" s="1"/>
  <c r="P20" i="7" s="1"/>
  <c r="P15" i="7"/>
  <c r="P9" i="7"/>
  <c r="P23" i="7" l="1"/>
  <c r="P25" i="7"/>
  <c r="P60" i="2"/>
  <c r="P2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3" authorId="0" shapeId="0" xr:uid="{00000000-0006-0000-0800-000001000000}">
      <text>
        <r>
          <rPr>
            <sz val="11"/>
            <color theme="1"/>
            <rFont val="Arial"/>
            <family val="2"/>
          </rPr>
          <t xml:space="preserve">
amal yr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uxDOHnu5fO6C3SXMFV16C25gzxw=="/>
    </ext>
  </extLst>
</comments>
</file>

<file path=xl/sharedStrings.xml><?xml version="1.0" encoding="utf-8"?>
<sst xmlns="http://schemas.openxmlformats.org/spreadsheetml/2006/main" count="415" uniqueCount="302">
  <si>
    <t>Statement of Profit and Loss</t>
  </si>
  <si>
    <t>Year Tracker</t>
  </si>
  <si>
    <t>(All Figures in INR cr except stated otherwise)</t>
  </si>
  <si>
    <t>INCOME</t>
  </si>
  <si>
    <t>Revenue from Operations</t>
  </si>
  <si>
    <t>Total Operating  Revenue</t>
  </si>
  <si>
    <t>EXPENSES</t>
  </si>
  <si>
    <t>Cost of Goods Sold(COGS)</t>
  </si>
  <si>
    <t>Employee Benefits Expense</t>
  </si>
  <si>
    <t>Other Expenses:</t>
  </si>
  <si>
    <t>Advt and Sales Promotion Expenses</t>
  </si>
  <si>
    <t>Freight and Forwarding Expenses</t>
  </si>
  <si>
    <t>Power and Fuel</t>
  </si>
  <si>
    <t>Processing Charges</t>
  </si>
  <si>
    <t>Other operating Expenses</t>
  </si>
  <si>
    <t>Total  Operating Expenses</t>
  </si>
  <si>
    <t>Earning Before Interest Tax Dep and Amortization(EBITDA)</t>
  </si>
  <si>
    <t>Depreciation and Amortisation Expenses</t>
  </si>
  <si>
    <t>Earnings Before Interest and Tax</t>
  </si>
  <si>
    <t>Finance Costs/Interest Cost</t>
  </si>
  <si>
    <t>Other Income</t>
  </si>
  <si>
    <t>Profit Before Tax</t>
  </si>
  <si>
    <t>Tax Expenses</t>
  </si>
  <si>
    <t>Current tax</t>
  </si>
  <si>
    <t>Deferred Tax</t>
  </si>
  <si>
    <t>Tax For Earlier years(Net)</t>
  </si>
  <si>
    <t>Total Tax</t>
  </si>
  <si>
    <t>Profit After Tax(PAT)</t>
  </si>
  <si>
    <t>EFFECTIVE TAX RATE</t>
  </si>
  <si>
    <t>Balance Sheet</t>
  </si>
  <si>
    <t>ASSETS</t>
  </si>
  <si>
    <t>Non-Current Assets:</t>
  </si>
  <si>
    <t>Property,Plant And Equipment</t>
  </si>
  <si>
    <t>Capital Work In Progress</t>
  </si>
  <si>
    <t>Intangible Assets</t>
  </si>
  <si>
    <t>Intangible Assets Under Development</t>
  </si>
  <si>
    <t>Right-Of-Use Asset</t>
  </si>
  <si>
    <t>Financial Assets:</t>
  </si>
  <si>
    <t>Investments</t>
  </si>
  <si>
    <t>Loans</t>
  </si>
  <si>
    <t>Other Financial Assets</t>
  </si>
  <si>
    <t>Other Non Current Assets</t>
  </si>
  <si>
    <t>Total Non-Current Assets</t>
  </si>
  <si>
    <t>Current Assets:</t>
  </si>
  <si>
    <t>Inventories</t>
  </si>
  <si>
    <t>Cash and Cash Equivalent</t>
  </si>
  <si>
    <t>Bank Bal oth Than Cash nad Cash Equiv</t>
  </si>
  <si>
    <t>Financial  Assets:</t>
  </si>
  <si>
    <t>Other Finacial Assets</t>
  </si>
  <si>
    <t>Trade Receivables</t>
  </si>
  <si>
    <t>Advance to suppliers</t>
  </si>
  <si>
    <t>Prepaid Expenses</t>
  </si>
  <si>
    <t>Current Tax Assets(Net)</t>
  </si>
  <si>
    <t>Other Current Assets</t>
  </si>
  <si>
    <t>Total Current Assets</t>
  </si>
  <si>
    <t>Total Assets</t>
  </si>
  <si>
    <t>EQUITY AND LIABLITIES</t>
  </si>
  <si>
    <t>Equity</t>
  </si>
  <si>
    <t>Equity Share Capital</t>
  </si>
  <si>
    <t>Other Equity</t>
  </si>
  <si>
    <t>Total Equity</t>
  </si>
  <si>
    <t>Liablities</t>
  </si>
  <si>
    <t>Non-Current Liablities</t>
  </si>
  <si>
    <t>Finacial Liablities:</t>
  </si>
  <si>
    <t>Lease Liablities/Borrowings</t>
  </si>
  <si>
    <t>Other Finacial Liablities</t>
  </si>
  <si>
    <t>Provision</t>
  </si>
  <si>
    <t>Deferred Tax Liablities(Net)</t>
  </si>
  <si>
    <t>Total Non-Current Liablities</t>
  </si>
  <si>
    <t>Current Liablities</t>
  </si>
  <si>
    <t>Borrowings</t>
  </si>
  <si>
    <t>Trade Payables:</t>
  </si>
  <si>
    <t>Other Current Liablities</t>
  </si>
  <si>
    <t>Provisons</t>
  </si>
  <si>
    <t>Current Tax Liablities(Net)</t>
  </si>
  <si>
    <t xml:space="preserve">Total Current Liablity </t>
  </si>
  <si>
    <t>Total Equity and Liablity</t>
  </si>
  <si>
    <t>CASH FLOW STATEMENT</t>
  </si>
  <si>
    <t xml:space="preserve"> CASH FLOW FROM OPERATIONS</t>
  </si>
  <si>
    <t>PROFIT BEFORE TAX</t>
  </si>
  <si>
    <t>Depreciation</t>
  </si>
  <si>
    <t>Finance Costs</t>
  </si>
  <si>
    <t>Interest Income on Financial Assets</t>
  </si>
  <si>
    <t>Net Gain on Sale of Current Investments</t>
  </si>
  <si>
    <t>Net unreaised Gain/Loss on Foreighn Currency</t>
  </si>
  <si>
    <t>Gain on Lease Modification</t>
  </si>
  <si>
    <t>Share Based Payments</t>
  </si>
  <si>
    <t>Fair Valuation(Gain)</t>
  </si>
  <si>
    <t>WRITE DOWN Of inventories</t>
  </si>
  <si>
    <t>Progess and Fininshed Goods</t>
  </si>
  <si>
    <t>Bad Debts Written Off</t>
  </si>
  <si>
    <t>Allownce for doubtfule Trade receivables</t>
  </si>
  <si>
    <t>Net loss PPE/WRITE OFF</t>
  </si>
  <si>
    <t>CASH FLOW OPERATION BEFORE WORKING CAPITAL CHANGES</t>
  </si>
  <si>
    <t>Adjustments in Current Assets</t>
  </si>
  <si>
    <t>Adjustment in Current Liablities</t>
  </si>
  <si>
    <t>Other Financial Liablity</t>
  </si>
  <si>
    <t>Provisions</t>
  </si>
  <si>
    <t>NET CASH FLOW OPERATIONS</t>
  </si>
  <si>
    <t>TAXES PAID</t>
  </si>
  <si>
    <t>NET CASH GENERATED FROM OPERATIONS</t>
  </si>
  <si>
    <t>CASH FLOW FROM INVESTING ACTIVITY</t>
  </si>
  <si>
    <t>CAPEX PPE</t>
  </si>
  <si>
    <t>Intangible Assets Additions</t>
  </si>
  <si>
    <t>Redemption/purchase of Current Investment</t>
  </si>
  <si>
    <t>NET CASH FROM INVESTING ACTIVITY</t>
  </si>
  <si>
    <t>Cash Flow From Financing Activity</t>
  </si>
  <si>
    <t>Proceeds From Issuance Of equity share/ESOP</t>
  </si>
  <si>
    <t>Security Premium Reserves</t>
  </si>
  <si>
    <t>Repayment of Current Borrowings</t>
  </si>
  <si>
    <t>Principal Lease Liablity Paid</t>
  </si>
  <si>
    <t>Dividend Paid</t>
  </si>
  <si>
    <t>Finance Cost</t>
  </si>
  <si>
    <t>NET CASH FROM FINANCING ACTIVITY</t>
  </si>
  <si>
    <t>NET CASH FLOWS DURING THE YEAR</t>
  </si>
  <si>
    <t>OPEINING CASH BAL</t>
  </si>
  <si>
    <t>CASH T/F TO B/S</t>
  </si>
  <si>
    <t>DCF VALUATION</t>
  </si>
  <si>
    <t>Risk free Rate</t>
  </si>
  <si>
    <t>10yrs treasury returns</t>
  </si>
  <si>
    <t>https://rbi.org.in/</t>
  </si>
  <si>
    <t>Beta</t>
  </si>
  <si>
    <t>Expected Returns From Market</t>
  </si>
  <si>
    <t>WORST CASE SCENARIO</t>
  </si>
  <si>
    <t>Cost of Equity</t>
  </si>
  <si>
    <t>OPTIMISTIC SCENARIO</t>
  </si>
  <si>
    <t>Cost Of Debt</t>
  </si>
  <si>
    <t>After Tax Cost of Debt</t>
  </si>
  <si>
    <t>Target Debt:Capital Ratio</t>
  </si>
  <si>
    <t>Target Equity:Capital Ratio</t>
  </si>
  <si>
    <t>DEBT</t>
  </si>
  <si>
    <t>WACC</t>
  </si>
  <si>
    <t>EQUITY</t>
  </si>
  <si>
    <t>Teminal Growth Rate</t>
  </si>
  <si>
    <t>FREE CASH FLOWS TO THE FIRM(FCFF)</t>
  </si>
  <si>
    <t>EBIT</t>
  </si>
  <si>
    <t>NOPAT(EBIT*(1-TAX RATE))</t>
  </si>
  <si>
    <t>(+)</t>
  </si>
  <si>
    <t>(-)</t>
  </si>
  <si>
    <t>Increase in  Working Capital</t>
  </si>
  <si>
    <t>CAPEX</t>
  </si>
  <si>
    <t>FREE CASH FLOWS TO FIRM</t>
  </si>
  <si>
    <t>TERMINAL VALUE</t>
  </si>
  <si>
    <t>DISCOUNT FACTORS</t>
  </si>
  <si>
    <t>NO.OF YEAR</t>
  </si>
  <si>
    <t>PRESENT VALUE OF FCFF</t>
  </si>
  <si>
    <t>PRESENT VALUE OF TERMINAL VALUE</t>
  </si>
  <si>
    <t>ENTERPRISE VALUE</t>
  </si>
  <si>
    <t>Equity Value</t>
  </si>
  <si>
    <t>Cash and Current Investments</t>
  </si>
  <si>
    <t>Investments Current</t>
  </si>
  <si>
    <t xml:space="preserve">Debt </t>
  </si>
  <si>
    <t>Current Borrowings</t>
  </si>
  <si>
    <t>Non-Current Borrowings</t>
  </si>
  <si>
    <t>Contingent Liabilties and Commitments</t>
  </si>
  <si>
    <t>Contingent's and Commitments</t>
  </si>
  <si>
    <t>No.of Shares</t>
  </si>
  <si>
    <t>Price Per Share</t>
  </si>
  <si>
    <t>INR RS</t>
  </si>
  <si>
    <t>REVENUE BUILDUP</t>
  </si>
  <si>
    <t>VOLUMES SOLD</t>
  </si>
  <si>
    <t>Footwears</t>
  </si>
  <si>
    <t>units</t>
  </si>
  <si>
    <t>y-o-y growth rates</t>
  </si>
  <si>
    <t>AVG SALES PRICE (INR)</t>
  </si>
  <si>
    <t>INR/unit</t>
  </si>
  <si>
    <t xml:space="preserve"> REVENUE </t>
  </si>
  <si>
    <t>Wind Power</t>
  </si>
  <si>
    <t>Sale of Accesiories,RM</t>
  </si>
  <si>
    <t>Other Operating Revenue</t>
  </si>
  <si>
    <t>REVENUE OPERATIONS</t>
  </si>
  <si>
    <t>TOTAL REVENUE</t>
  </si>
  <si>
    <t>COST BUILDUP</t>
  </si>
  <si>
    <t>OPERATING COST</t>
  </si>
  <si>
    <t>Cost of Goods Sold</t>
  </si>
  <si>
    <t>% of revenue from Operations</t>
  </si>
  <si>
    <t>Employee Benefit Expense</t>
  </si>
  <si>
    <t>Salaries,Wages and Other Benefits</t>
  </si>
  <si>
    <t>% of revenue</t>
  </si>
  <si>
    <t>Contribution to Provident and other Funds</t>
  </si>
  <si>
    <t>% of Salaries</t>
  </si>
  <si>
    <t>Gratuity Expenses</t>
  </si>
  <si>
    <t>Share Bases Payments</t>
  </si>
  <si>
    <t>Staff Welfare Expenses</t>
  </si>
  <si>
    <t>Total Employee Benefit Expense</t>
  </si>
  <si>
    <t>% of Revenue</t>
  </si>
  <si>
    <t>TOTAL OPERATING COST</t>
  </si>
  <si>
    <t>RATIO ANALYSIS</t>
  </si>
  <si>
    <t>Profit Margins</t>
  </si>
  <si>
    <t>EBITDA Margin</t>
  </si>
  <si>
    <t>EBIT Margin</t>
  </si>
  <si>
    <t>PBT Margin</t>
  </si>
  <si>
    <t>PAT Margin</t>
  </si>
  <si>
    <t>Growth Rates</t>
  </si>
  <si>
    <t>Revenue</t>
  </si>
  <si>
    <t>EBITDA</t>
  </si>
  <si>
    <t>PBT</t>
  </si>
  <si>
    <t>PAT</t>
  </si>
  <si>
    <t>Liquidity Ratio</t>
  </si>
  <si>
    <t>Current Ratio</t>
  </si>
  <si>
    <t>Quick Ratio</t>
  </si>
  <si>
    <t>Return Ratio</t>
  </si>
  <si>
    <t>ROE</t>
  </si>
  <si>
    <t>Pre Tax ROCE</t>
  </si>
  <si>
    <t>Post Tax ROCE</t>
  </si>
  <si>
    <t>ROA</t>
  </si>
  <si>
    <t>Leverage Ratio</t>
  </si>
  <si>
    <t>Debt/ Equity</t>
  </si>
  <si>
    <t>Debt/ EBITDA</t>
  </si>
  <si>
    <t>Interest Coverage</t>
  </si>
  <si>
    <t>DSCR</t>
  </si>
  <si>
    <t>ASSET SCHEDULE CORRESPONDING TO B/S</t>
  </si>
  <si>
    <t>CAPITAL EXPENDITURE</t>
  </si>
  <si>
    <t xml:space="preserve">Property,Plant and Equipment </t>
  </si>
  <si>
    <t>Capex as % of Revenue</t>
  </si>
  <si>
    <t>Asset Creation Schedule</t>
  </si>
  <si>
    <t>(amalg yr)</t>
  </si>
  <si>
    <t>Property,Plant and Equipment</t>
  </si>
  <si>
    <t>PPE DESCRIPTION</t>
  </si>
  <si>
    <t>Freehold Land</t>
  </si>
  <si>
    <t>Lease hold land</t>
  </si>
  <si>
    <t>Buildings</t>
  </si>
  <si>
    <t>Leasehold Improvements</t>
  </si>
  <si>
    <t>Plant and Machinery</t>
  </si>
  <si>
    <t>Moulds</t>
  </si>
  <si>
    <t>Computers</t>
  </si>
  <si>
    <t>MotorVehicles-Other</t>
  </si>
  <si>
    <t>MotorVehicles-Transport</t>
  </si>
  <si>
    <t>Furniture and Fixtures</t>
  </si>
  <si>
    <t>Electrical Fittings</t>
  </si>
  <si>
    <t>Office Equipments</t>
  </si>
  <si>
    <t>Wooden Structure</t>
  </si>
  <si>
    <t>Wind Power Generation</t>
  </si>
  <si>
    <t>TOTAL ASSET CREATION</t>
  </si>
  <si>
    <t>Asset Deletion Schedule</t>
  </si>
  <si>
    <t>TOTAL ASSET DELETION</t>
  </si>
  <si>
    <t>Property Plant and Equipment</t>
  </si>
  <si>
    <t>Opening Gross Block</t>
  </si>
  <si>
    <t>Additions</t>
  </si>
  <si>
    <t>Deletions</t>
  </si>
  <si>
    <t>Closing Gross Block</t>
  </si>
  <si>
    <t>Adjustments</t>
  </si>
  <si>
    <t>DEP AS % OF NET BLOCK</t>
  </si>
  <si>
    <t>Less: Accumulated Depreciation</t>
  </si>
  <si>
    <t>Closing Net Book Value</t>
  </si>
  <si>
    <t>Amortization</t>
  </si>
  <si>
    <t>Right Of Use Assets</t>
  </si>
  <si>
    <t>Total Depreciation and Amortization</t>
  </si>
  <si>
    <t>Lease Liablities Schedule</t>
  </si>
  <si>
    <t>Opening Balance</t>
  </si>
  <si>
    <t>Additions To Lease Liablities</t>
  </si>
  <si>
    <t>Principal Payments</t>
  </si>
  <si>
    <t>As per previous Leases Maturity Period</t>
  </si>
  <si>
    <t>As per Forecasted Leases Payments</t>
  </si>
  <si>
    <t xml:space="preserve">Total Principal Payment </t>
  </si>
  <si>
    <t>Net Lease Liablities/ClosingBalance</t>
  </si>
  <si>
    <t>Finance cost of Lease/Interest on lease liabl</t>
  </si>
  <si>
    <t>% of NET LEASE LIABLITY</t>
  </si>
  <si>
    <t>Maturity Period For Leases (yr)</t>
  </si>
  <si>
    <t>LEASE LIABLITY PAID</t>
  </si>
  <si>
    <t>Total Addn LEASE PRINCIPAL PAYMENTS</t>
  </si>
  <si>
    <t>EQUITY SCHEDULE</t>
  </si>
  <si>
    <t>EQUITY SHARE CAPITAL</t>
  </si>
  <si>
    <t xml:space="preserve">FACE VALUE OF SHARE </t>
  </si>
  <si>
    <t>NO. OF SHARES</t>
  </si>
  <si>
    <t>OPENING BALANCE</t>
  </si>
  <si>
    <t>ADDITIONS[+]</t>
  </si>
  <si>
    <t>CLOSING BALANCE</t>
  </si>
  <si>
    <t>CR</t>
  </si>
  <si>
    <t>INR CR</t>
  </si>
  <si>
    <t>Opening Balnce</t>
  </si>
  <si>
    <t>[+] Profit for the year</t>
  </si>
  <si>
    <t>Other NET Additions and Deletions(included Dividend Payments)</t>
  </si>
  <si>
    <t>Closing Balance</t>
  </si>
  <si>
    <t>Final Dividend</t>
  </si>
  <si>
    <t>Dividend as % of NET PROFITS</t>
  </si>
  <si>
    <t>ASSUMPTIONS AND GEN INFO</t>
  </si>
  <si>
    <t>ASSUMPTIONS</t>
  </si>
  <si>
    <t>CURRENT ASSETS</t>
  </si>
  <si>
    <t>days of COGS</t>
  </si>
  <si>
    <t>Days of Revenue Operations</t>
  </si>
  <si>
    <t>% OF cogs</t>
  </si>
  <si>
    <t>Actuals</t>
  </si>
  <si>
    <t>Trade Payables</t>
  </si>
  <si>
    <t>DAYS OF COGS</t>
  </si>
  <si>
    <t>Other Financial Liablities</t>
  </si>
  <si>
    <t>BETA CALCULATIONS</t>
  </si>
  <si>
    <t>SOURCE-YAHOO FINANCE</t>
  </si>
  <si>
    <t>5 YR CALCULATIONS(DAILY)</t>
  </si>
  <si>
    <t xml:space="preserve">Relaxo </t>
  </si>
  <si>
    <t>Nifty 50</t>
  </si>
  <si>
    <t>BETA BY SLOPE FUNCTION</t>
  </si>
  <si>
    <t>Date</t>
  </si>
  <si>
    <t>Adj Close</t>
  </si>
  <si>
    <t>% of returns</t>
  </si>
  <si>
    <t>REL-NIFTY</t>
  </si>
  <si>
    <t>BETA</t>
  </si>
  <si>
    <t>Increase in Working Capital</t>
  </si>
  <si>
    <t>WACC=RISK FREE RATE+Beta*(MARKET RETURNS-RISK FREE RATE)</t>
  </si>
  <si>
    <t>By :- Mirtunjay Kumar Tyagi</t>
  </si>
  <si>
    <t>Current Market Price"16-10-2021"</t>
  </si>
  <si>
    <t>OVER-VALUED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</si>
</sst>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FY&quot;0&quot;A&quot;"/>
    <numFmt numFmtId="165" formatCode="&quot;FY&quot;0&quot;E&quot;"/>
    <numFmt numFmtId="166" formatCode="0.0"/>
    <numFmt numFmtId="167" formatCode="0.000%"/>
    <numFmt numFmtId="168" formatCode="&quot;₹&quot;\ #,##0.00;[Red]&quot;₹&quot;\ \-#,##0.00"/>
    <numFmt numFmtId="169" formatCode="_ &quot;₹&quot;\ * #,##0.00_ ;_ &quot;₹&quot;\ * \-#,##0.00_ ;_ &quot;₹&quot;\ * &quot;-&quot;??_ ;_ @_ "/>
    <numFmt numFmtId="170" formatCode="0.0000000000000000%"/>
    <numFmt numFmtId="171" formatCode="0.0%"/>
    <numFmt numFmtId="172" formatCode="#,##0;\(#,##0\);\-"/>
    <numFmt numFmtId="173" formatCode="0.000"/>
    <numFmt numFmtId="174" formatCode="_ * #,##0.00_ ;_ * \-#,##0.00_ ;_ * &quot;-&quot;??_ ;_ @_ "/>
    <numFmt numFmtId="175" formatCode="0&quot;FY&quot;"/>
    <numFmt numFmtId="176" formatCode="[$-409]d\-mmm\-yyyy;@"/>
  </numFmts>
  <fonts count="35" x14ac:knownFonts="1">
    <font>
      <sz val="11"/>
      <color theme="1"/>
      <name val="Arial"/>
    </font>
    <font>
      <b/>
      <sz val="14"/>
      <color theme="0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4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</font>
    <font>
      <sz val="11"/>
      <color theme="8"/>
      <name val="Calibri"/>
      <family val="2"/>
    </font>
    <font>
      <b/>
      <sz val="11"/>
      <color theme="4"/>
      <name val="Calibri"/>
      <family val="2"/>
    </font>
    <font>
      <b/>
      <i/>
      <sz val="14"/>
      <color theme="1"/>
      <name val="Calibri"/>
      <family val="2"/>
    </font>
    <font>
      <i/>
      <u/>
      <sz val="11"/>
      <color rgb="FF0070C0"/>
      <name val="Arial"/>
      <family val="2"/>
    </font>
    <font>
      <b/>
      <sz val="14"/>
      <color theme="1"/>
      <name val="Calibri"/>
      <family val="2"/>
    </font>
    <font>
      <i/>
      <sz val="11"/>
      <color theme="4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D8D8D8"/>
      <name val="Calibri"/>
      <family val="2"/>
    </font>
    <font>
      <b/>
      <i/>
      <sz val="11"/>
      <color theme="0"/>
      <name val="Calibri"/>
      <family val="2"/>
    </font>
    <font>
      <i/>
      <sz val="11"/>
      <color theme="8"/>
      <name val="Calibri"/>
      <family val="2"/>
    </font>
    <font>
      <b/>
      <sz val="11"/>
      <color theme="1"/>
      <name val="Arial"/>
      <family val="2"/>
    </font>
    <font>
      <b/>
      <sz val="11"/>
      <color theme="8"/>
      <name val="Calibri"/>
      <family val="2"/>
    </font>
    <font>
      <b/>
      <i/>
      <sz val="11"/>
      <color theme="8"/>
      <name val="Calibri"/>
      <family val="2"/>
    </font>
    <font>
      <b/>
      <i/>
      <sz val="11"/>
      <color theme="4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0"/>
      <name val="Calibri"/>
      <family val="2"/>
    </font>
    <font>
      <b/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1" fontId="3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2" fillId="0" borderId="0" xfId="0" applyFont="1"/>
    <xf numFmtId="0" fontId="5" fillId="0" borderId="0" xfId="0" applyFont="1"/>
    <xf numFmtId="2" fontId="6" fillId="0" borderId="0" xfId="0" applyNumberFormat="1" applyFont="1"/>
    <xf numFmtId="2" fontId="7" fillId="0" borderId="0" xfId="0" applyNumberFormat="1" applyFont="1"/>
    <xf numFmtId="0" fontId="4" fillId="0" borderId="2" xfId="0" applyFont="1" applyBorder="1"/>
    <xf numFmtId="2" fontId="4" fillId="0" borderId="2" xfId="0" applyNumberFormat="1" applyFont="1" applyBorder="1"/>
    <xf numFmtId="9" fontId="4" fillId="0" borderId="0" xfId="0" applyNumberFormat="1" applyFont="1"/>
    <xf numFmtId="0" fontId="7" fillId="0" borderId="0" xfId="0" applyFont="1"/>
    <xf numFmtId="0" fontId="4" fillId="0" borderId="3" xfId="0" applyFont="1" applyBorder="1"/>
    <xf numFmtId="2" fontId="4" fillId="0" borderId="3" xfId="0" applyNumberFormat="1" applyFont="1" applyBorder="1"/>
    <xf numFmtId="0" fontId="7" fillId="0" borderId="2" xfId="0" applyFont="1" applyBorder="1"/>
    <xf numFmtId="9" fontId="7" fillId="0" borderId="2" xfId="0" applyNumberFormat="1" applyFont="1" applyBorder="1"/>
    <xf numFmtId="9" fontId="7" fillId="0" borderId="0" xfId="0" applyNumberFormat="1" applyFont="1"/>
    <xf numFmtId="164" fontId="8" fillId="0" borderId="0" xfId="0" applyNumberFormat="1" applyFont="1"/>
    <xf numFmtId="165" fontId="8" fillId="0" borderId="0" xfId="0" applyNumberFormat="1" applyFont="1"/>
    <xf numFmtId="0" fontId="7" fillId="0" borderId="3" xfId="0" applyFont="1" applyBorder="1"/>
    <xf numFmtId="0" fontId="7" fillId="0" borderId="4" xfId="0" applyFont="1" applyBorder="1"/>
    <xf numFmtId="0" fontId="10" fillId="0" borderId="0" xfId="0" applyFont="1"/>
    <xf numFmtId="0" fontId="6" fillId="0" borderId="0" xfId="0" applyFont="1"/>
    <xf numFmtId="2" fontId="7" fillId="0" borderId="2" xfId="0" applyNumberFormat="1" applyFont="1" applyBorder="1"/>
    <xf numFmtId="0" fontId="9" fillId="0" borderId="0" xfId="0" applyFont="1"/>
    <xf numFmtId="166" fontId="7" fillId="0" borderId="0" xfId="0" applyNumberFormat="1" applyFont="1"/>
    <xf numFmtId="0" fontId="11" fillId="0" borderId="2" xfId="0" applyFont="1" applyBorder="1"/>
    <xf numFmtId="166" fontId="11" fillId="0" borderId="2" xfId="0" applyNumberFormat="1" applyFont="1" applyBorder="1"/>
    <xf numFmtId="2" fontId="11" fillId="0" borderId="2" xfId="0" applyNumberFormat="1" applyFont="1" applyBorder="1"/>
    <xf numFmtId="0" fontId="4" fillId="0" borderId="5" xfId="0" applyFont="1" applyBorder="1"/>
    <xf numFmtId="0" fontId="7" fillId="0" borderId="5" xfId="0" applyFont="1" applyBorder="1"/>
    <xf numFmtId="2" fontId="7" fillId="0" borderId="5" xfId="0" applyNumberFormat="1" applyFont="1" applyBorder="1"/>
    <xf numFmtId="0" fontId="4" fillId="0" borderId="4" xfId="0" applyFont="1" applyBorder="1"/>
    <xf numFmtId="2" fontId="4" fillId="0" borderId="4" xfId="0" applyNumberFormat="1" applyFont="1" applyBorder="1"/>
    <xf numFmtId="0" fontId="12" fillId="0" borderId="0" xfId="0" applyFont="1"/>
    <xf numFmtId="10" fontId="3" fillId="0" borderId="0" xfId="0" applyNumberFormat="1" applyFont="1"/>
    <xf numFmtId="0" fontId="13" fillId="0" borderId="0" xfId="0" applyFont="1"/>
    <xf numFmtId="0" fontId="14" fillId="0" borderId="0" xfId="0" applyFont="1"/>
    <xf numFmtId="9" fontId="15" fillId="0" borderId="0" xfId="0" applyNumberFormat="1" applyFont="1"/>
    <xf numFmtId="10" fontId="7" fillId="0" borderId="0" xfId="0" applyNumberFormat="1" applyFont="1"/>
    <xf numFmtId="9" fontId="2" fillId="0" borderId="0" xfId="0" applyNumberFormat="1" applyFont="1"/>
    <xf numFmtId="167" fontId="7" fillId="0" borderId="0" xfId="0" applyNumberFormat="1" applyFont="1"/>
    <xf numFmtId="0" fontId="16" fillId="0" borderId="0" xfId="0" applyFont="1"/>
    <xf numFmtId="0" fontId="17" fillId="0" borderId="0" xfId="0" applyFont="1"/>
    <xf numFmtId="2" fontId="4" fillId="0" borderId="6" xfId="0" applyNumberFormat="1" applyFont="1" applyBorder="1"/>
    <xf numFmtId="0" fontId="15" fillId="0" borderId="0" xfId="0" applyFont="1"/>
    <xf numFmtId="4" fontId="4" fillId="0" borderId="2" xfId="0" applyNumberFormat="1" applyFont="1" applyBorder="1"/>
    <xf numFmtId="168" fontId="7" fillId="0" borderId="0" xfId="0" applyNumberFormat="1" applyFont="1"/>
    <xf numFmtId="2" fontId="7" fillId="0" borderId="4" xfId="0" applyNumberFormat="1" applyFont="1" applyBorder="1"/>
    <xf numFmtId="2" fontId="3" fillId="0" borderId="0" xfId="0" applyNumberFormat="1" applyFont="1"/>
    <xf numFmtId="0" fontId="9" fillId="0" borderId="3" xfId="0" applyFont="1" applyBorder="1"/>
    <xf numFmtId="169" fontId="4" fillId="0" borderId="7" xfId="0" applyNumberFormat="1" applyFont="1" applyBorder="1"/>
    <xf numFmtId="0" fontId="9" fillId="0" borderId="2" xfId="0" applyFont="1" applyBorder="1"/>
    <xf numFmtId="169" fontId="19" fillId="3" borderId="8" xfId="0" applyNumberFormat="1" applyFont="1" applyFill="1" applyBorder="1"/>
    <xf numFmtId="10" fontId="15" fillId="0" borderId="0" xfId="0" applyNumberFormat="1" applyFont="1"/>
    <xf numFmtId="10" fontId="10" fillId="0" borderId="0" xfId="0" applyNumberFormat="1" applyFont="1"/>
    <xf numFmtId="9" fontId="3" fillId="0" borderId="0" xfId="0" applyNumberFormat="1" applyFont="1"/>
    <xf numFmtId="9" fontId="10" fillId="0" borderId="0" xfId="0" applyNumberFormat="1" applyFont="1"/>
    <xf numFmtId="2" fontId="10" fillId="0" borderId="0" xfId="0" applyNumberFormat="1" applyFont="1"/>
    <xf numFmtId="2" fontId="6" fillId="0" borderId="2" xfId="0" applyNumberFormat="1" applyFont="1" applyBorder="1"/>
    <xf numFmtId="170" fontId="7" fillId="0" borderId="0" xfId="0" applyNumberFormat="1" applyFont="1"/>
    <xf numFmtId="10" fontId="20" fillId="0" borderId="0" xfId="0" applyNumberFormat="1" applyFont="1"/>
    <xf numFmtId="171" fontId="7" fillId="0" borderId="0" xfId="0" applyNumberFormat="1" applyFont="1"/>
    <xf numFmtId="172" fontId="4" fillId="4" borderId="1" xfId="0" applyNumberFormat="1" applyFont="1" applyFill="1" applyBorder="1" applyAlignment="1">
      <alignment vertical="center"/>
    </xf>
    <xf numFmtId="172" fontId="7" fillId="4" borderId="1" xfId="0" applyNumberFormat="1" applyFont="1" applyFill="1" applyBorder="1" applyAlignment="1">
      <alignment vertical="center"/>
    </xf>
    <xf numFmtId="172" fontId="7" fillId="4" borderId="1" xfId="0" applyNumberFormat="1" applyFont="1" applyFill="1" applyBorder="1" applyAlignment="1">
      <alignment horizontal="center" vertical="center"/>
    </xf>
    <xf numFmtId="169" fontId="3" fillId="0" borderId="0" xfId="0" applyNumberFormat="1" applyFont="1"/>
    <xf numFmtId="173" fontId="7" fillId="0" borderId="0" xfId="0" applyNumberFormat="1" applyFont="1"/>
    <xf numFmtId="2" fontId="15" fillId="0" borderId="0" xfId="0" applyNumberFormat="1" applyFont="1"/>
    <xf numFmtId="0" fontId="21" fillId="0" borderId="0" xfId="0" applyFont="1" applyAlignment="1">
      <alignment vertical="center"/>
    </xf>
    <xf numFmtId="2" fontId="4" fillId="0" borderId="0" xfId="0" applyNumberFormat="1" applyFont="1"/>
    <xf numFmtId="0" fontId="0" fillId="0" borderId="0" xfId="0" applyFont="1" applyAlignment="1">
      <alignment vertical="center"/>
    </xf>
    <xf numFmtId="2" fontId="22" fillId="0" borderId="0" xfId="0" applyNumberFormat="1" applyFont="1"/>
    <xf numFmtId="2" fontId="11" fillId="0" borderId="0" xfId="0" applyNumberFormat="1" applyFont="1"/>
    <xf numFmtId="2" fontId="23" fillId="0" borderId="0" xfId="0" applyNumberFormat="1" applyFont="1"/>
    <xf numFmtId="10" fontId="9" fillId="0" borderId="2" xfId="0" applyNumberFormat="1" applyFont="1" applyBorder="1"/>
    <xf numFmtId="10" fontId="24" fillId="0" borderId="2" xfId="0" applyNumberFormat="1" applyFont="1" applyBorder="1"/>
    <xf numFmtId="0" fontId="21" fillId="0" borderId="2" xfId="0" applyFont="1" applyBorder="1" applyAlignment="1">
      <alignment vertical="center"/>
    </xf>
    <xf numFmtId="174" fontId="7" fillId="0" borderId="0" xfId="0" applyNumberFormat="1" applyFont="1"/>
    <xf numFmtId="2" fontId="10" fillId="0" borderId="2" xfId="0" applyNumberFormat="1" applyFont="1" applyBorder="1"/>
    <xf numFmtId="10" fontId="15" fillId="0" borderId="2" xfId="0" applyNumberFormat="1" applyFont="1" applyBorder="1"/>
    <xf numFmtId="2" fontId="22" fillId="0" borderId="2" xfId="0" applyNumberFormat="1" applyFont="1" applyBorder="1"/>
    <xf numFmtId="2" fontId="20" fillId="0" borderId="0" xfId="0" applyNumberFormat="1" applyFont="1"/>
    <xf numFmtId="10" fontId="7" fillId="0" borderId="2" xfId="0" applyNumberFormat="1" applyFont="1" applyBorder="1"/>
    <xf numFmtId="10" fontId="6" fillId="0" borderId="2" xfId="0" applyNumberFormat="1" applyFont="1" applyBorder="1"/>
    <xf numFmtId="0" fontId="21" fillId="0" borderId="3" xfId="0" applyFont="1" applyBorder="1" applyAlignment="1">
      <alignment vertical="center"/>
    </xf>
    <xf numFmtId="2" fontId="9" fillId="0" borderId="2" xfId="0" applyNumberFormat="1" applyFont="1" applyBorder="1"/>
    <xf numFmtId="0" fontId="24" fillId="0" borderId="4" xfId="0" applyFont="1" applyBorder="1"/>
    <xf numFmtId="169" fontId="24" fillId="0" borderId="0" xfId="0" applyNumberFormat="1" applyFont="1"/>
    <xf numFmtId="0" fontId="15" fillId="0" borderId="2" xfId="0" applyFont="1" applyBorder="1"/>
    <xf numFmtId="0" fontId="6" fillId="0" borderId="2" xfId="0" applyFont="1" applyBorder="1"/>
    <xf numFmtId="0" fontId="24" fillId="0" borderId="3" xfId="0" applyFont="1" applyBorder="1"/>
    <xf numFmtId="9" fontId="11" fillId="0" borderId="0" xfId="0" applyNumberFormat="1" applyFont="1"/>
    <xf numFmtId="1" fontId="7" fillId="0" borderId="0" xfId="0" applyNumberFormat="1" applyFont="1"/>
    <xf numFmtId="10" fontId="6" fillId="0" borderId="0" xfId="0" applyNumberFormat="1" applyFont="1"/>
    <xf numFmtId="175" fontId="9" fillId="0" borderId="0" xfId="0" applyNumberFormat="1" applyFont="1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3" fillId="0" borderId="0" xfId="0" applyFont="1" applyAlignment="1"/>
    <xf numFmtId="0" fontId="25" fillId="0" borderId="0" xfId="0" applyFont="1" applyAlignment="1"/>
    <xf numFmtId="0" fontId="26" fillId="0" borderId="0" xfId="0" applyFont="1" applyAlignment="1">
      <alignment horizontal="center"/>
    </xf>
    <xf numFmtId="0" fontId="26" fillId="0" borderId="0" xfId="0" applyFont="1"/>
    <xf numFmtId="0" fontId="27" fillId="0" borderId="4" xfId="0" applyFont="1" applyBorder="1"/>
    <xf numFmtId="0" fontId="27" fillId="0" borderId="4" xfId="0" applyFont="1" applyBorder="1" applyAlignment="1">
      <alignment horizontal="center"/>
    </xf>
    <xf numFmtId="0" fontId="28" fillId="0" borderId="0" xfId="0" applyFont="1"/>
    <xf numFmtId="0" fontId="29" fillId="0" borderId="0" xfId="0" applyFont="1"/>
    <xf numFmtId="0" fontId="7" fillId="0" borderId="1" xfId="0" applyFont="1" applyFill="1" applyBorder="1"/>
    <xf numFmtId="0" fontId="2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18" fillId="0" borderId="1" xfId="0" applyNumberFormat="1" applyFont="1" applyFill="1" applyBorder="1"/>
    <xf numFmtId="9" fontId="3" fillId="0" borderId="1" xfId="0" applyNumberFormat="1" applyFont="1" applyFill="1" applyBorder="1"/>
    <xf numFmtId="10" fontId="3" fillId="0" borderId="1" xfId="0" applyNumberFormat="1" applyFont="1" applyFill="1" applyBorder="1"/>
    <xf numFmtId="2" fontId="7" fillId="0" borderId="1" xfId="0" applyNumberFormat="1" applyFont="1" applyFill="1" applyBorder="1"/>
    <xf numFmtId="0" fontId="30" fillId="0" borderId="0" xfId="0" applyFont="1" applyAlignment="1"/>
    <xf numFmtId="176" fontId="3" fillId="0" borderId="0" xfId="0" applyNumberFormat="1" applyFont="1"/>
    <xf numFmtId="176" fontId="0" fillId="0" borderId="0" xfId="0" applyNumberFormat="1" applyFont="1" applyAlignment="1"/>
    <xf numFmtId="176" fontId="7" fillId="0" borderId="0" xfId="0" applyNumberFormat="1" applyFont="1"/>
    <xf numFmtId="176" fontId="4" fillId="0" borderId="0" xfId="0" applyNumberFormat="1" applyFont="1" applyAlignment="1">
      <alignment horizontal="center"/>
    </xf>
    <xf numFmtId="176" fontId="2" fillId="2" borderId="1" xfId="0" applyNumberFormat="1" applyFont="1" applyFill="1" applyBorder="1"/>
    <xf numFmtId="176" fontId="4" fillId="0" borderId="2" xfId="0" applyNumberFormat="1" applyFont="1" applyBorder="1"/>
    <xf numFmtId="176" fontId="4" fillId="0" borderId="0" xfId="0" applyNumberFormat="1" applyFont="1"/>
    <xf numFmtId="176" fontId="32" fillId="0" borderId="0" xfId="0" applyNumberFormat="1" applyFont="1" applyAlignment="1"/>
    <xf numFmtId="0" fontId="32" fillId="0" borderId="0" xfId="0" applyFont="1" applyAlignment="1"/>
    <xf numFmtId="10" fontId="33" fillId="0" borderId="0" xfId="0" applyNumberFormat="1" applyFont="1"/>
    <xf numFmtId="176" fontId="34" fillId="2" borderId="1" xfId="0" applyNumberFormat="1" applyFont="1" applyFill="1" applyBorder="1"/>
    <xf numFmtId="2" fontId="27" fillId="0" borderId="4" xfId="0" applyNumberFormat="1" applyFont="1" applyBorder="1"/>
    <xf numFmtId="0" fontId="0" fillId="0" borderId="1" xfId="0" applyFont="1" applyBorder="1" applyAlignment="1"/>
    <xf numFmtId="0" fontId="9" fillId="0" borderId="1" xfId="0" applyFont="1" applyBorder="1"/>
    <xf numFmtId="0" fontId="7" fillId="0" borderId="1" xfId="0" applyFont="1" applyBorder="1"/>
    <xf numFmtId="2" fontId="9" fillId="0" borderId="1" xfId="0" applyNumberFormat="1" applyFont="1" applyBorder="1"/>
    <xf numFmtId="2" fontId="7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Debt-Equity %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342C-48C8-9292-4B8F79EAA1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342C-48C8-9292-4B8F79EAA15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DCF!$S$9:$S$10</c:f>
              <c:strCache>
                <c:ptCount val="2"/>
                <c:pt idx="0">
                  <c:v>DEBT</c:v>
                </c:pt>
                <c:pt idx="1">
                  <c:v>EQUITY</c:v>
                </c:pt>
              </c:strCache>
            </c:strRef>
          </c:cat>
          <c:val>
            <c:numRef>
              <c:f>DCF!$G$8:$G$9</c:f>
              <c:numCache>
                <c:formatCode>0.00%</c:formatCode>
                <c:ptCount val="2"/>
                <c:pt idx="0">
                  <c:v>0.1370768141631773</c:v>
                </c:pt>
                <c:pt idx="1">
                  <c:v>0.8629231858368227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2C-48C8-9292-4B8F79EAA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257175</xdr:colOff>
      <xdr:row>13</xdr:row>
      <xdr:rowOff>0</xdr:rowOff>
    </xdr:from>
    <xdr:ext cx="2295525" cy="1409700"/>
    <xdr:graphicFrame macro="">
      <xdr:nvGraphicFramePr>
        <xdr:cNvPr id="529501291" name="Chart 1" title="Chart">
          <a:extLst>
            <a:ext uri="{FF2B5EF4-FFF2-40B4-BE49-F238E27FC236}">
              <a16:creationId xmlns:a16="http://schemas.microsoft.com/office/drawing/2014/main" id="{00000000-0008-0000-0300-00006B8C8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104775</xdr:colOff>
      <xdr:row>3</xdr:row>
      <xdr:rowOff>0</xdr:rowOff>
    </xdr:from>
    <xdr:ext cx="257175" cy="1143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457200" y="542925"/>
          <a:ext cx="257175" cy="114300"/>
          <a:chOff x="5222175" y="3727613"/>
          <a:chExt cx="247650" cy="1047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CxnSpPr/>
        </xdr:nvCxnSpPr>
        <xdr:spPr>
          <a:xfrm>
            <a:off x="5222175" y="3727613"/>
            <a:ext cx="247650" cy="104775"/>
          </a:xfrm>
          <a:prstGeom prst="bentConnector3">
            <a:avLst>
              <a:gd name="adj1" fmla="val 38235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bi.org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L6" sqref="L6"/>
    </sheetView>
  </sheetViews>
  <sheetFormatPr defaultColWidth="12.625" defaultRowHeight="15" customHeight="1" x14ac:dyDescent="0.2"/>
  <cols>
    <col min="1" max="2" width="4.625" customWidth="1"/>
    <col min="3" max="3" width="37.5" customWidth="1"/>
    <col min="4" max="6" width="4.625" customWidth="1"/>
    <col min="7" max="26" width="7.625" customWidth="1"/>
  </cols>
  <sheetData>
    <row r="1" spans="1:26" ht="14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</v>
      </c>
      <c r="B2" s="3"/>
      <c r="C2" s="3"/>
      <c r="D2" s="3"/>
      <c r="E2" s="3"/>
      <c r="F2" s="3"/>
      <c r="G2" s="4">
        <v>1</v>
      </c>
      <c r="H2" s="4">
        <f t="shared" ref="H2:P2" si="0">G2+1</f>
        <v>2</v>
      </c>
      <c r="I2" s="4">
        <f t="shared" si="0"/>
        <v>3</v>
      </c>
      <c r="J2" s="4">
        <f t="shared" si="0"/>
        <v>4</v>
      </c>
      <c r="K2" s="4">
        <f t="shared" si="0"/>
        <v>5</v>
      </c>
      <c r="L2" s="4">
        <f t="shared" si="0"/>
        <v>6</v>
      </c>
      <c r="M2" s="4">
        <f t="shared" si="0"/>
        <v>7</v>
      </c>
      <c r="N2" s="4">
        <f t="shared" si="0"/>
        <v>8</v>
      </c>
      <c r="O2" s="4">
        <f t="shared" si="0"/>
        <v>9</v>
      </c>
      <c r="P2" s="4">
        <f t="shared" si="0"/>
        <v>10</v>
      </c>
    </row>
    <row r="3" spans="1:26" ht="14.25" customHeight="1" x14ac:dyDescent="0.2"/>
    <row r="4" spans="1:26" ht="14.25" customHeight="1" x14ac:dyDescent="0.25">
      <c r="A4" s="3" t="s">
        <v>2</v>
      </c>
      <c r="G4" s="5">
        <v>17</v>
      </c>
      <c r="H4" s="5">
        <f t="shared" ref="H4:P4" si="1">G4+1</f>
        <v>18</v>
      </c>
      <c r="I4" s="5">
        <f t="shared" si="1"/>
        <v>19</v>
      </c>
      <c r="J4" s="5">
        <f t="shared" si="1"/>
        <v>20</v>
      </c>
      <c r="K4" s="5">
        <f t="shared" si="1"/>
        <v>21</v>
      </c>
      <c r="L4" s="6">
        <f t="shared" si="1"/>
        <v>22</v>
      </c>
      <c r="M4" s="6">
        <f t="shared" si="1"/>
        <v>23</v>
      </c>
      <c r="N4" s="6">
        <f t="shared" si="1"/>
        <v>24</v>
      </c>
      <c r="O4" s="6">
        <f t="shared" si="1"/>
        <v>25</v>
      </c>
      <c r="P4" s="6">
        <f t="shared" si="1"/>
        <v>26</v>
      </c>
    </row>
    <row r="5" spans="1:26" ht="14.25" customHeight="1" x14ac:dyDescent="0.25">
      <c r="A5" s="7" t="s">
        <v>3</v>
      </c>
      <c r="C5" s="8"/>
    </row>
    <row r="6" spans="1:26" ht="14.25" customHeight="1" x14ac:dyDescent="0.25">
      <c r="B6" s="9" t="s">
        <v>4</v>
      </c>
      <c r="G6" s="10">
        <v>1651.97</v>
      </c>
      <c r="H6" s="10">
        <v>1964.44</v>
      </c>
      <c r="I6" s="10">
        <v>2292.08</v>
      </c>
      <c r="J6" s="10">
        <v>2410.48</v>
      </c>
      <c r="K6" s="10">
        <v>2359.15</v>
      </c>
      <c r="L6" s="11">
        <f>'Revenue Build Up'!L25</f>
        <v>2618.4842687299742</v>
      </c>
      <c r="M6" s="11">
        <f>'Revenue Build Up'!M25</f>
        <v>3088.4066732153651</v>
      </c>
      <c r="N6" s="11">
        <f>'Revenue Build Up'!N25</f>
        <v>3643.4466357814763</v>
      </c>
      <c r="O6" s="11">
        <f>'Revenue Build Up'!O25</f>
        <v>4299.0045497749434</v>
      </c>
      <c r="P6" s="11">
        <f>'Revenue Build Up'!P25</f>
        <v>5073.2701619677946</v>
      </c>
    </row>
    <row r="7" spans="1:26" ht="14.25" customHeight="1" x14ac:dyDescent="0.25">
      <c r="B7" s="12" t="s">
        <v>5</v>
      </c>
      <c r="C7" s="12"/>
      <c r="D7" s="12"/>
      <c r="E7" s="12"/>
      <c r="F7" s="12"/>
      <c r="G7" s="13">
        <f t="shared" ref="G7:P7" si="2">G6</f>
        <v>1651.97</v>
      </c>
      <c r="H7" s="13">
        <f t="shared" si="2"/>
        <v>1964.44</v>
      </c>
      <c r="I7" s="13">
        <f t="shared" si="2"/>
        <v>2292.08</v>
      </c>
      <c r="J7" s="13">
        <f t="shared" si="2"/>
        <v>2410.48</v>
      </c>
      <c r="K7" s="13">
        <f t="shared" si="2"/>
        <v>2359.15</v>
      </c>
      <c r="L7" s="13">
        <f t="shared" si="2"/>
        <v>2618.4842687299742</v>
      </c>
      <c r="M7" s="13">
        <f t="shared" si="2"/>
        <v>3088.4066732153651</v>
      </c>
      <c r="N7" s="13">
        <f t="shared" si="2"/>
        <v>3643.4466357814763</v>
      </c>
      <c r="O7" s="13">
        <f t="shared" si="2"/>
        <v>4299.0045497749434</v>
      </c>
      <c r="P7" s="13">
        <f t="shared" si="2"/>
        <v>5073.2701619677946</v>
      </c>
      <c r="R7" s="14"/>
    </row>
    <row r="8" spans="1:26" ht="14.25" customHeight="1" x14ac:dyDescent="0.25"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26" ht="14.25" customHeight="1" x14ac:dyDescent="0.25">
      <c r="A9" s="7" t="s">
        <v>6</v>
      </c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26" ht="14.25" customHeight="1" x14ac:dyDescent="0.25">
      <c r="A10" s="7"/>
      <c r="B10" s="9" t="s">
        <v>7</v>
      </c>
      <c r="G10" s="10">
        <v>746.65</v>
      </c>
      <c r="H10" s="10">
        <v>890.53000000000009</v>
      </c>
      <c r="I10" s="10">
        <v>1072.3200000000002</v>
      </c>
      <c r="J10" s="10">
        <v>1039.32</v>
      </c>
      <c r="K10" s="10">
        <v>1003.28</v>
      </c>
      <c r="L10" s="11">
        <f>'Cost Build Up'!L6</f>
        <v>1167.6223369806353</v>
      </c>
      <c r="M10" s="11">
        <f>'Cost Build Up'!M6</f>
        <v>1373.4246997197208</v>
      </c>
      <c r="N10" s="11">
        <f>'Cost Build Up'!N6</f>
        <v>1613.9701991254483</v>
      </c>
      <c r="O10" s="11">
        <f>'Cost Build Up'!O6</f>
        <v>1882.9955322626265</v>
      </c>
      <c r="P10" s="11">
        <f>'Cost Build Up'!P6</f>
        <v>2229.0698858728706</v>
      </c>
    </row>
    <row r="11" spans="1:26" ht="14.25" customHeight="1" x14ac:dyDescent="0.25">
      <c r="B11" s="9" t="s">
        <v>8</v>
      </c>
      <c r="G11" s="10">
        <v>177.04</v>
      </c>
      <c r="H11" s="10">
        <v>214.08</v>
      </c>
      <c r="I11" s="10">
        <v>258.66000000000003</v>
      </c>
      <c r="J11" s="10">
        <v>293.99</v>
      </c>
      <c r="K11" s="10">
        <v>301.39</v>
      </c>
      <c r="L11" s="11">
        <f>'Cost Build Up'!L23</f>
        <v>331.0014966467632</v>
      </c>
      <c r="M11" s="11">
        <f>'Cost Build Up'!M23</f>
        <v>390.40419043035155</v>
      </c>
      <c r="N11" s="11">
        <f>'Cost Build Up'!N23</f>
        <v>460.56655898154941</v>
      </c>
      <c r="O11" s="11">
        <f>'Cost Build Up'!O23</f>
        <v>543.43535955513971</v>
      </c>
      <c r="P11" s="11">
        <f>'Cost Build Up'!P23</f>
        <v>641.30995040088101</v>
      </c>
    </row>
    <row r="12" spans="1:26" ht="14.25" customHeight="1" x14ac:dyDescent="0.25">
      <c r="B12" s="9" t="s">
        <v>9</v>
      </c>
      <c r="G12" s="10"/>
      <c r="H12" s="10"/>
      <c r="I12" s="10"/>
      <c r="J12" s="10"/>
      <c r="K12" s="10"/>
      <c r="L12" s="11"/>
      <c r="M12" s="11"/>
      <c r="N12" s="11"/>
      <c r="O12" s="11"/>
      <c r="P12" s="11"/>
    </row>
    <row r="13" spans="1:26" ht="14.25" customHeight="1" x14ac:dyDescent="0.25">
      <c r="C13" s="9" t="s">
        <v>10</v>
      </c>
      <c r="G13" s="10">
        <v>69.48</v>
      </c>
      <c r="H13" s="10">
        <v>86.21</v>
      </c>
      <c r="I13" s="10">
        <v>76.760000000000005</v>
      </c>
      <c r="J13" s="10">
        <v>90.8</v>
      </c>
      <c r="K13" s="10">
        <v>69.569999999999993</v>
      </c>
      <c r="L13" s="11">
        <f>'Cost Build Up'!L26</f>
        <v>104.73937074919897</v>
      </c>
      <c r="M13" s="11">
        <f>'Cost Build Up'!M26</f>
        <v>123.53626692861461</v>
      </c>
      <c r="N13" s="11">
        <f>'Cost Build Up'!N26</f>
        <v>145.73786543125905</v>
      </c>
      <c r="O13" s="11">
        <f>'Cost Build Up'!O26</f>
        <v>171.96018199099774</v>
      </c>
      <c r="P13" s="11">
        <f>'Cost Build Up'!P26</f>
        <v>202.93080647871179</v>
      </c>
    </row>
    <row r="14" spans="1:26" ht="14.25" customHeight="1" x14ac:dyDescent="0.25">
      <c r="C14" s="9" t="s">
        <v>11</v>
      </c>
      <c r="G14" s="10">
        <v>73.23</v>
      </c>
      <c r="H14" s="10">
        <v>82.39</v>
      </c>
      <c r="I14" s="10">
        <v>99.18</v>
      </c>
      <c r="J14" s="10">
        <v>102.12</v>
      </c>
      <c r="K14" s="10">
        <v>102.62</v>
      </c>
      <c r="L14" s="11">
        <f>'Cost Build Up'!L29</f>
        <v>112.85667198226189</v>
      </c>
      <c r="M14" s="11">
        <f>'Cost Build Up'!M29</f>
        <v>133.11032761558224</v>
      </c>
      <c r="N14" s="11">
        <f>'Cost Build Up'!N29</f>
        <v>157.03255000218164</v>
      </c>
      <c r="O14" s="11">
        <f>'Cost Build Up'!O29</f>
        <v>185.28709609530006</v>
      </c>
      <c r="P14" s="11">
        <f>'Cost Build Up'!P29</f>
        <v>218.65794398081195</v>
      </c>
    </row>
    <row r="15" spans="1:26" ht="14.25" customHeight="1" x14ac:dyDescent="0.25">
      <c r="C15" s="9" t="s">
        <v>12</v>
      </c>
      <c r="G15" s="10">
        <v>47.63</v>
      </c>
      <c r="H15" s="10">
        <v>54</v>
      </c>
      <c r="I15" s="10">
        <v>70.88</v>
      </c>
      <c r="J15" s="10">
        <v>76.47</v>
      </c>
      <c r="K15" s="10">
        <v>73.47</v>
      </c>
      <c r="L15" s="11">
        <f>'Cost Build Up'!L32</f>
        <v>80.649315476883203</v>
      </c>
      <c r="M15" s="11">
        <f>'Cost Build Up'!M32</f>
        <v>95.122925535033247</v>
      </c>
      <c r="N15" s="11">
        <f>'Cost Build Up'!N32</f>
        <v>112.21815638206947</v>
      </c>
      <c r="O15" s="11">
        <f>'Cost Build Up'!O32</f>
        <v>132.40934013306827</v>
      </c>
      <c r="P15" s="11">
        <f>'Cost Build Up'!P32</f>
        <v>156.25672098860807</v>
      </c>
    </row>
    <row r="16" spans="1:26" ht="14.25" customHeight="1" x14ac:dyDescent="0.25">
      <c r="C16" s="9" t="s">
        <v>13</v>
      </c>
      <c r="G16" s="10">
        <v>126.77</v>
      </c>
      <c r="H16" s="10">
        <v>148.47999999999999</v>
      </c>
      <c r="I16" s="10">
        <v>194.76</v>
      </c>
      <c r="J16" s="10">
        <v>234.3</v>
      </c>
      <c r="K16" s="10">
        <v>183.23</v>
      </c>
      <c r="L16" s="11">
        <f>'Cost Build Up'!L35</f>
        <v>201.36144026533501</v>
      </c>
      <c r="M16" s="11">
        <f>'Cost Build Up'!M35</f>
        <v>237.49847317026158</v>
      </c>
      <c r="N16" s="11">
        <f>'Cost Build Up'!N35</f>
        <v>280.18104629159552</v>
      </c>
      <c r="O16" s="11">
        <f>'Cost Build Up'!O35</f>
        <v>330.5934498776931</v>
      </c>
      <c r="P16" s="11">
        <f>'Cost Build Up'!P35</f>
        <v>390.13447545532341</v>
      </c>
      <c r="R16" s="11"/>
    </row>
    <row r="17" spans="1:19" ht="14.25" customHeight="1" x14ac:dyDescent="0.25">
      <c r="C17" s="9" t="s">
        <v>14</v>
      </c>
      <c r="G17" s="10">
        <v>180.26</v>
      </c>
      <c r="H17" s="10">
        <v>186.66000000000003</v>
      </c>
      <c r="I17" s="10">
        <v>195.20999999999998</v>
      </c>
      <c r="J17" s="10">
        <v>164.53000000000003</v>
      </c>
      <c r="K17" s="10">
        <v>130.10000000000002</v>
      </c>
      <c r="L17" s="11">
        <f>'Cost Build Up'!L38</f>
        <v>122.7412766706247</v>
      </c>
      <c r="M17" s="11">
        <f>'Cost Build Up'!M38</f>
        <v>123.05352951863725</v>
      </c>
      <c r="N17" s="11">
        <f>'Cost Build Up'!N38</f>
        <v>123.39311601315256</v>
      </c>
      <c r="O17" s="11">
        <f>'Cost Build Up'!O38</f>
        <v>123.75573931852595</v>
      </c>
      <c r="P17" s="11">
        <f>'Cost Build Up'!P38</f>
        <v>124.13789018584291</v>
      </c>
    </row>
    <row r="18" spans="1:19" ht="14.25" customHeight="1" x14ac:dyDescent="0.25">
      <c r="A18" s="7"/>
      <c r="B18" s="12" t="s">
        <v>15</v>
      </c>
      <c r="C18" s="12"/>
      <c r="D18" s="12"/>
      <c r="E18" s="12"/>
      <c r="F18" s="12"/>
      <c r="G18" s="13">
        <f t="shared" ref="G18:P18" si="3">SUM(G10:G17)</f>
        <v>1421.06</v>
      </c>
      <c r="H18" s="13">
        <f t="shared" si="3"/>
        <v>1662.3500000000004</v>
      </c>
      <c r="I18" s="13">
        <f t="shared" si="3"/>
        <v>1967.7700000000002</v>
      </c>
      <c r="J18" s="13">
        <f t="shared" si="3"/>
        <v>2001.53</v>
      </c>
      <c r="K18" s="13">
        <f t="shared" si="3"/>
        <v>1863.6600000000003</v>
      </c>
      <c r="L18" s="13">
        <f t="shared" si="3"/>
        <v>2120.9719087717021</v>
      </c>
      <c r="M18" s="13">
        <f t="shared" si="3"/>
        <v>2476.1504129182013</v>
      </c>
      <c r="N18" s="13">
        <f t="shared" si="3"/>
        <v>2893.0994922272562</v>
      </c>
      <c r="O18" s="13">
        <f t="shared" si="3"/>
        <v>3370.4366992333516</v>
      </c>
      <c r="P18" s="13">
        <f t="shared" si="3"/>
        <v>3962.4976733630497</v>
      </c>
    </row>
    <row r="19" spans="1:19" ht="14.25" customHeight="1" x14ac:dyDescent="0.25">
      <c r="G19" s="10"/>
      <c r="H19" s="10"/>
      <c r="I19" s="10"/>
      <c r="J19" s="10"/>
      <c r="K19" s="10"/>
      <c r="L19" s="11"/>
      <c r="M19" s="11"/>
      <c r="N19" s="11"/>
      <c r="O19" s="11"/>
      <c r="P19" s="11"/>
    </row>
    <row r="20" spans="1:19" ht="14.25" customHeight="1" x14ac:dyDescent="0.25">
      <c r="B20" s="12" t="s">
        <v>16</v>
      </c>
      <c r="C20" s="12"/>
      <c r="D20" s="12"/>
      <c r="E20" s="12"/>
      <c r="F20" s="12"/>
      <c r="G20" s="13">
        <f t="shared" ref="G20:P20" si="4">G7-G18</f>
        <v>230.91000000000008</v>
      </c>
      <c r="H20" s="13">
        <f t="shared" si="4"/>
        <v>302.08999999999969</v>
      </c>
      <c r="I20" s="13">
        <f t="shared" si="4"/>
        <v>324.30999999999972</v>
      </c>
      <c r="J20" s="13">
        <f t="shared" si="4"/>
        <v>408.95000000000005</v>
      </c>
      <c r="K20" s="13">
        <f t="shared" si="4"/>
        <v>495.48999999999978</v>
      </c>
      <c r="L20" s="13">
        <f t="shared" si="4"/>
        <v>497.5123599582721</v>
      </c>
      <c r="M20" s="13">
        <f t="shared" si="4"/>
        <v>612.25626029716386</v>
      </c>
      <c r="N20" s="13">
        <f t="shared" si="4"/>
        <v>750.34714355422011</v>
      </c>
      <c r="O20" s="13">
        <f t="shared" si="4"/>
        <v>928.56785054159172</v>
      </c>
      <c r="P20" s="13">
        <f t="shared" si="4"/>
        <v>1110.7724886047449</v>
      </c>
    </row>
    <row r="21" spans="1:19" ht="14.25" customHeight="1" x14ac:dyDescent="0.25">
      <c r="B21" s="9" t="s">
        <v>17</v>
      </c>
      <c r="G21" s="10">
        <v>51.46</v>
      </c>
      <c r="H21" s="10">
        <v>54.34</v>
      </c>
      <c r="I21" s="10">
        <v>62.41</v>
      </c>
      <c r="J21" s="10">
        <v>109.42</v>
      </c>
      <c r="K21" s="10">
        <v>110.02</v>
      </c>
      <c r="L21" s="11">
        <f>'Assets and Lease Liab schedule'!L78</f>
        <v>122.17320000000001</v>
      </c>
      <c r="M21" s="11">
        <f>'Assets and Lease Liab schedule'!M78</f>
        <v>123.87859934364988</v>
      </c>
      <c r="N21" s="11">
        <f>'Assets and Lease Liab schedule'!N78</f>
        <v>132.71438819536172</v>
      </c>
      <c r="O21" s="11">
        <f>'Assets and Lease Liab schedule'!O78</f>
        <v>143.31062873653292</v>
      </c>
      <c r="P21" s="11">
        <f>'Assets and Lease Liab schedule'!P78</f>
        <v>156.02141109537638</v>
      </c>
      <c r="S21" s="11"/>
    </row>
    <row r="22" spans="1:19" ht="14.25" customHeight="1" x14ac:dyDescent="0.25">
      <c r="G22" s="10"/>
      <c r="H22" s="10"/>
      <c r="I22" s="10"/>
      <c r="J22" s="10"/>
      <c r="K22" s="10"/>
      <c r="L22" s="11"/>
      <c r="M22" s="11"/>
      <c r="N22" s="11"/>
      <c r="O22" s="11"/>
      <c r="P22" s="11"/>
      <c r="S22" s="11"/>
    </row>
    <row r="23" spans="1:19" ht="14.25" customHeight="1" x14ac:dyDescent="0.25">
      <c r="B23" s="12" t="s">
        <v>18</v>
      </c>
      <c r="C23" s="12"/>
      <c r="D23" s="12"/>
      <c r="E23" s="12"/>
      <c r="F23" s="12"/>
      <c r="G23" s="13">
        <f t="shared" ref="G23:P23" si="5">G20-G21</f>
        <v>179.45000000000007</v>
      </c>
      <c r="H23" s="13">
        <f t="shared" si="5"/>
        <v>247.74999999999969</v>
      </c>
      <c r="I23" s="13">
        <f t="shared" si="5"/>
        <v>261.89999999999975</v>
      </c>
      <c r="J23" s="13">
        <f t="shared" si="5"/>
        <v>299.53000000000003</v>
      </c>
      <c r="K23" s="13">
        <f t="shared" si="5"/>
        <v>385.4699999999998</v>
      </c>
      <c r="L23" s="13">
        <f t="shared" si="5"/>
        <v>375.33915995827209</v>
      </c>
      <c r="M23" s="13">
        <f t="shared" si="5"/>
        <v>488.37766095351401</v>
      </c>
      <c r="N23" s="13">
        <f t="shared" si="5"/>
        <v>617.63275535885839</v>
      </c>
      <c r="O23" s="13">
        <f t="shared" si="5"/>
        <v>785.25722180505886</v>
      </c>
      <c r="P23" s="13">
        <f t="shared" si="5"/>
        <v>954.75107750936854</v>
      </c>
    </row>
    <row r="24" spans="1:19" ht="14.25" customHeight="1" x14ac:dyDescent="0.25">
      <c r="B24" s="15" t="s">
        <v>19</v>
      </c>
      <c r="C24" s="8"/>
      <c r="D24" s="8"/>
      <c r="E24" s="8"/>
      <c r="F24" s="8"/>
      <c r="G24" s="10">
        <v>15.03</v>
      </c>
      <c r="H24" s="10">
        <v>8.59</v>
      </c>
      <c r="I24" s="10">
        <v>6.9</v>
      </c>
      <c r="J24" s="10">
        <v>16.87</v>
      </c>
      <c r="K24" s="10">
        <v>17.079999999999998</v>
      </c>
      <c r="L24" s="11">
        <f>'Assets and Lease Liab schedule'!L90</f>
        <v>19.272960000000001</v>
      </c>
      <c r="M24" s="11">
        <f>'Assets and Lease Liab schedule'!M90</f>
        <v>20.917439999999999</v>
      </c>
      <c r="N24" s="11">
        <f>'Assets and Lease Liab schedule'!N90</f>
        <v>20.746800000000004</v>
      </c>
      <c r="O24" s="11">
        <f>'Assets and Lease Liab schedule'!O90</f>
        <v>18.156000000000006</v>
      </c>
      <c r="P24" s="11">
        <f>'Assets and Lease Liab schedule'!P90</f>
        <v>12.54000000000001</v>
      </c>
    </row>
    <row r="25" spans="1:19" ht="14.25" customHeight="1" x14ac:dyDescent="0.25">
      <c r="B25" s="9" t="s">
        <v>20</v>
      </c>
      <c r="G25" s="10">
        <v>13.61</v>
      </c>
      <c r="H25" s="10">
        <v>4.46</v>
      </c>
      <c r="I25" s="10">
        <v>12.98</v>
      </c>
      <c r="J25" s="10">
        <v>9.0500000000000007</v>
      </c>
      <c r="K25" s="10">
        <v>22.77</v>
      </c>
      <c r="L25" s="11">
        <f>'Revenue Build Up'!L27</f>
        <v>34.155000000000001</v>
      </c>
      <c r="M25" s="11">
        <f>'Revenue Build Up'!M27</f>
        <v>39.27825</v>
      </c>
      <c r="N25" s="11">
        <f>'Revenue Build Up'!N27</f>
        <v>45.169987499999998</v>
      </c>
      <c r="O25" s="11">
        <f>'Revenue Build Up'!O27</f>
        <v>51.945485624999996</v>
      </c>
      <c r="P25" s="11">
        <f>'Revenue Build Up'!P27</f>
        <v>59.737308468749994</v>
      </c>
    </row>
    <row r="26" spans="1:19" ht="14.25" customHeight="1" x14ac:dyDescent="0.25">
      <c r="B26" s="16" t="s">
        <v>21</v>
      </c>
      <c r="C26" s="16"/>
      <c r="D26" s="16"/>
      <c r="E26" s="16"/>
      <c r="F26" s="16"/>
      <c r="G26" s="17">
        <f t="shared" ref="G26:P26" si="6">G23-G24+G25</f>
        <v>178.03000000000009</v>
      </c>
      <c r="H26" s="17">
        <f t="shared" si="6"/>
        <v>243.61999999999969</v>
      </c>
      <c r="I26" s="17">
        <f t="shared" si="6"/>
        <v>267.97999999999973</v>
      </c>
      <c r="J26" s="17">
        <f t="shared" si="6"/>
        <v>291.71000000000004</v>
      </c>
      <c r="K26" s="17">
        <f t="shared" si="6"/>
        <v>391.1599999999998</v>
      </c>
      <c r="L26" s="17">
        <f t="shared" si="6"/>
        <v>390.22119995827211</v>
      </c>
      <c r="M26" s="17">
        <f t="shared" si="6"/>
        <v>506.73847095351402</v>
      </c>
      <c r="N26" s="17">
        <f t="shared" si="6"/>
        <v>642.05594285885843</v>
      </c>
      <c r="O26" s="17">
        <f t="shared" si="6"/>
        <v>819.04670743005886</v>
      </c>
      <c r="P26" s="17">
        <f t="shared" si="6"/>
        <v>1001.9483859781186</v>
      </c>
    </row>
    <row r="27" spans="1:19" ht="14.25" customHeight="1" x14ac:dyDescent="0.2"/>
    <row r="28" spans="1:19" ht="14.25" customHeight="1" x14ac:dyDescent="0.25">
      <c r="A28" s="7" t="s">
        <v>22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9" ht="14.25" customHeight="1" x14ac:dyDescent="0.25">
      <c r="B29" s="9" t="s">
        <v>23</v>
      </c>
      <c r="G29" s="10">
        <v>57.23</v>
      </c>
      <c r="H29" s="10">
        <v>81.53</v>
      </c>
      <c r="I29" s="10">
        <v>85.64</v>
      </c>
      <c r="J29" s="10">
        <v>74.92</v>
      </c>
      <c r="K29" s="10">
        <v>102.03</v>
      </c>
      <c r="L29" s="11">
        <f t="shared" ref="L29:P29" si="7">L26*L37</f>
        <v>101.78512381568291</v>
      </c>
      <c r="M29" s="11">
        <f t="shared" si="7"/>
        <v>132.17743683246513</v>
      </c>
      <c r="N29" s="11">
        <f t="shared" si="7"/>
        <v>167.47358587250577</v>
      </c>
      <c r="O29" s="11">
        <f t="shared" si="7"/>
        <v>213.63977799133079</v>
      </c>
      <c r="P29" s="11">
        <f t="shared" si="7"/>
        <v>261.34777027647891</v>
      </c>
    </row>
    <row r="30" spans="1:19" ht="14.25" customHeight="1" x14ac:dyDescent="0.25">
      <c r="B30" s="9" t="s">
        <v>24</v>
      </c>
      <c r="G30" s="10">
        <v>1.02</v>
      </c>
      <c r="H30" s="10">
        <v>1.02</v>
      </c>
      <c r="I30" s="10">
        <v>6.9</v>
      </c>
      <c r="J30" s="10">
        <v>-9.4600000000000009</v>
      </c>
      <c r="K30" s="10">
        <v>-2.4300000000000002</v>
      </c>
      <c r="L30" s="11">
        <f t="shared" ref="L30:P30" si="8">K30</f>
        <v>-2.4300000000000002</v>
      </c>
      <c r="M30" s="11">
        <f t="shared" si="8"/>
        <v>-2.4300000000000002</v>
      </c>
      <c r="N30" s="11">
        <f t="shared" si="8"/>
        <v>-2.4300000000000002</v>
      </c>
      <c r="O30" s="11">
        <f t="shared" si="8"/>
        <v>-2.4300000000000002</v>
      </c>
      <c r="P30" s="11">
        <f t="shared" si="8"/>
        <v>-2.4300000000000002</v>
      </c>
    </row>
    <row r="31" spans="1:19" ht="14.25" customHeight="1" x14ac:dyDescent="0.25">
      <c r="B31" s="9" t="s">
        <v>25</v>
      </c>
      <c r="G31" s="10">
        <v>-0.17</v>
      </c>
      <c r="H31" s="10">
        <v>0</v>
      </c>
      <c r="I31" s="10">
        <v>0</v>
      </c>
      <c r="J31" s="10">
        <v>0</v>
      </c>
      <c r="K31" s="10">
        <v>0</v>
      </c>
      <c r="L31" s="11">
        <f t="shared" ref="L31:P31" si="9">K31</f>
        <v>0</v>
      </c>
      <c r="M31" s="11">
        <f t="shared" si="9"/>
        <v>0</v>
      </c>
      <c r="N31" s="11">
        <f t="shared" si="9"/>
        <v>0</v>
      </c>
      <c r="O31" s="11">
        <f t="shared" si="9"/>
        <v>0</v>
      </c>
      <c r="P31" s="11">
        <f t="shared" si="9"/>
        <v>0</v>
      </c>
    </row>
    <row r="32" spans="1:19" ht="14.25" customHeight="1" x14ac:dyDescent="0.25">
      <c r="B32" s="12" t="s">
        <v>26</v>
      </c>
      <c r="C32" s="12"/>
      <c r="D32" s="12"/>
      <c r="E32" s="12"/>
      <c r="F32" s="12"/>
      <c r="G32" s="13">
        <f t="shared" ref="G32:P32" si="10">SUM(G29:G31)</f>
        <v>58.08</v>
      </c>
      <c r="H32" s="13">
        <f t="shared" si="10"/>
        <v>82.55</v>
      </c>
      <c r="I32" s="13">
        <f t="shared" si="10"/>
        <v>92.54</v>
      </c>
      <c r="J32" s="13">
        <f t="shared" si="10"/>
        <v>65.460000000000008</v>
      </c>
      <c r="K32" s="13">
        <f t="shared" si="10"/>
        <v>99.6</v>
      </c>
      <c r="L32" s="13">
        <f t="shared" si="10"/>
        <v>99.355123815682902</v>
      </c>
      <c r="M32" s="13">
        <f t="shared" si="10"/>
        <v>129.74743683246513</v>
      </c>
      <c r="N32" s="13">
        <f t="shared" si="10"/>
        <v>165.04358587250576</v>
      </c>
      <c r="O32" s="13">
        <f t="shared" si="10"/>
        <v>211.20977799133078</v>
      </c>
      <c r="P32" s="13">
        <f t="shared" si="10"/>
        <v>258.9177702764789</v>
      </c>
    </row>
    <row r="33" spans="2:16" ht="14.25" customHeight="1" x14ac:dyDescent="0.25"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2:16" ht="14.25" customHeight="1" x14ac:dyDescent="0.25">
      <c r="B34" s="16" t="s">
        <v>27</v>
      </c>
      <c r="C34" s="16"/>
      <c r="D34" s="16"/>
      <c r="E34" s="16"/>
      <c r="F34" s="16"/>
      <c r="G34" s="17">
        <f t="shared" ref="G34:P34" si="11">G26-G32</f>
        <v>119.95000000000009</v>
      </c>
      <c r="H34" s="17">
        <f t="shared" si="11"/>
        <v>161.06999999999971</v>
      </c>
      <c r="I34" s="17">
        <f t="shared" si="11"/>
        <v>175.43999999999971</v>
      </c>
      <c r="J34" s="17">
        <f t="shared" si="11"/>
        <v>226.25000000000003</v>
      </c>
      <c r="K34" s="17">
        <f t="shared" si="11"/>
        <v>291.55999999999983</v>
      </c>
      <c r="L34" s="17">
        <f t="shared" si="11"/>
        <v>290.86607614258924</v>
      </c>
      <c r="M34" s="17">
        <f t="shared" si="11"/>
        <v>376.99103412104887</v>
      </c>
      <c r="N34" s="17">
        <f t="shared" si="11"/>
        <v>477.01235698635264</v>
      </c>
      <c r="O34" s="17">
        <f t="shared" si="11"/>
        <v>607.83692943872802</v>
      </c>
      <c r="P34" s="17">
        <f t="shared" si="11"/>
        <v>743.0306157016397</v>
      </c>
    </row>
    <row r="35" spans="2:16" ht="14.25" customHeight="1" x14ac:dyDescent="0.25"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2:16" ht="14.25" customHeight="1" x14ac:dyDescent="0.25"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2:16" ht="14.25" customHeight="1" x14ac:dyDescent="0.25">
      <c r="C37" s="12" t="s">
        <v>28</v>
      </c>
      <c r="D37" s="18"/>
      <c r="E37" s="18"/>
      <c r="F37" s="18"/>
      <c r="G37" s="19">
        <f t="shared" ref="G37:K37" si="12">G29/G26</f>
        <v>0.32146267483008462</v>
      </c>
      <c r="H37" s="19">
        <f t="shared" si="12"/>
        <v>0.33466053690173264</v>
      </c>
      <c r="I37" s="19">
        <f t="shared" si="12"/>
        <v>0.31957608776774415</v>
      </c>
      <c r="J37" s="19">
        <f t="shared" si="12"/>
        <v>0.25683041376709742</v>
      </c>
      <c r="K37" s="19">
        <f t="shared" si="12"/>
        <v>0.2608395541466409</v>
      </c>
      <c r="L37" s="19">
        <f t="shared" ref="L37:P37" si="13">K37</f>
        <v>0.2608395541466409</v>
      </c>
      <c r="M37" s="19">
        <f t="shared" si="13"/>
        <v>0.2608395541466409</v>
      </c>
      <c r="N37" s="19">
        <f t="shared" si="13"/>
        <v>0.2608395541466409</v>
      </c>
      <c r="O37" s="19">
        <f t="shared" si="13"/>
        <v>0.2608395541466409</v>
      </c>
      <c r="P37" s="19">
        <f t="shared" si="13"/>
        <v>0.2608395541466409</v>
      </c>
    </row>
    <row r="38" spans="2:16" ht="14.25" customHeight="1" x14ac:dyDescent="0.25"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2:16" ht="14.25" customHeight="1" x14ac:dyDescent="0.2"/>
    <row r="40" spans="2:16" ht="14.25" customHeight="1" x14ac:dyDescent="0.25">
      <c r="I40" s="20"/>
    </row>
    <row r="41" spans="2:16" ht="14.25" customHeight="1" x14ac:dyDescent="0.2"/>
    <row r="42" spans="2:16" ht="14.25" customHeight="1" x14ac:dyDescent="0.2"/>
    <row r="43" spans="2:16" ht="14.25" customHeight="1" x14ac:dyDescent="0.2"/>
    <row r="44" spans="2:16" ht="14.25" customHeight="1" x14ac:dyDescent="0.2"/>
    <row r="45" spans="2:16" ht="14.25" customHeight="1" x14ac:dyDescent="0.2"/>
    <row r="46" spans="2:16" ht="14.25" customHeight="1" x14ac:dyDescent="0.2"/>
    <row r="47" spans="2:16" ht="14.25" customHeight="1" x14ac:dyDescent="0.2"/>
    <row r="48" spans="2:1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45" sqref="C45"/>
    </sheetView>
  </sheetViews>
  <sheetFormatPr defaultColWidth="12.625" defaultRowHeight="15" customHeight="1" outlineLevelRow="1" x14ac:dyDescent="0.2"/>
  <cols>
    <col min="1" max="2" width="4.625" customWidth="1"/>
    <col min="3" max="3" width="37.5" customWidth="1"/>
    <col min="4" max="6" width="4.625" customWidth="1"/>
    <col min="7" max="11" width="7.75" customWidth="1"/>
    <col min="12" max="26" width="7.625" customWidth="1"/>
  </cols>
  <sheetData>
    <row r="1" spans="1:26" ht="14.25" customHeight="1" x14ac:dyDescent="0.3">
      <c r="A1" s="1" t="s">
        <v>211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</v>
      </c>
      <c r="B2" s="3"/>
      <c r="C2" s="3"/>
      <c r="D2" s="3"/>
      <c r="E2" s="3"/>
      <c r="F2" s="3"/>
      <c r="G2" s="3">
        <v>1</v>
      </c>
      <c r="H2" s="3">
        <f t="shared" ref="H2:P2" si="0">G2+1</f>
        <v>2</v>
      </c>
      <c r="I2" s="3">
        <f t="shared" si="0"/>
        <v>3</v>
      </c>
      <c r="J2" s="3">
        <f t="shared" si="0"/>
        <v>4</v>
      </c>
      <c r="K2" s="3">
        <f t="shared" si="0"/>
        <v>5</v>
      </c>
      <c r="L2" s="3">
        <f t="shared" si="0"/>
        <v>6</v>
      </c>
      <c r="M2" s="3">
        <f t="shared" si="0"/>
        <v>7</v>
      </c>
      <c r="N2" s="3">
        <f t="shared" si="0"/>
        <v>8</v>
      </c>
      <c r="O2" s="3">
        <f t="shared" si="0"/>
        <v>9</v>
      </c>
      <c r="P2" s="3">
        <f t="shared" si="0"/>
        <v>10</v>
      </c>
    </row>
    <row r="3" spans="1:26" ht="14.25" customHeight="1" x14ac:dyDescent="0.2"/>
    <row r="4" spans="1:26" ht="14.25" customHeight="1" x14ac:dyDescent="0.25">
      <c r="A4" s="3" t="s">
        <v>2</v>
      </c>
      <c r="G4" s="21">
        <v>17</v>
      </c>
      <c r="H4" s="21">
        <f t="shared" ref="H4:P4" si="1">G4+1</f>
        <v>18</v>
      </c>
      <c r="I4" s="21">
        <f t="shared" si="1"/>
        <v>19</v>
      </c>
      <c r="J4" s="21">
        <f t="shared" si="1"/>
        <v>20</v>
      </c>
      <c r="K4" s="21">
        <f t="shared" si="1"/>
        <v>21</v>
      </c>
      <c r="L4" s="22">
        <f t="shared" si="1"/>
        <v>22</v>
      </c>
      <c r="M4" s="22">
        <f t="shared" si="1"/>
        <v>23</v>
      </c>
      <c r="N4" s="22">
        <f t="shared" si="1"/>
        <v>24</v>
      </c>
      <c r="O4" s="22">
        <f t="shared" si="1"/>
        <v>25</v>
      </c>
      <c r="P4" s="22">
        <f t="shared" si="1"/>
        <v>26</v>
      </c>
    </row>
    <row r="5" spans="1:26" ht="14.25" customHeight="1" x14ac:dyDescent="0.2"/>
    <row r="6" spans="1:26" ht="14.25" customHeight="1" x14ac:dyDescent="0.25">
      <c r="B6" s="7" t="s">
        <v>212</v>
      </c>
    </row>
    <row r="7" spans="1:26" ht="14.25" customHeight="1" x14ac:dyDescent="0.25">
      <c r="B7" s="18" t="s">
        <v>213</v>
      </c>
      <c r="C7" s="18"/>
      <c r="D7" s="18"/>
      <c r="E7" s="18"/>
      <c r="F7" s="18"/>
      <c r="G7" s="13">
        <f t="shared" ref="G7:K7" si="2">G26</f>
        <v>60.980000000000011</v>
      </c>
      <c r="H7" s="13">
        <f t="shared" si="2"/>
        <v>36.4</v>
      </c>
      <c r="I7" s="13">
        <f t="shared" si="2"/>
        <v>234.11</v>
      </c>
      <c r="J7" s="13">
        <f t="shared" si="2"/>
        <v>64.13000000000001</v>
      </c>
      <c r="K7" s="13">
        <f t="shared" si="2"/>
        <v>34.679999999999993</v>
      </c>
      <c r="L7" s="13">
        <f>L8*'P&amp;L'!L7</f>
        <v>130.92421343649872</v>
      </c>
      <c r="M7" s="13">
        <f>M8*'P&amp;L'!M7</f>
        <v>154.42033366076828</v>
      </c>
      <c r="N7" s="13">
        <f>N8*'P&amp;L'!N7</f>
        <v>182.17233178907384</v>
      </c>
      <c r="O7" s="13">
        <f>O8*'P&amp;L'!O7</f>
        <v>214.95022748874717</v>
      </c>
      <c r="P7" s="13">
        <f>P8*'P&amp;L'!P7</f>
        <v>253.66350809838974</v>
      </c>
    </row>
    <row r="8" spans="1:26" ht="14.25" customHeight="1" x14ac:dyDescent="0.25">
      <c r="C8" s="9" t="s">
        <v>214</v>
      </c>
      <c r="G8" s="39">
        <f>G7/'P&amp;L'!G6</f>
        <v>3.6913503271851188E-2</v>
      </c>
      <c r="H8" s="39">
        <f>H7/'P&amp;L'!H6</f>
        <v>1.85294536865468E-2</v>
      </c>
      <c r="I8" s="39">
        <f>I7/'P&amp;L'!I6</f>
        <v>0.10213866880737148</v>
      </c>
      <c r="J8" s="39">
        <f>J7/'P&amp;L'!J6</f>
        <v>2.6604659652849229E-2</v>
      </c>
      <c r="K8" s="39">
        <f>K7/'P&amp;L'!K6</f>
        <v>1.4700209821333951E-2</v>
      </c>
      <c r="L8" s="58">
        <v>0.05</v>
      </c>
      <c r="M8" s="58">
        <v>0.05</v>
      </c>
      <c r="N8" s="58">
        <v>0.05</v>
      </c>
      <c r="O8" s="58">
        <v>0.05</v>
      </c>
      <c r="P8" s="58">
        <v>0.05</v>
      </c>
    </row>
    <row r="9" spans="1:26" ht="14.25" customHeight="1" x14ac:dyDescent="0.25">
      <c r="B9" s="7" t="s">
        <v>215</v>
      </c>
      <c r="G9" s="62"/>
      <c r="H9" s="62"/>
      <c r="I9" s="72" t="s">
        <v>216</v>
      </c>
      <c r="J9" s="62"/>
      <c r="K9" s="62"/>
      <c r="L9" s="11"/>
      <c r="M9" s="11"/>
      <c r="N9" s="11"/>
      <c r="O9" s="11"/>
      <c r="P9" s="11"/>
    </row>
    <row r="10" spans="1:26" ht="14.25" customHeight="1" x14ac:dyDescent="0.25">
      <c r="B10" s="15" t="s">
        <v>217</v>
      </c>
      <c r="G10" s="62"/>
      <c r="H10" s="62"/>
      <c r="I10" s="62"/>
      <c r="J10" s="62"/>
      <c r="K10" s="62"/>
      <c r="L10" s="11"/>
      <c r="M10" s="11"/>
      <c r="N10" s="11"/>
      <c r="O10" s="11"/>
      <c r="P10" s="11"/>
    </row>
    <row r="11" spans="1:26" ht="14.25" customHeight="1" x14ac:dyDescent="0.25">
      <c r="B11" s="3" t="s">
        <v>218</v>
      </c>
      <c r="G11" s="62"/>
      <c r="H11" s="62"/>
      <c r="I11" s="62"/>
      <c r="J11" s="62"/>
      <c r="K11" s="62"/>
      <c r="L11" s="11"/>
      <c r="M11" s="11"/>
      <c r="N11" s="11"/>
      <c r="O11" s="11"/>
      <c r="P11" s="11"/>
    </row>
    <row r="12" spans="1:26" ht="14.25" hidden="1" customHeight="1" outlineLevel="1" x14ac:dyDescent="0.25">
      <c r="B12" s="7"/>
      <c r="C12" s="9" t="s">
        <v>219</v>
      </c>
      <c r="G12" s="10">
        <v>0</v>
      </c>
      <c r="H12" s="10">
        <v>0</v>
      </c>
      <c r="I12" s="10">
        <v>0</v>
      </c>
      <c r="J12" s="10">
        <v>0</v>
      </c>
      <c r="K12" s="10">
        <v>0.48</v>
      </c>
      <c r="L12" s="11"/>
      <c r="M12" s="11"/>
      <c r="N12" s="11"/>
      <c r="O12" s="11"/>
      <c r="P12" s="11"/>
    </row>
    <row r="13" spans="1:26" ht="14.25" hidden="1" customHeight="1" outlineLevel="1" x14ac:dyDescent="0.25">
      <c r="B13" s="7"/>
      <c r="C13" s="9" t="s">
        <v>220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1"/>
      <c r="M13" s="11"/>
      <c r="N13" s="11"/>
      <c r="O13" s="11"/>
      <c r="P13" s="11"/>
    </row>
    <row r="14" spans="1:26" ht="14.25" hidden="1" customHeight="1" outlineLevel="1" x14ac:dyDescent="0.25">
      <c r="B14" s="7"/>
      <c r="C14" s="9" t="s">
        <v>221</v>
      </c>
      <c r="G14" s="10">
        <v>29.45</v>
      </c>
      <c r="H14" s="10">
        <v>2.69</v>
      </c>
      <c r="I14" s="10">
        <v>117.16</v>
      </c>
      <c r="J14" s="10">
        <v>0.41</v>
      </c>
      <c r="K14" s="10">
        <v>0</v>
      </c>
      <c r="L14" s="11"/>
      <c r="M14" s="11"/>
      <c r="N14" s="11"/>
      <c r="O14" s="11"/>
      <c r="P14" s="11"/>
    </row>
    <row r="15" spans="1:26" ht="14.25" hidden="1" customHeight="1" outlineLevel="1" x14ac:dyDescent="0.25">
      <c r="B15" s="7"/>
      <c r="C15" s="9" t="s">
        <v>222</v>
      </c>
      <c r="G15" s="10">
        <v>2.39</v>
      </c>
      <c r="H15" s="10">
        <v>3.13</v>
      </c>
      <c r="I15" s="10">
        <v>2.1</v>
      </c>
      <c r="J15" s="10">
        <v>2.2599999999999998</v>
      </c>
      <c r="K15" s="10">
        <v>0.63</v>
      </c>
      <c r="L15" s="11"/>
      <c r="M15" s="11"/>
      <c r="N15" s="11"/>
      <c r="O15" s="11"/>
      <c r="P15" s="11"/>
    </row>
    <row r="16" spans="1:26" ht="14.25" hidden="1" customHeight="1" outlineLevel="1" x14ac:dyDescent="0.25">
      <c r="B16" s="7"/>
      <c r="C16" s="9" t="s">
        <v>223</v>
      </c>
      <c r="G16" s="10">
        <v>6.04</v>
      </c>
      <c r="H16" s="10">
        <v>9.69</v>
      </c>
      <c r="I16" s="10">
        <v>74.97</v>
      </c>
      <c r="J16" s="10">
        <v>30.07</v>
      </c>
      <c r="K16" s="10">
        <v>9.69</v>
      </c>
      <c r="L16" s="11"/>
      <c r="M16" s="11"/>
      <c r="N16" s="11"/>
      <c r="O16" s="11"/>
      <c r="P16" s="11"/>
    </row>
    <row r="17" spans="2:16" ht="14.25" hidden="1" customHeight="1" outlineLevel="1" x14ac:dyDescent="0.25">
      <c r="B17" s="7"/>
      <c r="C17" s="9" t="s">
        <v>224</v>
      </c>
      <c r="G17" s="10">
        <v>14.08</v>
      </c>
      <c r="H17" s="10">
        <v>9.7200000000000006</v>
      </c>
      <c r="I17" s="10">
        <v>15.15</v>
      </c>
      <c r="J17" s="10">
        <v>20.41</v>
      </c>
      <c r="K17" s="10">
        <v>16.149999999999999</v>
      </c>
      <c r="L17" s="11"/>
      <c r="M17" s="11"/>
      <c r="N17" s="11"/>
      <c r="O17" s="11"/>
      <c r="P17" s="11"/>
    </row>
    <row r="18" spans="2:16" ht="14.25" hidden="1" customHeight="1" outlineLevel="1" x14ac:dyDescent="0.25">
      <c r="B18" s="7"/>
      <c r="C18" s="9" t="s">
        <v>225</v>
      </c>
      <c r="G18" s="10">
        <v>1.52</v>
      </c>
      <c r="H18" s="10">
        <v>3.79</v>
      </c>
      <c r="I18" s="10">
        <v>3.06</v>
      </c>
      <c r="J18" s="10">
        <v>2.95</v>
      </c>
      <c r="K18" s="10">
        <v>1.06</v>
      </c>
      <c r="L18" s="11"/>
      <c r="M18" s="11"/>
      <c r="N18" s="11"/>
      <c r="O18" s="11"/>
      <c r="P18" s="11"/>
    </row>
    <row r="19" spans="2:16" ht="14.25" hidden="1" customHeight="1" outlineLevel="1" x14ac:dyDescent="0.25">
      <c r="B19" s="7"/>
      <c r="C19" s="9" t="s">
        <v>226</v>
      </c>
      <c r="G19" s="10">
        <v>2.33</v>
      </c>
      <c r="H19" s="10">
        <v>1.1100000000000001</v>
      </c>
      <c r="I19" s="10">
        <v>2.5099999999999998</v>
      </c>
      <c r="J19" s="10">
        <v>0.15</v>
      </c>
      <c r="K19" s="10">
        <v>3.02</v>
      </c>
      <c r="L19" s="11"/>
      <c r="M19" s="11"/>
      <c r="N19" s="11"/>
      <c r="O19" s="11"/>
      <c r="P19" s="11"/>
    </row>
    <row r="20" spans="2:16" ht="14.25" hidden="1" customHeight="1" outlineLevel="1" x14ac:dyDescent="0.25">
      <c r="B20" s="7"/>
      <c r="C20" s="9" t="s">
        <v>227</v>
      </c>
      <c r="G20" s="10">
        <v>0</v>
      </c>
      <c r="H20" s="10">
        <v>0.38</v>
      </c>
      <c r="I20" s="10">
        <v>1.02</v>
      </c>
      <c r="J20" s="10">
        <v>0.41</v>
      </c>
      <c r="K20" s="10">
        <v>0.24</v>
      </c>
      <c r="L20" s="11"/>
      <c r="M20" s="11"/>
      <c r="N20" s="11"/>
      <c r="O20" s="11"/>
      <c r="P20" s="11"/>
    </row>
    <row r="21" spans="2:16" ht="14.25" hidden="1" customHeight="1" outlineLevel="1" x14ac:dyDescent="0.25">
      <c r="B21" s="7"/>
      <c r="C21" s="9" t="s">
        <v>228</v>
      </c>
      <c r="G21" s="10">
        <v>1.77</v>
      </c>
      <c r="H21" s="10">
        <v>2.27</v>
      </c>
      <c r="I21" s="10">
        <v>5.15</v>
      </c>
      <c r="J21" s="10">
        <v>3.57</v>
      </c>
      <c r="K21" s="10">
        <v>1.99</v>
      </c>
      <c r="L21" s="11"/>
      <c r="M21" s="11"/>
      <c r="N21" s="11"/>
      <c r="O21" s="11"/>
      <c r="P21" s="11"/>
    </row>
    <row r="22" spans="2:16" ht="14.25" hidden="1" customHeight="1" outlineLevel="1" x14ac:dyDescent="0.25">
      <c r="B22" s="7"/>
      <c r="C22" s="9" t="s">
        <v>229</v>
      </c>
      <c r="G22" s="10">
        <v>2.31</v>
      </c>
      <c r="H22" s="10">
        <v>1.05</v>
      </c>
      <c r="I22" s="10">
        <v>11.03</v>
      </c>
      <c r="J22" s="10">
        <v>2.27</v>
      </c>
      <c r="K22" s="10">
        <v>0.54</v>
      </c>
      <c r="L22" s="11"/>
      <c r="M22" s="11"/>
      <c r="N22" s="11"/>
      <c r="O22" s="11"/>
      <c r="P22" s="11"/>
    </row>
    <row r="23" spans="2:16" ht="14.25" hidden="1" customHeight="1" outlineLevel="1" x14ac:dyDescent="0.25">
      <c r="B23" s="7"/>
      <c r="C23" s="9" t="s">
        <v>230</v>
      </c>
      <c r="G23" s="10">
        <v>0.89</v>
      </c>
      <c r="H23" s="10">
        <v>1.94</v>
      </c>
      <c r="I23" s="10">
        <v>1.55</v>
      </c>
      <c r="J23" s="10">
        <v>1.03</v>
      </c>
      <c r="K23" s="10">
        <v>0.75</v>
      </c>
      <c r="L23" s="11"/>
      <c r="M23" s="11"/>
      <c r="N23" s="11"/>
      <c r="O23" s="11"/>
      <c r="P23" s="11"/>
    </row>
    <row r="24" spans="2:16" ht="14.25" hidden="1" customHeight="1" outlineLevel="1" x14ac:dyDescent="0.25">
      <c r="B24" s="7"/>
      <c r="C24" s="9" t="s">
        <v>231</v>
      </c>
      <c r="G24" s="10">
        <v>0.2</v>
      </c>
      <c r="H24" s="10">
        <v>0.63</v>
      </c>
      <c r="I24" s="10">
        <v>0.41</v>
      </c>
      <c r="J24" s="10">
        <v>0.6</v>
      </c>
      <c r="K24" s="10">
        <v>0.13</v>
      </c>
      <c r="L24" s="11"/>
      <c r="M24" s="11"/>
      <c r="N24" s="11"/>
      <c r="O24" s="11"/>
      <c r="P24" s="11"/>
    </row>
    <row r="25" spans="2:16" ht="12.75" hidden="1" customHeight="1" outlineLevel="1" x14ac:dyDescent="0.25">
      <c r="B25" s="7"/>
      <c r="C25" s="9" t="s">
        <v>232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1"/>
      <c r="M25" s="11"/>
      <c r="N25" s="11"/>
      <c r="O25" s="11"/>
      <c r="P25" s="11"/>
    </row>
    <row r="26" spans="2:16" ht="14.25" customHeight="1" collapsed="1" x14ac:dyDescent="0.25">
      <c r="B26" s="12" t="s">
        <v>233</v>
      </c>
      <c r="C26" s="12"/>
      <c r="D26" s="12"/>
      <c r="E26" s="12"/>
      <c r="F26" s="12"/>
      <c r="G26" s="13">
        <f t="shared" ref="G26:K26" si="3">SUM(G10:G25)</f>
        <v>60.980000000000011</v>
      </c>
      <c r="H26" s="13">
        <f t="shared" si="3"/>
        <v>36.4</v>
      </c>
      <c r="I26" s="13">
        <f t="shared" si="3"/>
        <v>234.11</v>
      </c>
      <c r="J26" s="13">
        <f t="shared" si="3"/>
        <v>64.13000000000001</v>
      </c>
      <c r="K26" s="13">
        <f t="shared" si="3"/>
        <v>34.679999999999993</v>
      </c>
      <c r="L26" s="13">
        <f t="shared" ref="L26:P26" si="4">L7</f>
        <v>130.92421343649872</v>
      </c>
      <c r="M26" s="13">
        <f t="shared" si="4"/>
        <v>154.42033366076828</v>
      </c>
      <c r="N26" s="13">
        <f t="shared" si="4"/>
        <v>182.17233178907384</v>
      </c>
      <c r="O26" s="13">
        <f t="shared" si="4"/>
        <v>214.95022748874717</v>
      </c>
      <c r="P26" s="13">
        <f t="shared" si="4"/>
        <v>253.66350809838974</v>
      </c>
    </row>
    <row r="27" spans="2:16" ht="14.25" customHeight="1" x14ac:dyDescent="0.25">
      <c r="B27" s="7" t="s">
        <v>234</v>
      </c>
      <c r="G27" s="62"/>
      <c r="H27" s="62"/>
      <c r="I27" s="62"/>
      <c r="J27" s="62"/>
      <c r="K27" s="62"/>
      <c r="L27" s="11"/>
      <c r="M27" s="11"/>
      <c r="N27" s="11"/>
      <c r="O27" s="11"/>
      <c r="P27" s="11"/>
    </row>
    <row r="28" spans="2:16" ht="14.25" customHeight="1" x14ac:dyDescent="0.25">
      <c r="B28" s="7" t="s">
        <v>217</v>
      </c>
      <c r="G28" s="62"/>
      <c r="H28" s="62"/>
      <c r="I28" s="62"/>
      <c r="J28" s="62"/>
      <c r="K28" s="62"/>
      <c r="L28" s="11"/>
      <c r="M28" s="11"/>
      <c r="N28" s="11"/>
      <c r="O28" s="11"/>
      <c r="P28" s="11"/>
    </row>
    <row r="29" spans="2:16" ht="14.25" customHeight="1" x14ac:dyDescent="0.25">
      <c r="B29" s="3" t="s">
        <v>218</v>
      </c>
      <c r="G29" s="62"/>
      <c r="H29" s="62"/>
      <c r="I29" s="62"/>
      <c r="J29" s="62"/>
      <c r="K29" s="62"/>
      <c r="L29" s="11"/>
      <c r="M29" s="11"/>
      <c r="N29" s="11"/>
      <c r="O29" s="11"/>
      <c r="P29" s="11"/>
    </row>
    <row r="30" spans="2:16" ht="14.25" hidden="1" customHeight="1" outlineLevel="1" x14ac:dyDescent="0.25">
      <c r="B30" s="7"/>
      <c r="C30" s="9" t="s">
        <v>219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1"/>
      <c r="M30" s="11"/>
      <c r="N30" s="11"/>
      <c r="O30" s="11"/>
      <c r="P30" s="11"/>
    </row>
    <row r="31" spans="2:16" ht="14.25" hidden="1" customHeight="1" outlineLevel="1" x14ac:dyDescent="0.25">
      <c r="B31" s="7"/>
      <c r="C31" s="9" t="s">
        <v>220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1"/>
      <c r="M31" s="11"/>
      <c r="N31" s="11"/>
      <c r="O31" s="11"/>
      <c r="P31" s="11"/>
    </row>
    <row r="32" spans="2:16" ht="14.25" hidden="1" customHeight="1" outlineLevel="1" x14ac:dyDescent="0.25">
      <c r="B32" s="7"/>
      <c r="C32" s="9" t="s">
        <v>221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1"/>
      <c r="M32" s="11"/>
      <c r="N32" s="11"/>
      <c r="O32" s="11"/>
      <c r="P32" s="11"/>
    </row>
    <row r="33" spans="1:16" ht="14.25" hidden="1" customHeight="1" outlineLevel="1" x14ac:dyDescent="0.25">
      <c r="B33" s="7"/>
      <c r="C33" s="9" t="s">
        <v>222</v>
      </c>
      <c r="G33" s="10">
        <v>0.47</v>
      </c>
      <c r="H33" s="10">
        <v>0.57999999999999996</v>
      </c>
      <c r="I33" s="10">
        <v>0.9</v>
      </c>
      <c r="J33" s="10">
        <v>0.85</v>
      </c>
      <c r="K33" s="10">
        <v>0.73</v>
      </c>
      <c r="L33" s="11"/>
      <c r="M33" s="11"/>
      <c r="N33" s="11"/>
      <c r="O33" s="11"/>
      <c r="P33" s="11"/>
    </row>
    <row r="34" spans="1:16" ht="14.25" hidden="1" customHeight="1" outlineLevel="1" x14ac:dyDescent="0.25">
      <c r="B34" s="7"/>
      <c r="C34" s="9" t="s">
        <v>223</v>
      </c>
      <c r="G34" s="10">
        <v>0.39</v>
      </c>
      <c r="H34" s="10">
        <v>0.25</v>
      </c>
      <c r="I34" s="10">
        <v>1.46</v>
      </c>
      <c r="J34" s="10">
        <v>3.18</v>
      </c>
      <c r="K34" s="10">
        <v>0.59</v>
      </c>
      <c r="L34" s="11"/>
      <c r="M34" s="11"/>
      <c r="N34" s="11"/>
      <c r="O34" s="11"/>
      <c r="P34" s="11"/>
    </row>
    <row r="35" spans="1:16" ht="14.25" hidden="1" customHeight="1" outlineLevel="1" x14ac:dyDescent="0.25">
      <c r="B35" s="7"/>
      <c r="C35" s="9" t="s">
        <v>224</v>
      </c>
      <c r="G35" s="10">
        <v>1E-3</v>
      </c>
      <c r="H35" s="10">
        <v>0</v>
      </c>
      <c r="I35" s="10">
        <v>0.18</v>
      </c>
      <c r="J35" s="10">
        <v>0.65</v>
      </c>
      <c r="K35" s="10">
        <v>0.05</v>
      </c>
      <c r="L35" s="11"/>
      <c r="M35" s="11"/>
      <c r="N35" s="11"/>
      <c r="O35" s="11"/>
      <c r="P35" s="11"/>
    </row>
    <row r="36" spans="1:16" ht="14.25" hidden="1" customHeight="1" outlineLevel="1" x14ac:dyDescent="0.25">
      <c r="B36" s="7"/>
      <c r="C36" s="9" t="s">
        <v>225</v>
      </c>
      <c r="G36" s="10">
        <v>1.35</v>
      </c>
      <c r="H36" s="10">
        <v>0.14000000000000001</v>
      </c>
      <c r="I36" s="10">
        <v>0.23</v>
      </c>
      <c r="J36" s="10">
        <v>0.39</v>
      </c>
      <c r="K36" s="10">
        <v>0.28999999999999998</v>
      </c>
      <c r="L36" s="11"/>
      <c r="M36" s="11"/>
      <c r="N36" s="11"/>
      <c r="O36" s="11"/>
      <c r="P36" s="11"/>
    </row>
    <row r="37" spans="1:16" ht="14.25" hidden="1" customHeight="1" outlineLevel="1" x14ac:dyDescent="0.25">
      <c r="B37" s="7"/>
      <c r="C37" s="9" t="s">
        <v>226</v>
      </c>
      <c r="G37" s="10">
        <v>0.88</v>
      </c>
      <c r="H37" s="10">
        <v>0.13</v>
      </c>
      <c r="I37" s="10">
        <v>0.45</v>
      </c>
      <c r="J37" s="10">
        <v>0.17</v>
      </c>
      <c r="K37" s="10">
        <v>3.85</v>
      </c>
      <c r="L37" s="11"/>
      <c r="M37" s="11"/>
      <c r="N37" s="11"/>
      <c r="O37" s="11"/>
      <c r="P37" s="11"/>
    </row>
    <row r="38" spans="1:16" ht="14.25" hidden="1" customHeight="1" outlineLevel="1" x14ac:dyDescent="0.25">
      <c r="B38" s="7"/>
      <c r="C38" s="9" t="s">
        <v>227</v>
      </c>
      <c r="G38" s="10">
        <v>0.31</v>
      </c>
      <c r="H38" s="10">
        <v>0.04</v>
      </c>
      <c r="I38" s="10">
        <v>0.05</v>
      </c>
      <c r="J38" s="10">
        <v>0.02</v>
      </c>
      <c r="K38" s="10">
        <v>0.03</v>
      </c>
      <c r="L38" s="11"/>
      <c r="M38" s="11"/>
      <c r="N38" s="11"/>
      <c r="O38" s="11"/>
      <c r="P38" s="11"/>
    </row>
    <row r="39" spans="1:16" ht="14.25" hidden="1" customHeight="1" outlineLevel="1" x14ac:dyDescent="0.25">
      <c r="B39" s="7"/>
      <c r="C39" s="9" t="s">
        <v>228</v>
      </c>
      <c r="G39" s="10">
        <v>0.05</v>
      </c>
      <c r="H39" s="10">
        <v>0.04</v>
      </c>
      <c r="I39" s="10">
        <v>0.09</v>
      </c>
      <c r="J39" s="10">
        <v>7.0000000000000007E-2</v>
      </c>
      <c r="K39" s="10">
        <v>0.38</v>
      </c>
      <c r="L39" s="11"/>
      <c r="M39" s="11"/>
      <c r="N39" s="11"/>
      <c r="O39" s="11"/>
      <c r="P39" s="11"/>
    </row>
    <row r="40" spans="1:16" ht="14.25" hidden="1" customHeight="1" outlineLevel="1" x14ac:dyDescent="0.25">
      <c r="B40" s="7"/>
      <c r="C40" s="9" t="s">
        <v>229</v>
      </c>
      <c r="G40" s="10">
        <v>0</v>
      </c>
      <c r="H40" s="10">
        <v>0.01</v>
      </c>
      <c r="I40" s="10">
        <v>0.05</v>
      </c>
      <c r="J40" s="10">
        <v>0.06</v>
      </c>
      <c r="K40" s="10">
        <v>0.01</v>
      </c>
      <c r="L40" s="11"/>
      <c r="M40" s="11"/>
      <c r="N40" s="11"/>
      <c r="O40" s="11"/>
      <c r="P40" s="11"/>
    </row>
    <row r="41" spans="1:16" ht="14.25" hidden="1" customHeight="1" outlineLevel="1" x14ac:dyDescent="0.25">
      <c r="B41" s="7"/>
      <c r="C41" s="9" t="s">
        <v>230</v>
      </c>
      <c r="G41" s="10">
        <v>0.36</v>
      </c>
      <c r="H41" s="10">
        <v>7.0000000000000007E-2</v>
      </c>
      <c r="I41" s="10">
        <v>0.28999999999999998</v>
      </c>
      <c r="J41" s="10">
        <v>0.26</v>
      </c>
      <c r="K41" s="10">
        <v>0.36</v>
      </c>
      <c r="L41" s="11"/>
      <c r="M41" s="11"/>
      <c r="N41" s="11"/>
      <c r="O41" s="11"/>
      <c r="P41" s="11"/>
    </row>
    <row r="42" spans="1:16" ht="14.25" hidden="1" customHeight="1" outlineLevel="1" x14ac:dyDescent="0.25">
      <c r="C42" s="9" t="s">
        <v>231</v>
      </c>
      <c r="G42" s="10">
        <v>0.03</v>
      </c>
      <c r="H42" s="10">
        <v>0.05</v>
      </c>
      <c r="I42" s="10">
        <v>0.06</v>
      </c>
      <c r="J42" s="10">
        <v>0.08</v>
      </c>
      <c r="K42" s="10">
        <v>0.38</v>
      </c>
      <c r="L42" s="11"/>
      <c r="M42" s="11"/>
      <c r="N42" s="11"/>
      <c r="O42" s="11"/>
      <c r="P42" s="11"/>
    </row>
    <row r="43" spans="1:16" ht="14.25" hidden="1" customHeight="1" outlineLevel="1" x14ac:dyDescent="0.25">
      <c r="A43" s="7"/>
      <c r="C43" s="9" t="s">
        <v>232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1"/>
      <c r="M43" s="11"/>
      <c r="N43" s="11"/>
      <c r="O43" s="11"/>
      <c r="P43" s="11"/>
    </row>
    <row r="44" spans="1:16" ht="14.25" customHeight="1" collapsed="1" x14ac:dyDescent="0.25">
      <c r="A44" s="7"/>
      <c r="B44" s="12" t="s">
        <v>235</v>
      </c>
      <c r="C44" s="12"/>
      <c r="D44" s="12"/>
      <c r="E44" s="12"/>
      <c r="F44" s="12"/>
      <c r="G44" s="13">
        <f t="shared" ref="G44:K44" si="5">SUM(G30:G43)</f>
        <v>3.8409999999999997</v>
      </c>
      <c r="H44" s="13">
        <f t="shared" si="5"/>
        <v>1.3100000000000003</v>
      </c>
      <c r="I44" s="13">
        <f t="shared" si="5"/>
        <v>3.76</v>
      </c>
      <c r="J44" s="13">
        <f t="shared" si="5"/>
        <v>5.7299999999999995</v>
      </c>
      <c r="K44" s="13">
        <f t="shared" si="5"/>
        <v>6.67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</row>
    <row r="45" spans="1:16" ht="14.25" customHeight="1" x14ac:dyDescent="0.25">
      <c r="A45" s="15"/>
      <c r="B45" s="7"/>
      <c r="C45" s="15"/>
      <c r="D45" s="15"/>
      <c r="E45" s="15"/>
      <c r="F45" s="15"/>
      <c r="G45" s="62"/>
      <c r="H45" s="62"/>
      <c r="I45" s="62"/>
      <c r="J45" s="62"/>
      <c r="K45" s="62"/>
      <c r="L45" s="11"/>
      <c r="M45" s="11"/>
      <c r="N45" s="11"/>
      <c r="O45" s="11"/>
      <c r="P45" s="11"/>
    </row>
    <row r="46" spans="1:16" ht="14.25" customHeight="1" x14ac:dyDescent="0.25">
      <c r="B46" s="7" t="s">
        <v>236</v>
      </c>
      <c r="C46" s="15"/>
      <c r="D46" s="15"/>
      <c r="E46" s="15"/>
      <c r="F46" s="15"/>
      <c r="G46" s="62"/>
      <c r="H46" s="62"/>
      <c r="I46" s="62"/>
      <c r="J46" s="62"/>
      <c r="K46" s="62"/>
      <c r="L46" s="11"/>
      <c r="M46" s="11"/>
      <c r="N46" s="11"/>
      <c r="O46" s="11"/>
      <c r="P46" s="11"/>
    </row>
    <row r="47" spans="1:16" ht="14.25" customHeight="1" x14ac:dyDescent="0.25">
      <c r="A47" s="15"/>
      <c r="B47" s="15"/>
      <c r="C47" s="73" t="s">
        <v>237</v>
      </c>
      <c r="D47" s="15"/>
      <c r="E47" s="15"/>
      <c r="F47" s="15"/>
      <c r="G47" s="62"/>
      <c r="H47" s="62"/>
      <c r="I47" s="74"/>
      <c r="J47" s="10">
        <v>888.88</v>
      </c>
      <c r="K47" s="11">
        <f>J50</f>
        <v>947.28</v>
      </c>
      <c r="L47" s="11">
        <f t="shared" ref="L47:P47" si="6">K47+K48+K49</f>
        <v>975.29</v>
      </c>
      <c r="M47" s="11">
        <f t="shared" si="6"/>
        <v>1106.2142134364988</v>
      </c>
      <c r="N47" s="11">
        <f t="shared" si="6"/>
        <v>1260.6345470972669</v>
      </c>
      <c r="O47" s="11">
        <f t="shared" si="6"/>
        <v>1442.8068788863407</v>
      </c>
      <c r="P47" s="11">
        <f t="shared" si="6"/>
        <v>1657.7571063750879</v>
      </c>
    </row>
    <row r="48" spans="1:16" ht="14.25" customHeight="1" x14ac:dyDescent="0.25">
      <c r="A48" s="15"/>
      <c r="B48" s="15"/>
      <c r="C48" s="75" t="s">
        <v>238</v>
      </c>
      <c r="D48" s="15"/>
      <c r="E48" s="15"/>
      <c r="F48" s="15"/>
      <c r="G48" s="62"/>
      <c r="H48" s="62"/>
      <c r="I48" s="62"/>
      <c r="J48" s="11">
        <f t="shared" ref="J48:P48" si="7">J26</f>
        <v>64.13000000000001</v>
      </c>
      <c r="K48" s="11">
        <f t="shared" si="7"/>
        <v>34.679999999999993</v>
      </c>
      <c r="L48" s="11">
        <f t="shared" si="7"/>
        <v>130.92421343649872</v>
      </c>
      <c r="M48" s="11">
        <f t="shared" si="7"/>
        <v>154.42033366076828</v>
      </c>
      <c r="N48" s="11">
        <f t="shared" si="7"/>
        <v>182.17233178907384</v>
      </c>
      <c r="O48" s="11">
        <f t="shared" si="7"/>
        <v>214.95022748874717</v>
      </c>
      <c r="P48" s="11">
        <f t="shared" si="7"/>
        <v>253.66350809838974</v>
      </c>
    </row>
    <row r="49" spans="1:17" ht="14.25" customHeight="1" x14ac:dyDescent="0.25">
      <c r="A49" s="15"/>
      <c r="B49" s="15"/>
      <c r="C49" s="75" t="s">
        <v>239</v>
      </c>
      <c r="D49" s="15"/>
      <c r="E49" s="15"/>
      <c r="F49" s="15"/>
      <c r="G49" s="62"/>
      <c r="H49" s="62"/>
      <c r="I49" s="62"/>
      <c r="J49" s="10">
        <f t="shared" ref="J49:K49" si="8">-J44</f>
        <v>-5.7299999999999995</v>
      </c>
      <c r="K49" s="11">
        <f t="shared" si="8"/>
        <v>-6.67</v>
      </c>
      <c r="L49" s="11">
        <f t="shared" ref="L49:P49" si="9">L44</f>
        <v>0</v>
      </c>
      <c r="M49" s="11">
        <f t="shared" si="9"/>
        <v>0</v>
      </c>
      <c r="N49" s="11">
        <f t="shared" si="9"/>
        <v>0</v>
      </c>
      <c r="O49" s="11">
        <f t="shared" si="9"/>
        <v>0</v>
      </c>
      <c r="P49" s="11">
        <f t="shared" si="9"/>
        <v>0</v>
      </c>
    </row>
    <row r="50" spans="1:17" ht="14.25" customHeight="1" x14ac:dyDescent="0.25">
      <c r="A50" s="15"/>
      <c r="B50" s="15"/>
      <c r="C50" s="73" t="s">
        <v>240</v>
      </c>
      <c r="D50" s="15"/>
      <c r="E50" s="15"/>
      <c r="F50" s="15"/>
      <c r="G50" s="62"/>
      <c r="H50" s="62"/>
      <c r="I50" s="62"/>
      <c r="J50" s="11">
        <f t="shared" ref="J50:P50" si="10">SUM(J47:J49)</f>
        <v>947.28</v>
      </c>
      <c r="K50" s="11">
        <f t="shared" si="10"/>
        <v>975.29</v>
      </c>
      <c r="L50" s="11">
        <f t="shared" si="10"/>
        <v>1106.2142134364988</v>
      </c>
      <c r="M50" s="11">
        <f t="shared" si="10"/>
        <v>1260.6345470972669</v>
      </c>
      <c r="N50" s="11">
        <f t="shared" si="10"/>
        <v>1442.8068788863407</v>
      </c>
      <c r="O50" s="11">
        <f t="shared" si="10"/>
        <v>1657.7571063750879</v>
      </c>
      <c r="P50" s="11">
        <f t="shared" si="10"/>
        <v>1911.4206144734776</v>
      </c>
    </row>
    <row r="51" spans="1:17" ht="14.25" customHeight="1" x14ac:dyDescent="0.25">
      <c r="A51" s="15"/>
      <c r="B51" s="15"/>
      <c r="C51" s="15" t="s">
        <v>80</v>
      </c>
      <c r="D51" s="7"/>
      <c r="E51" s="7"/>
      <c r="F51" s="7"/>
      <c r="G51" s="76"/>
      <c r="H51" s="77">
        <v>45.57</v>
      </c>
      <c r="I51" s="77">
        <v>53.54</v>
      </c>
      <c r="J51" s="77">
        <v>59.62</v>
      </c>
      <c r="K51" s="77">
        <v>61.64</v>
      </c>
      <c r="L51" s="74">
        <f t="shared" ref="L51:P51" si="11">L53*K55</f>
        <v>72.105000000000004</v>
      </c>
      <c r="M51" s="74">
        <f t="shared" si="11"/>
        <v>77.986921343649882</v>
      </c>
      <c r="N51" s="74">
        <f t="shared" si="11"/>
        <v>85.630262575361712</v>
      </c>
      <c r="O51" s="74">
        <f t="shared" si="11"/>
        <v>95.28446949673291</v>
      </c>
      <c r="P51" s="74">
        <f t="shared" si="11"/>
        <v>107.25104529593435</v>
      </c>
    </row>
    <row r="52" spans="1:17" ht="14.25" customHeight="1" x14ac:dyDescent="0.25">
      <c r="A52" s="15"/>
      <c r="B52" s="15"/>
      <c r="C52" s="15" t="s">
        <v>241</v>
      </c>
      <c r="D52" s="7"/>
      <c r="E52" s="7"/>
      <c r="F52" s="7"/>
      <c r="G52" s="76"/>
      <c r="H52" s="76"/>
      <c r="I52" s="76"/>
      <c r="J52" s="10">
        <v>1.48</v>
      </c>
      <c r="K52" s="10">
        <v>4.59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</row>
    <row r="53" spans="1:17" ht="14.25" customHeight="1" x14ac:dyDescent="0.25">
      <c r="A53" s="15"/>
      <c r="B53" s="15"/>
      <c r="C53" s="3" t="s">
        <v>242</v>
      </c>
      <c r="D53" s="28"/>
      <c r="E53" s="28"/>
      <c r="F53" s="28"/>
      <c r="G53" s="78"/>
      <c r="H53" s="79">
        <f t="shared" ref="H53:K53" si="12">H51/G55</f>
        <v>0.10690407488211698</v>
      </c>
      <c r="I53" s="79">
        <f t="shared" si="12"/>
        <v>0.12820574219965999</v>
      </c>
      <c r="J53" s="79">
        <f t="shared" si="12"/>
        <v>7.9679251587036412E-2</v>
      </c>
      <c r="K53" s="79">
        <f t="shared" si="12"/>
        <v>8.2176805450012672E-2</v>
      </c>
      <c r="L53" s="80">
        <v>0.1</v>
      </c>
      <c r="M53" s="80">
        <v>0.1</v>
      </c>
      <c r="N53" s="80">
        <v>0.1</v>
      </c>
      <c r="O53" s="80">
        <v>0.1</v>
      </c>
      <c r="P53" s="80">
        <v>0.1</v>
      </c>
    </row>
    <row r="54" spans="1:17" ht="14.25" customHeight="1" x14ac:dyDescent="0.25">
      <c r="A54" s="15"/>
      <c r="B54" s="15"/>
      <c r="C54" s="75" t="s">
        <v>243</v>
      </c>
      <c r="D54" s="15"/>
      <c r="E54" s="15"/>
      <c r="F54" s="15"/>
      <c r="G54" s="62"/>
      <c r="H54" s="62"/>
      <c r="I54" s="77">
        <v>139.05000000000001</v>
      </c>
      <c r="J54" s="11">
        <f t="shared" ref="J54:L54" si="13">I54+J51-J52</f>
        <v>197.19000000000003</v>
      </c>
      <c r="K54" s="11">
        <f t="shared" si="13"/>
        <v>254.24000000000004</v>
      </c>
      <c r="L54" s="11">
        <f t="shared" si="13"/>
        <v>326.34500000000003</v>
      </c>
      <c r="M54" s="11">
        <f t="shared" ref="M54:P54" si="14">L54+M51</f>
        <v>404.33192134364992</v>
      </c>
      <c r="N54" s="11">
        <f t="shared" si="14"/>
        <v>489.96218391901164</v>
      </c>
      <c r="O54" s="11">
        <f t="shared" si="14"/>
        <v>585.2466534157445</v>
      </c>
      <c r="P54" s="11">
        <f t="shared" si="14"/>
        <v>692.49769871167882</v>
      </c>
    </row>
    <row r="55" spans="1:17" ht="14.25" customHeight="1" x14ac:dyDescent="0.25">
      <c r="B55" s="81" t="s">
        <v>244</v>
      </c>
      <c r="C55" s="18"/>
      <c r="D55" s="18"/>
      <c r="E55" s="18"/>
      <c r="F55" s="18"/>
      <c r="G55" s="13">
        <f>BS!G7</f>
        <v>426.27</v>
      </c>
      <c r="H55" s="13">
        <f>BS!H7</f>
        <v>417.60999999999996</v>
      </c>
      <c r="I55" s="13">
        <f>BS!I7</f>
        <v>748.25</v>
      </c>
      <c r="J55" s="13">
        <f t="shared" ref="J55:P55" si="15">J47+J48+J49-J54</f>
        <v>750.08999999999992</v>
      </c>
      <c r="K55" s="13">
        <f t="shared" si="15"/>
        <v>721.05</v>
      </c>
      <c r="L55" s="13">
        <f t="shared" si="15"/>
        <v>779.86921343649874</v>
      </c>
      <c r="M55" s="13">
        <f t="shared" si="15"/>
        <v>856.30262575361701</v>
      </c>
      <c r="N55" s="13">
        <f t="shared" si="15"/>
        <v>952.84469496732902</v>
      </c>
      <c r="O55" s="13">
        <f t="shared" si="15"/>
        <v>1072.5104529593434</v>
      </c>
      <c r="P55" s="13">
        <f t="shared" si="15"/>
        <v>1218.9229157617988</v>
      </c>
    </row>
    <row r="56" spans="1:17" ht="14.25" customHeight="1" x14ac:dyDescent="0.25">
      <c r="B56" s="15"/>
      <c r="C56" s="15"/>
      <c r="D56" s="15"/>
      <c r="E56" s="28"/>
      <c r="F56" s="15"/>
      <c r="G56" s="62"/>
      <c r="H56" s="62"/>
      <c r="I56" s="62"/>
      <c r="J56" s="62"/>
      <c r="K56" s="62"/>
      <c r="L56" s="11"/>
      <c r="M56" s="11"/>
      <c r="N56" s="11"/>
      <c r="O56" s="11"/>
      <c r="P56" s="11"/>
    </row>
    <row r="57" spans="1:17" ht="14.25" customHeight="1" x14ac:dyDescent="0.25">
      <c r="B57" s="7" t="s">
        <v>34</v>
      </c>
      <c r="C57" s="15"/>
      <c r="D57" s="15"/>
      <c r="E57" s="60"/>
      <c r="F57" s="15"/>
      <c r="G57" s="62"/>
      <c r="H57" s="62"/>
      <c r="I57" s="62"/>
      <c r="J57" s="62"/>
      <c r="K57" s="62"/>
      <c r="L57" s="11"/>
      <c r="M57" s="11"/>
      <c r="N57" s="11"/>
      <c r="O57" s="11"/>
      <c r="P57" s="11"/>
    </row>
    <row r="58" spans="1:17" ht="14.25" customHeight="1" x14ac:dyDescent="0.25">
      <c r="C58" s="73" t="s">
        <v>237</v>
      </c>
      <c r="E58" s="15"/>
      <c r="F58" s="15"/>
      <c r="G58" s="62"/>
      <c r="H58" s="62"/>
      <c r="I58" s="10">
        <v>72.53</v>
      </c>
      <c r="J58" s="11">
        <f t="shared" ref="J58:P58" si="16">I58+I59</f>
        <v>74.040000000000006</v>
      </c>
      <c r="K58" s="11">
        <f t="shared" si="16"/>
        <v>76.210000000000008</v>
      </c>
      <c r="L58" s="11">
        <f t="shared" si="16"/>
        <v>77.360000000000014</v>
      </c>
      <c r="M58" s="11">
        <f t="shared" si="16"/>
        <v>78.510000000000019</v>
      </c>
      <c r="N58" s="11">
        <f t="shared" si="16"/>
        <v>79.660000000000025</v>
      </c>
      <c r="O58" s="11">
        <f t="shared" si="16"/>
        <v>80.810000000000031</v>
      </c>
      <c r="P58" s="11">
        <f t="shared" si="16"/>
        <v>81.960000000000036</v>
      </c>
      <c r="Q58" s="82"/>
    </row>
    <row r="59" spans="1:17" ht="14.25" customHeight="1" x14ac:dyDescent="0.25">
      <c r="C59" s="75" t="s">
        <v>238</v>
      </c>
      <c r="E59" s="15"/>
      <c r="F59" s="15"/>
      <c r="G59" s="62"/>
      <c r="H59" s="62"/>
      <c r="I59" s="10">
        <v>1.51</v>
      </c>
      <c r="J59" s="10">
        <v>2.17</v>
      </c>
      <c r="K59" s="10">
        <v>1.1499999999999999</v>
      </c>
      <c r="L59" s="10">
        <v>1.1499999999999999</v>
      </c>
      <c r="M59" s="10">
        <v>1.1499999999999999</v>
      </c>
      <c r="N59" s="10">
        <v>1.1499999999999999</v>
      </c>
      <c r="O59" s="10">
        <v>1.1499999999999999</v>
      </c>
      <c r="P59" s="10">
        <v>1.1499999999999999</v>
      </c>
      <c r="Q59" s="82"/>
    </row>
    <row r="60" spans="1:17" ht="14.25" customHeight="1" x14ac:dyDescent="0.25">
      <c r="C60" s="75" t="s">
        <v>239</v>
      </c>
      <c r="E60" s="15"/>
      <c r="F60" s="15"/>
      <c r="G60" s="62"/>
      <c r="H60" s="62"/>
      <c r="I60" s="10">
        <v>0</v>
      </c>
      <c r="J60" s="10">
        <v>0</v>
      </c>
      <c r="K60" s="10">
        <v>-0.21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82"/>
    </row>
    <row r="61" spans="1:17" ht="14.25" customHeight="1" x14ac:dyDescent="0.25">
      <c r="C61" s="73" t="s">
        <v>240</v>
      </c>
      <c r="E61" s="15"/>
      <c r="F61" s="15"/>
      <c r="G61" s="62"/>
      <c r="H61" s="62"/>
      <c r="I61" s="11">
        <f t="shared" ref="I61:P61" si="17">SUM(I58:I60)</f>
        <v>74.040000000000006</v>
      </c>
      <c r="J61" s="11">
        <f t="shared" si="17"/>
        <v>76.210000000000008</v>
      </c>
      <c r="K61" s="11">
        <f t="shared" si="17"/>
        <v>77.15000000000002</v>
      </c>
      <c r="L61" s="11">
        <f t="shared" si="17"/>
        <v>78.510000000000019</v>
      </c>
      <c r="M61" s="11">
        <f t="shared" si="17"/>
        <v>79.660000000000025</v>
      </c>
      <c r="N61" s="11">
        <f t="shared" si="17"/>
        <v>80.810000000000031</v>
      </c>
      <c r="O61" s="11">
        <f t="shared" si="17"/>
        <v>81.960000000000036</v>
      </c>
      <c r="P61" s="11">
        <f t="shared" si="17"/>
        <v>83.110000000000042</v>
      </c>
      <c r="Q61" s="82"/>
    </row>
    <row r="62" spans="1:17" ht="14.25" customHeight="1" x14ac:dyDescent="0.25">
      <c r="B62" s="7"/>
      <c r="C62" s="3" t="s">
        <v>245</v>
      </c>
      <c r="E62" s="15"/>
      <c r="F62" s="15"/>
      <c r="G62" s="62"/>
      <c r="H62" s="62"/>
      <c r="I62" s="77">
        <v>8.8699999999999992</v>
      </c>
      <c r="J62" s="77">
        <v>8.8800000000000008</v>
      </c>
      <c r="K62" s="77">
        <v>8.7799999999999994</v>
      </c>
      <c r="L62" s="74">
        <f t="shared" ref="L62:P62" si="18">K65*L63</f>
        <v>7.0476000000000001</v>
      </c>
      <c r="M62" s="74">
        <f t="shared" si="18"/>
        <v>5.765004000000002</v>
      </c>
      <c r="N62" s="74">
        <f t="shared" si="18"/>
        <v>4.7958531600000027</v>
      </c>
      <c r="O62" s="74">
        <f t="shared" si="18"/>
        <v>4.0302239964000037</v>
      </c>
      <c r="P62" s="74">
        <f t="shared" si="18"/>
        <v>3.4253769571560042</v>
      </c>
      <c r="Q62" s="82"/>
    </row>
    <row r="63" spans="1:17" ht="14.25" customHeight="1" x14ac:dyDescent="0.25">
      <c r="B63" s="7"/>
      <c r="C63" s="3" t="s">
        <v>242</v>
      </c>
      <c r="E63" s="15"/>
      <c r="F63" s="15"/>
      <c r="G63" s="62"/>
      <c r="H63" s="83"/>
      <c r="I63" s="79">
        <f t="shared" ref="I63:K63" si="19">I62/H65</f>
        <v>0.16112624886466848</v>
      </c>
      <c r="J63" s="79">
        <f t="shared" si="19"/>
        <v>0.18620255818829942</v>
      </c>
      <c r="K63" s="79">
        <f t="shared" si="19"/>
        <v>0.21425085407515856</v>
      </c>
      <c r="L63" s="84">
        <v>0.21</v>
      </c>
      <c r="M63" s="84">
        <v>0.21</v>
      </c>
      <c r="N63" s="84">
        <v>0.21</v>
      </c>
      <c r="O63" s="84">
        <v>0.21</v>
      </c>
      <c r="P63" s="84">
        <v>0.21</v>
      </c>
      <c r="Q63" s="82"/>
    </row>
    <row r="64" spans="1:17" ht="14.25" customHeight="1" x14ac:dyDescent="0.25">
      <c r="B64" s="7"/>
      <c r="C64" s="75" t="s">
        <v>243</v>
      </c>
      <c r="E64" s="15"/>
      <c r="F64" s="15"/>
      <c r="G64" s="62"/>
      <c r="H64" s="10">
        <v>17.48</v>
      </c>
      <c r="I64" s="74">
        <f t="shared" ref="I64:P64" si="20">H64+I62</f>
        <v>26.35</v>
      </c>
      <c r="J64" s="74">
        <f t="shared" si="20"/>
        <v>35.230000000000004</v>
      </c>
      <c r="K64" s="74">
        <f t="shared" si="20"/>
        <v>44.010000000000005</v>
      </c>
      <c r="L64" s="74">
        <f t="shared" si="20"/>
        <v>51.057600000000008</v>
      </c>
      <c r="M64" s="74">
        <f t="shared" si="20"/>
        <v>56.822604000000013</v>
      </c>
      <c r="N64" s="74">
        <f t="shared" si="20"/>
        <v>61.618457160000013</v>
      </c>
      <c r="O64" s="74">
        <f t="shared" si="20"/>
        <v>65.648681156400016</v>
      </c>
      <c r="P64" s="74">
        <f t="shared" si="20"/>
        <v>69.074058113556021</v>
      </c>
      <c r="Q64" s="82"/>
    </row>
    <row r="65" spans="1:16" ht="14.25" customHeight="1" x14ac:dyDescent="0.25">
      <c r="B65" s="81" t="s">
        <v>244</v>
      </c>
      <c r="C65" s="18"/>
      <c r="D65" s="18"/>
      <c r="E65" s="12"/>
      <c r="F65" s="12"/>
      <c r="G65" s="85"/>
      <c r="H65" s="13">
        <f>BS!H9</f>
        <v>55.05</v>
      </c>
      <c r="I65" s="13">
        <f t="shared" ref="I65:P65" si="21">I58+I59-I60-I64</f>
        <v>47.690000000000005</v>
      </c>
      <c r="J65" s="13">
        <f t="shared" si="21"/>
        <v>40.980000000000004</v>
      </c>
      <c r="K65" s="13">
        <f t="shared" si="21"/>
        <v>33.56</v>
      </c>
      <c r="L65" s="13">
        <f t="shared" si="21"/>
        <v>27.452400000000011</v>
      </c>
      <c r="M65" s="13">
        <f t="shared" si="21"/>
        <v>22.837396000000012</v>
      </c>
      <c r="N65" s="13">
        <f t="shared" si="21"/>
        <v>19.191542840000018</v>
      </c>
      <c r="O65" s="13">
        <f t="shared" si="21"/>
        <v>16.31131884360002</v>
      </c>
      <c r="P65" s="13">
        <f t="shared" si="21"/>
        <v>14.035941886444022</v>
      </c>
    </row>
    <row r="66" spans="1:16" ht="14.25" customHeight="1" x14ac:dyDescent="0.25">
      <c r="E66" s="15"/>
      <c r="F66" s="15"/>
      <c r="G66" s="62"/>
      <c r="H66" s="62"/>
      <c r="I66" s="62"/>
      <c r="J66" s="62"/>
      <c r="K66" s="62"/>
      <c r="L66" s="11"/>
      <c r="M66" s="11"/>
      <c r="N66" s="11"/>
      <c r="O66" s="11"/>
      <c r="P66" s="11"/>
    </row>
    <row r="67" spans="1:16" ht="14.25" customHeight="1" x14ac:dyDescent="0.25">
      <c r="B67" s="7" t="s">
        <v>246</v>
      </c>
      <c r="G67" s="62"/>
      <c r="H67" s="62"/>
      <c r="I67" s="62"/>
      <c r="J67" s="62"/>
      <c r="K67" s="62"/>
      <c r="L67" s="11"/>
      <c r="M67" s="11"/>
      <c r="N67" s="11"/>
      <c r="O67" s="11"/>
      <c r="P67" s="11"/>
    </row>
    <row r="68" spans="1:16" ht="14.25" customHeight="1" x14ac:dyDescent="0.25">
      <c r="C68" s="73" t="s">
        <v>237</v>
      </c>
      <c r="G68" s="62"/>
      <c r="H68" s="62"/>
      <c r="I68" s="10">
        <v>52.44</v>
      </c>
      <c r="J68" s="11">
        <f>I68</f>
        <v>52.44</v>
      </c>
      <c r="K68" s="11">
        <f t="shared" ref="K68:P68" si="22">J71</f>
        <v>230.25</v>
      </c>
      <c r="L68" s="11">
        <f t="shared" si="22"/>
        <v>242.41000000000003</v>
      </c>
      <c r="M68" s="11">
        <f t="shared" si="22"/>
        <v>292.83000000000004</v>
      </c>
      <c r="N68" s="11">
        <f t="shared" si="22"/>
        <v>343.25000000000006</v>
      </c>
      <c r="O68" s="11">
        <f t="shared" si="22"/>
        <v>393.67000000000007</v>
      </c>
      <c r="P68" s="11">
        <f t="shared" si="22"/>
        <v>444.09000000000009</v>
      </c>
    </row>
    <row r="69" spans="1:16" ht="14.25" customHeight="1" x14ac:dyDescent="0.25">
      <c r="C69" s="75" t="s">
        <v>238</v>
      </c>
      <c r="G69" s="62"/>
      <c r="H69" s="62"/>
      <c r="I69" s="62"/>
      <c r="J69" s="10">
        <v>185.78</v>
      </c>
      <c r="K69" s="10">
        <v>50.42</v>
      </c>
      <c r="L69" s="10">
        <f t="shared" ref="L69:P69" si="23">K69</f>
        <v>50.42</v>
      </c>
      <c r="M69" s="10">
        <f t="shared" si="23"/>
        <v>50.42</v>
      </c>
      <c r="N69" s="10">
        <f t="shared" si="23"/>
        <v>50.42</v>
      </c>
      <c r="O69" s="10">
        <f t="shared" si="23"/>
        <v>50.42</v>
      </c>
      <c r="P69" s="10">
        <f t="shared" si="23"/>
        <v>50.42</v>
      </c>
    </row>
    <row r="70" spans="1:16" ht="14.25" customHeight="1" x14ac:dyDescent="0.25">
      <c r="C70" s="75" t="s">
        <v>239</v>
      </c>
      <c r="G70" s="62"/>
      <c r="H70" s="62"/>
      <c r="I70" s="62"/>
      <c r="J70" s="10">
        <v>-7.97</v>
      </c>
      <c r="K70" s="10">
        <v>-38.26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</row>
    <row r="71" spans="1:16" ht="14.25" customHeight="1" x14ac:dyDescent="0.25">
      <c r="C71" s="73" t="s">
        <v>240</v>
      </c>
      <c r="G71" s="62"/>
      <c r="H71" s="62"/>
      <c r="I71" s="62"/>
      <c r="J71" s="11">
        <f t="shared" ref="J71:P71" si="24">SUM(J68:J70)</f>
        <v>230.25</v>
      </c>
      <c r="K71" s="11">
        <f t="shared" si="24"/>
        <v>242.41000000000003</v>
      </c>
      <c r="L71" s="11">
        <f t="shared" si="24"/>
        <v>292.83000000000004</v>
      </c>
      <c r="M71" s="11">
        <f t="shared" si="24"/>
        <v>343.25000000000006</v>
      </c>
      <c r="N71" s="11">
        <f t="shared" si="24"/>
        <v>393.67000000000007</v>
      </c>
      <c r="O71" s="11">
        <f t="shared" si="24"/>
        <v>444.09000000000009</v>
      </c>
      <c r="P71" s="11">
        <f t="shared" si="24"/>
        <v>494.5100000000001</v>
      </c>
    </row>
    <row r="72" spans="1:16" ht="14.25" customHeight="1" x14ac:dyDescent="0.25">
      <c r="C72" s="3" t="s">
        <v>80</v>
      </c>
      <c r="D72" s="3"/>
      <c r="E72" s="3"/>
      <c r="F72" s="3"/>
      <c r="G72" s="86"/>
      <c r="H72" s="86"/>
      <c r="I72" s="86"/>
      <c r="J72" s="72">
        <v>40.92</v>
      </c>
      <c r="K72" s="72">
        <v>39.6</v>
      </c>
      <c r="L72" s="53">
        <f t="shared" ref="L72:P72" si="25">K76*L74</f>
        <v>43.020600000000009</v>
      </c>
      <c r="M72" s="53">
        <f t="shared" si="25"/>
        <v>40.126674000000001</v>
      </c>
      <c r="N72" s="53">
        <f t="shared" si="25"/>
        <v>42.288272460000009</v>
      </c>
      <c r="O72" s="53">
        <f t="shared" si="25"/>
        <v>43.995935243400012</v>
      </c>
      <c r="P72" s="53">
        <f t="shared" si="25"/>
        <v>45.344988842286014</v>
      </c>
    </row>
    <row r="73" spans="1:16" ht="14.25" customHeight="1" x14ac:dyDescent="0.25">
      <c r="C73" s="9" t="s">
        <v>241</v>
      </c>
      <c r="G73" s="62"/>
      <c r="H73" s="62"/>
      <c r="I73" s="62"/>
      <c r="J73" s="10">
        <v>2.19</v>
      </c>
      <c r="K73" s="10">
        <v>21.18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</row>
    <row r="74" spans="1:16" ht="14.25" customHeight="1" x14ac:dyDescent="0.25">
      <c r="C74" s="3" t="s">
        <v>242</v>
      </c>
      <c r="G74" s="62"/>
      <c r="H74" s="62"/>
      <c r="I74" s="83"/>
      <c r="J74" s="87">
        <f t="shared" ref="J74:K74" si="26">J72/I76</f>
        <v>0.78390804597701147</v>
      </c>
      <c r="K74" s="87">
        <f t="shared" si="26"/>
        <v>0.2061104460521522</v>
      </c>
      <c r="L74" s="88">
        <v>0.21</v>
      </c>
      <c r="M74" s="88">
        <v>0.21</v>
      </c>
      <c r="N74" s="88">
        <v>0.21</v>
      </c>
      <c r="O74" s="88">
        <v>0.21</v>
      </c>
      <c r="P74" s="88">
        <v>0.21</v>
      </c>
    </row>
    <row r="75" spans="1:16" ht="14.25" customHeight="1" x14ac:dyDescent="0.25">
      <c r="C75" s="75" t="s">
        <v>243</v>
      </c>
      <c r="G75" s="62"/>
      <c r="H75" s="62"/>
      <c r="I75" s="10">
        <v>1.58</v>
      </c>
      <c r="J75" s="11">
        <f t="shared" ref="J75:P75" si="27">J72+I75-J73</f>
        <v>40.31</v>
      </c>
      <c r="K75" s="11">
        <f t="shared" si="27"/>
        <v>58.73</v>
      </c>
      <c r="L75" s="11">
        <f t="shared" si="27"/>
        <v>101.75060000000001</v>
      </c>
      <c r="M75" s="11">
        <f t="shared" si="27"/>
        <v>141.877274</v>
      </c>
      <c r="N75" s="11">
        <f t="shared" si="27"/>
        <v>184.16554646</v>
      </c>
      <c r="O75" s="11">
        <f t="shared" si="27"/>
        <v>228.1614817034</v>
      </c>
      <c r="P75" s="11">
        <f t="shared" si="27"/>
        <v>273.506470545686</v>
      </c>
    </row>
    <row r="76" spans="1:16" ht="14.25" customHeight="1" x14ac:dyDescent="0.25">
      <c r="B76" s="81" t="s">
        <v>244</v>
      </c>
      <c r="C76" s="12"/>
      <c r="D76" s="12"/>
      <c r="E76" s="12"/>
      <c r="F76" s="12"/>
      <c r="G76" s="13"/>
      <c r="H76" s="13"/>
      <c r="I76" s="13">
        <f>BS!I11</f>
        <v>52.2</v>
      </c>
      <c r="J76" s="13">
        <f t="shared" ref="J76:P76" si="28">J68+J69+J70-J75+J73</f>
        <v>192.13</v>
      </c>
      <c r="K76" s="13">
        <f t="shared" si="28"/>
        <v>204.86000000000004</v>
      </c>
      <c r="L76" s="13">
        <f t="shared" si="28"/>
        <v>191.07940000000002</v>
      </c>
      <c r="M76" s="13">
        <f t="shared" si="28"/>
        <v>201.37272600000006</v>
      </c>
      <c r="N76" s="13">
        <f t="shared" si="28"/>
        <v>209.50445354000007</v>
      </c>
      <c r="O76" s="13">
        <f t="shared" si="28"/>
        <v>215.92851829660009</v>
      </c>
      <c r="P76" s="13">
        <f t="shared" si="28"/>
        <v>221.0035294543141</v>
      </c>
    </row>
    <row r="77" spans="1:16" ht="14.25" customHeight="1" x14ac:dyDescent="0.25">
      <c r="C77" s="75"/>
      <c r="G77" s="62"/>
      <c r="H77" s="62"/>
      <c r="I77" s="62"/>
      <c r="J77" s="62"/>
      <c r="K77" s="62"/>
      <c r="L77" s="11"/>
      <c r="M77" s="11"/>
      <c r="N77" s="11"/>
      <c r="O77" s="11"/>
      <c r="P77" s="11"/>
    </row>
    <row r="78" spans="1:16" ht="14.25" customHeight="1" x14ac:dyDescent="0.25">
      <c r="B78" s="89" t="s">
        <v>247</v>
      </c>
      <c r="C78" s="16"/>
      <c r="D78" s="16"/>
      <c r="E78" s="16"/>
      <c r="F78" s="16"/>
      <c r="G78" s="17"/>
      <c r="H78" s="17"/>
      <c r="I78" s="17"/>
      <c r="J78" s="17">
        <f t="shared" ref="J78:P78" si="29">J72+J62+J51</f>
        <v>109.42</v>
      </c>
      <c r="K78" s="17">
        <f t="shared" si="29"/>
        <v>110.02000000000001</v>
      </c>
      <c r="L78" s="17">
        <f t="shared" si="29"/>
        <v>122.17320000000001</v>
      </c>
      <c r="M78" s="17">
        <f t="shared" si="29"/>
        <v>123.87859934364988</v>
      </c>
      <c r="N78" s="17">
        <f t="shared" si="29"/>
        <v>132.71438819536172</v>
      </c>
      <c r="O78" s="17">
        <f t="shared" si="29"/>
        <v>143.31062873653292</v>
      </c>
      <c r="P78" s="17">
        <f t="shared" si="29"/>
        <v>156.02141109537638</v>
      </c>
    </row>
    <row r="79" spans="1:16" ht="14.25" customHeight="1" x14ac:dyDescent="0.25">
      <c r="A79" s="73"/>
      <c r="B79" s="7"/>
      <c r="C79" s="7"/>
      <c r="D79" s="7"/>
      <c r="E79" s="7"/>
      <c r="F79" s="7"/>
      <c r="G79" s="74"/>
      <c r="H79" s="74"/>
      <c r="I79" s="74"/>
      <c r="J79" s="74"/>
      <c r="K79" s="74"/>
      <c r="L79" s="74"/>
      <c r="M79" s="74"/>
      <c r="N79" s="74"/>
      <c r="O79" s="74"/>
      <c r="P79" s="74"/>
    </row>
    <row r="80" spans="1:16" ht="14.25" customHeight="1" x14ac:dyDescent="0.25">
      <c r="A80" s="73"/>
      <c r="B80" s="7"/>
      <c r="C80" s="7"/>
      <c r="D80" s="7"/>
      <c r="E80" s="7"/>
      <c r="F80" s="7"/>
      <c r="G80" s="74"/>
      <c r="H80" s="74"/>
      <c r="I80" s="74"/>
      <c r="J80" s="74"/>
      <c r="K80" s="74"/>
      <c r="L80" s="74"/>
      <c r="M80" s="74"/>
      <c r="N80" s="74"/>
      <c r="O80" s="74"/>
      <c r="P80" s="74"/>
    </row>
    <row r="81" spans="1:20" ht="14.25" customHeight="1" x14ac:dyDescent="0.25">
      <c r="A81" s="73" t="s">
        <v>248</v>
      </c>
      <c r="B81" s="7"/>
      <c r="C81" s="7"/>
      <c r="D81" s="7"/>
      <c r="E81" s="7"/>
      <c r="F81" s="7"/>
      <c r="G81" s="74"/>
      <c r="H81" s="74"/>
      <c r="I81" s="74"/>
      <c r="J81" s="74"/>
      <c r="K81" s="74"/>
      <c r="L81" s="74"/>
      <c r="M81" s="74"/>
      <c r="N81" s="74"/>
      <c r="O81" s="74"/>
      <c r="P81" s="74"/>
    </row>
    <row r="82" spans="1:20" ht="14.25" customHeight="1" x14ac:dyDescent="0.25">
      <c r="A82" s="73"/>
      <c r="B82" s="15" t="s">
        <v>249</v>
      </c>
      <c r="C82" s="7"/>
      <c r="D82" s="7"/>
      <c r="E82" s="7"/>
      <c r="F82" s="7"/>
      <c r="G82" s="74"/>
      <c r="H82" s="74"/>
      <c r="I82" s="74"/>
      <c r="J82" s="74"/>
      <c r="K82" s="74"/>
      <c r="L82" s="11">
        <f>BS!K44</f>
        <v>115.23</v>
      </c>
      <c r="M82" s="11">
        <f t="shared" ref="M82:P82" si="30">L88</f>
        <v>160.608</v>
      </c>
      <c r="N82" s="11">
        <f t="shared" si="30"/>
        <v>174.31200000000001</v>
      </c>
      <c r="O82" s="11">
        <f t="shared" si="30"/>
        <v>172.89000000000004</v>
      </c>
      <c r="P82" s="11">
        <f t="shared" si="30"/>
        <v>151.30000000000007</v>
      </c>
      <c r="R82" s="20"/>
    </row>
    <row r="83" spans="1:20" ht="14.25" customHeight="1" x14ac:dyDescent="0.25">
      <c r="A83" s="73"/>
      <c r="B83" s="15" t="s">
        <v>250</v>
      </c>
      <c r="C83" s="7"/>
      <c r="D83" s="7"/>
      <c r="E83" s="7"/>
      <c r="F83" s="7"/>
      <c r="G83" s="74"/>
      <c r="H83" s="74"/>
      <c r="I83" s="74"/>
      <c r="J83" s="74"/>
      <c r="K83" s="74"/>
      <c r="L83" s="11">
        <f t="shared" ref="L83:P83" si="31">L69</f>
        <v>50.42</v>
      </c>
      <c r="M83" s="11">
        <f t="shared" si="31"/>
        <v>50.42</v>
      </c>
      <c r="N83" s="11">
        <f t="shared" si="31"/>
        <v>50.42</v>
      </c>
      <c r="O83" s="11">
        <f t="shared" si="31"/>
        <v>50.42</v>
      </c>
      <c r="P83" s="11">
        <f t="shared" si="31"/>
        <v>50.42</v>
      </c>
    </row>
    <row r="84" spans="1:20" ht="14.25" customHeight="1" x14ac:dyDescent="0.25">
      <c r="A84" s="73"/>
      <c r="B84" s="15" t="s">
        <v>251</v>
      </c>
      <c r="C84" s="7"/>
      <c r="D84" s="7"/>
      <c r="E84" s="7"/>
      <c r="F84" s="7"/>
      <c r="G84" s="74"/>
      <c r="H84" s="74"/>
      <c r="I84" s="74"/>
      <c r="J84" s="74"/>
      <c r="K84" s="74"/>
      <c r="L84" s="11"/>
      <c r="M84" s="11"/>
      <c r="N84" s="11"/>
      <c r="O84" s="11"/>
      <c r="P84" s="11"/>
    </row>
    <row r="85" spans="1:20" ht="14.25" customHeight="1" x14ac:dyDescent="0.25">
      <c r="A85" s="73"/>
      <c r="B85" s="15"/>
      <c r="C85" s="15" t="s">
        <v>252</v>
      </c>
      <c r="D85" s="7"/>
      <c r="E85" s="7"/>
      <c r="F85" s="7"/>
      <c r="G85" s="74"/>
      <c r="H85" s="74"/>
      <c r="I85" s="74"/>
      <c r="J85" s="74"/>
      <c r="K85" s="74"/>
      <c r="L85" s="10">
        <v>0</v>
      </c>
      <c r="M85" s="10">
        <v>-21.59</v>
      </c>
      <c r="N85" s="10">
        <v>-21.59</v>
      </c>
      <c r="O85" s="10">
        <v>-21.59</v>
      </c>
      <c r="P85" s="10">
        <v>-21.59</v>
      </c>
    </row>
    <row r="86" spans="1:20" ht="14.25" customHeight="1" x14ac:dyDescent="0.25">
      <c r="A86" s="73"/>
      <c r="B86" s="15"/>
      <c r="C86" s="15" t="s">
        <v>253</v>
      </c>
      <c r="D86" s="7"/>
      <c r="E86" s="7"/>
      <c r="F86" s="7"/>
      <c r="G86" s="74"/>
      <c r="H86" s="74"/>
      <c r="I86" s="74"/>
      <c r="J86" s="74"/>
      <c r="K86" s="74"/>
      <c r="L86" s="11">
        <f t="shared" ref="L86:P86" si="32">-L100</f>
        <v>-5.0419999999999998</v>
      </c>
      <c r="M86" s="11">
        <f t="shared" si="32"/>
        <v>-15.125999999999999</v>
      </c>
      <c r="N86" s="11">
        <f t="shared" si="32"/>
        <v>-30.252000000000002</v>
      </c>
      <c r="O86" s="11">
        <f t="shared" si="32"/>
        <v>-50.42</v>
      </c>
      <c r="P86" s="11">
        <f t="shared" si="32"/>
        <v>-75.63</v>
      </c>
    </row>
    <row r="87" spans="1:20" ht="14.25" customHeight="1" x14ac:dyDescent="0.25">
      <c r="A87" s="73"/>
      <c r="B87" s="12" t="s">
        <v>254</v>
      </c>
      <c r="C87" s="12"/>
      <c r="D87" s="12"/>
      <c r="E87" s="12"/>
      <c r="F87" s="12"/>
      <c r="G87" s="13"/>
      <c r="H87" s="13"/>
      <c r="I87" s="13"/>
      <c r="J87" s="13"/>
      <c r="K87" s="13"/>
      <c r="L87" s="13">
        <f t="shared" ref="L87:P87" si="33">SUM(L85:L86)</f>
        <v>-5.0419999999999998</v>
      </c>
      <c r="M87" s="13">
        <f t="shared" si="33"/>
        <v>-36.716000000000001</v>
      </c>
      <c r="N87" s="13">
        <f t="shared" si="33"/>
        <v>-51.841999999999999</v>
      </c>
      <c r="O87" s="13">
        <f t="shared" si="33"/>
        <v>-72.010000000000005</v>
      </c>
      <c r="P87" s="13">
        <f t="shared" si="33"/>
        <v>-97.22</v>
      </c>
    </row>
    <row r="88" spans="1:20" ht="14.25" customHeight="1" x14ac:dyDescent="0.25">
      <c r="A88" s="73"/>
      <c r="B88" s="56" t="s">
        <v>255</v>
      </c>
      <c r="C88" s="56"/>
      <c r="D88" s="56"/>
      <c r="E88" s="56"/>
      <c r="F88" s="56"/>
      <c r="G88" s="90">
        <f>BS!G44</f>
        <v>70.94</v>
      </c>
      <c r="H88" s="90">
        <f>BS!H44</f>
        <v>39.26</v>
      </c>
      <c r="I88" s="90">
        <f>BS!I44</f>
        <v>0</v>
      </c>
      <c r="J88" s="90">
        <f>BS!J44</f>
        <v>119.78</v>
      </c>
      <c r="K88" s="90">
        <f>BS!K44</f>
        <v>115.23</v>
      </c>
      <c r="L88" s="90">
        <f t="shared" ref="L88:P88" si="34">L82+L83+L87</f>
        <v>160.608</v>
      </c>
      <c r="M88" s="90">
        <f t="shared" si="34"/>
        <v>174.31200000000001</v>
      </c>
      <c r="N88" s="90">
        <f t="shared" si="34"/>
        <v>172.89000000000004</v>
      </c>
      <c r="O88" s="90">
        <f t="shared" si="34"/>
        <v>151.30000000000007</v>
      </c>
      <c r="P88" s="90">
        <f t="shared" si="34"/>
        <v>104.50000000000009</v>
      </c>
    </row>
    <row r="89" spans="1:20" ht="14.25" customHeight="1" x14ac:dyDescent="0.25">
      <c r="A89" s="73"/>
      <c r="C89" s="15"/>
      <c r="D89" s="7"/>
      <c r="E89" s="7"/>
      <c r="F89" s="7"/>
      <c r="G89" s="74"/>
      <c r="H89" s="74"/>
      <c r="I89" s="74"/>
      <c r="J89" s="74"/>
      <c r="K89" s="74"/>
      <c r="L89" s="74"/>
      <c r="M89" s="74"/>
      <c r="N89" s="74"/>
      <c r="O89" s="74"/>
      <c r="P89" s="74"/>
    </row>
    <row r="90" spans="1:20" ht="14.25" customHeight="1" x14ac:dyDescent="0.25">
      <c r="A90" s="73"/>
      <c r="B90" s="12" t="s">
        <v>256</v>
      </c>
      <c r="C90" s="12"/>
      <c r="D90" s="12"/>
      <c r="E90" s="12"/>
      <c r="F90" s="12"/>
      <c r="G90" s="13"/>
      <c r="H90" s="13"/>
      <c r="I90" s="13"/>
      <c r="J90" s="32">
        <v>12.62</v>
      </c>
      <c r="K90" s="32">
        <v>13.33</v>
      </c>
      <c r="L90" s="13">
        <f t="shared" ref="L90:P90" si="35">L91*L88</f>
        <v>19.272960000000001</v>
      </c>
      <c r="M90" s="13">
        <f t="shared" si="35"/>
        <v>20.917439999999999</v>
      </c>
      <c r="N90" s="13">
        <f t="shared" si="35"/>
        <v>20.746800000000004</v>
      </c>
      <c r="O90" s="13">
        <f t="shared" si="35"/>
        <v>18.156000000000006</v>
      </c>
      <c r="P90" s="13">
        <f t="shared" si="35"/>
        <v>12.54000000000001</v>
      </c>
      <c r="T90" s="9">
        <f>L83*R82*8</f>
        <v>0</v>
      </c>
    </row>
    <row r="91" spans="1:20" ht="14.25" customHeight="1" x14ac:dyDescent="0.25">
      <c r="A91" s="73"/>
      <c r="B91" s="7"/>
      <c r="C91" s="3" t="s">
        <v>257</v>
      </c>
      <c r="D91" s="3"/>
      <c r="E91" s="3"/>
      <c r="F91" s="3"/>
      <c r="G91" s="53"/>
      <c r="H91" s="53"/>
      <c r="I91" s="53"/>
      <c r="J91" s="39">
        <f t="shared" ref="J91:K91" si="36">J90/J88</f>
        <v>0.10535982634830522</v>
      </c>
      <c r="K91" s="39">
        <f t="shared" si="36"/>
        <v>0.11568168011802482</v>
      </c>
      <c r="L91" s="58">
        <v>0.12</v>
      </c>
      <c r="M91" s="58">
        <v>0.12</v>
      </c>
      <c r="N91" s="58">
        <v>0.12</v>
      </c>
      <c r="O91" s="58">
        <v>0.12</v>
      </c>
      <c r="P91" s="58">
        <v>0.12</v>
      </c>
    </row>
    <row r="92" spans="1:20" ht="14.25" customHeight="1" x14ac:dyDescent="0.25">
      <c r="A92" s="73"/>
      <c r="B92" s="7"/>
      <c r="C92" s="15"/>
      <c r="D92" s="7"/>
      <c r="E92" s="7"/>
      <c r="F92" s="7"/>
      <c r="G92" s="74"/>
      <c r="H92" s="74"/>
      <c r="I92" s="74"/>
      <c r="J92" s="74"/>
      <c r="K92" s="74"/>
      <c r="L92" s="74"/>
      <c r="M92" s="74"/>
      <c r="N92" s="74"/>
      <c r="O92" s="74"/>
      <c r="P92" s="74"/>
    </row>
    <row r="93" spans="1:20" ht="14.25" customHeight="1" x14ac:dyDescent="0.25">
      <c r="A93" s="73"/>
      <c r="B93" s="7"/>
      <c r="C93" s="15"/>
      <c r="D93" s="7"/>
      <c r="E93" s="7"/>
      <c r="F93" s="7"/>
      <c r="G93" s="74"/>
      <c r="H93" s="74"/>
      <c r="I93" s="74"/>
      <c r="J93" s="74"/>
      <c r="K93" s="74"/>
      <c r="L93" s="74"/>
      <c r="M93" s="74"/>
      <c r="N93" s="74"/>
      <c r="O93" s="74"/>
      <c r="P93" s="74"/>
    </row>
    <row r="94" spans="1:20" ht="14.25" customHeight="1" x14ac:dyDescent="0.25">
      <c r="A94" s="73"/>
      <c r="B94" s="7"/>
      <c r="C94" s="24" t="s">
        <v>258</v>
      </c>
      <c r="D94" s="7"/>
      <c r="E94" s="91">
        <v>10</v>
      </c>
      <c r="F94" s="7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11"/>
    </row>
    <row r="95" spans="1:20" ht="14.25" customHeight="1" x14ac:dyDescent="0.25">
      <c r="A95" s="73"/>
      <c r="B95" s="7"/>
      <c r="C95" s="15" t="s">
        <v>259</v>
      </c>
      <c r="D95" s="7"/>
      <c r="E95" s="26">
        <v>22</v>
      </c>
      <c r="F95" s="7"/>
      <c r="G95" s="74"/>
      <c r="H95" s="74"/>
      <c r="I95" s="74"/>
      <c r="J95" s="74"/>
      <c r="K95" s="74"/>
      <c r="L95" s="11">
        <f t="shared" ref="L95:P95" si="37">IF(L$4&gt;=$E95,L$69/$E$94+(MIN(K95,K95*$E$94)),"NA")</f>
        <v>5.0419999999999998</v>
      </c>
      <c r="M95" s="11">
        <f t="shared" si="37"/>
        <v>10.084</v>
      </c>
      <c r="N95" s="11">
        <f t="shared" si="37"/>
        <v>15.125999999999999</v>
      </c>
      <c r="O95" s="11">
        <f t="shared" si="37"/>
        <v>20.167999999999999</v>
      </c>
      <c r="P95" s="11">
        <f t="shared" si="37"/>
        <v>25.21</v>
      </c>
    </row>
    <row r="96" spans="1:20" ht="14.25" customHeight="1" x14ac:dyDescent="0.25">
      <c r="A96" s="73"/>
      <c r="B96" s="7"/>
      <c r="C96" s="15"/>
      <c r="D96" s="7"/>
      <c r="E96" s="26">
        <v>23</v>
      </c>
      <c r="F96" s="7"/>
      <c r="G96" s="74"/>
      <c r="H96" s="74"/>
      <c r="I96" s="74"/>
      <c r="J96" s="74"/>
      <c r="K96" s="74"/>
      <c r="L96" s="11"/>
      <c r="M96" s="11">
        <f t="shared" ref="M96:P96" si="38">IF(M$4&gt;=$E96,M$69/$E$94+(MIN(L96,L96*$E$94)),0)</f>
        <v>5.0419999999999998</v>
      </c>
      <c r="N96" s="11">
        <f t="shared" si="38"/>
        <v>10.084</v>
      </c>
      <c r="O96" s="11">
        <f t="shared" si="38"/>
        <v>15.125999999999999</v>
      </c>
      <c r="P96" s="11">
        <f t="shared" si="38"/>
        <v>20.167999999999999</v>
      </c>
    </row>
    <row r="97" spans="1:26" ht="14.25" customHeight="1" x14ac:dyDescent="0.25">
      <c r="A97" s="73"/>
      <c r="B97" s="7"/>
      <c r="C97" s="15"/>
      <c r="D97" s="7"/>
      <c r="E97" s="26">
        <v>24</v>
      </c>
      <c r="F97" s="7"/>
      <c r="G97" s="74"/>
      <c r="H97" s="74"/>
      <c r="I97" s="74"/>
      <c r="J97" s="74"/>
      <c r="K97" s="74"/>
      <c r="L97" s="11"/>
      <c r="M97" s="11"/>
      <c r="N97" s="11">
        <f t="shared" ref="N97:P97" si="39">IF(N$4&gt;=$E97,N$69/$E$94+(MIN(M97,M97*$E$94)),0)</f>
        <v>5.0419999999999998</v>
      </c>
      <c r="O97" s="11">
        <f t="shared" si="39"/>
        <v>10.084</v>
      </c>
      <c r="P97" s="11">
        <f t="shared" si="39"/>
        <v>15.125999999999999</v>
      </c>
    </row>
    <row r="98" spans="1:26" ht="14.25" customHeight="1" x14ac:dyDescent="0.25">
      <c r="A98" s="73"/>
      <c r="B98" s="7"/>
      <c r="C98" s="15"/>
      <c r="D98" s="7"/>
      <c r="E98" s="26">
        <v>25</v>
      </c>
      <c r="F98" s="7"/>
      <c r="G98" s="74"/>
      <c r="H98" s="74"/>
      <c r="I98" s="74"/>
      <c r="J98" s="74"/>
      <c r="K98" s="74"/>
      <c r="L98" s="11"/>
      <c r="M98" s="11"/>
      <c r="N98" s="11"/>
      <c r="O98" s="11">
        <f t="shared" ref="O98:P98" si="40">IF(O$4&gt;=$E98,O$69/$E$94+(MIN(N98,N98*$E$94)),0)</f>
        <v>5.0419999999999998</v>
      </c>
      <c r="P98" s="11">
        <f t="shared" si="40"/>
        <v>10.084</v>
      </c>
    </row>
    <row r="99" spans="1:26" ht="14.25" customHeight="1" x14ac:dyDescent="0.25">
      <c r="A99" s="73"/>
      <c r="B99" s="7"/>
      <c r="C99" s="15"/>
      <c r="D99" s="7"/>
      <c r="E99" s="26">
        <v>26</v>
      </c>
      <c r="F99" s="7"/>
      <c r="G99" s="74"/>
      <c r="H99" s="74"/>
      <c r="I99" s="74"/>
      <c r="J99" s="74"/>
      <c r="K99" s="74"/>
      <c r="L99" s="11"/>
      <c r="M99" s="11"/>
      <c r="N99" s="11"/>
      <c r="O99" s="11"/>
      <c r="P99" s="11">
        <f>IF(P$4&gt;=$E99,P$69/$E$94+(MIN(O99,O99*$E$94)),0)</f>
        <v>5.0419999999999998</v>
      </c>
    </row>
    <row r="100" spans="1:26" ht="14.25" customHeight="1" x14ac:dyDescent="0.25">
      <c r="A100" s="73"/>
      <c r="C100" s="12" t="s">
        <v>260</v>
      </c>
      <c r="D100" s="12"/>
      <c r="E100" s="12"/>
      <c r="F100" s="12"/>
      <c r="G100" s="13"/>
      <c r="H100" s="13"/>
      <c r="I100" s="13"/>
      <c r="J100" s="13"/>
      <c r="K100" s="13"/>
      <c r="L100" s="13">
        <f t="shared" ref="L100:P100" si="41">SUM(L95:L99)</f>
        <v>5.0419999999999998</v>
      </c>
      <c r="M100" s="13">
        <f t="shared" si="41"/>
        <v>15.125999999999999</v>
      </c>
      <c r="N100" s="13">
        <f t="shared" si="41"/>
        <v>30.252000000000002</v>
      </c>
      <c r="O100" s="13">
        <f t="shared" si="41"/>
        <v>50.42</v>
      </c>
      <c r="P100" s="13">
        <f t="shared" si="41"/>
        <v>75.63</v>
      </c>
    </row>
    <row r="101" spans="1:26" ht="14.25" customHeight="1" x14ac:dyDescent="0.25">
      <c r="A101" s="73"/>
      <c r="B101" s="7"/>
      <c r="C101" s="15"/>
      <c r="D101" s="7"/>
      <c r="E101" s="7"/>
      <c r="F101" s="7"/>
      <c r="G101" s="74"/>
      <c r="H101" s="74"/>
      <c r="I101" s="74"/>
      <c r="J101" s="74"/>
      <c r="K101" s="74"/>
      <c r="L101" s="74"/>
      <c r="M101" s="74"/>
      <c r="N101" s="74"/>
      <c r="O101" s="74"/>
      <c r="P101" s="74"/>
    </row>
    <row r="102" spans="1:26" ht="14.25" customHeight="1" x14ac:dyDescent="0.2">
      <c r="C102" s="75"/>
    </row>
    <row r="103" spans="1:26" ht="14.25" customHeight="1" x14ac:dyDescent="0.25">
      <c r="C103" s="75"/>
      <c r="I103" s="20"/>
      <c r="L103" s="11"/>
      <c r="M103" s="11"/>
      <c r="N103" s="11"/>
      <c r="O103" s="11"/>
      <c r="P103" s="11"/>
    </row>
    <row r="104" spans="1:26" ht="14.25" customHeight="1" x14ac:dyDescent="0.25">
      <c r="C104" s="73"/>
      <c r="L104" s="51"/>
      <c r="M104" s="51"/>
      <c r="N104" s="51"/>
      <c r="O104" s="51"/>
      <c r="P104" s="51"/>
    </row>
    <row r="105" spans="1:26" ht="14.25" customHeight="1" x14ac:dyDescent="0.25">
      <c r="L105" s="51"/>
      <c r="M105" s="51"/>
      <c r="N105" s="51"/>
      <c r="O105" s="51"/>
      <c r="P105" s="51"/>
    </row>
    <row r="106" spans="1:26" ht="14.25" customHeight="1" x14ac:dyDescent="0.2"/>
    <row r="107" spans="1:26" ht="14.25" customHeight="1" x14ac:dyDescent="0.2"/>
    <row r="108" spans="1:26" ht="14.25" customHeight="1" x14ac:dyDescent="0.25">
      <c r="J108" s="82"/>
      <c r="K108" s="82"/>
      <c r="L108" s="82"/>
      <c r="M108" s="82"/>
      <c r="N108" s="82"/>
      <c r="O108" s="82"/>
      <c r="P108" s="82"/>
    </row>
    <row r="109" spans="1:26" ht="14.25" customHeight="1" x14ac:dyDescent="0.2"/>
    <row r="110" spans="1:26" ht="14.25" customHeight="1" x14ac:dyDescent="0.2"/>
    <row r="111" spans="1:26" ht="14.25" customHeight="1" x14ac:dyDescent="0.2"/>
    <row r="112" spans="1:26" ht="18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20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51"/>
      <c r="N115" s="51"/>
      <c r="O115" s="51"/>
      <c r="P115" s="51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51"/>
      <c r="N116" s="51"/>
      <c r="O116" s="51"/>
      <c r="P116" s="51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51"/>
      <c r="N117" s="51"/>
      <c r="O117" s="51"/>
      <c r="P117" s="51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1"/>
      <c r="M119" s="11"/>
      <c r="N119" s="11"/>
      <c r="O119" s="11"/>
      <c r="P119" s="11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1"/>
      <c r="M120" s="11"/>
      <c r="N120" s="11"/>
      <c r="O120" s="11"/>
      <c r="P120" s="11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1"/>
      <c r="M122" s="11"/>
      <c r="N122" s="11"/>
      <c r="O122" s="11"/>
      <c r="P122" s="11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1"/>
      <c r="M123" s="11"/>
      <c r="N123" s="11"/>
      <c r="O123" s="11"/>
      <c r="P123" s="11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1"/>
      <c r="M124" s="11"/>
      <c r="N124" s="11"/>
      <c r="O124" s="11"/>
      <c r="P124" s="11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51"/>
      <c r="M125" s="51"/>
      <c r="N125" s="51"/>
      <c r="O125" s="51"/>
      <c r="P125" s="51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51"/>
      <c r="M126" s="51"/>
      <c r="N126" s="51"/>
      <c r="O126" s="51"/>
      <c r="P126" s="51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51"/>
      <c r="L127" s="51"/>
      <c r="M127" s="51"/>
      <c r="N127" s="51"/>
      <c r="O127" s="51"/>
      <c r="P127" s="51"/>
      <c r="Q127" s="51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25">
      <c r="A128" s="15"/>
      <c r="B128" s="15"/>
      <c r="C128" s="15"/>
      <c r="D128" s="15"/>
      <c r="E128" s="28"/>
      <c r="F128" s="15"/>
      <c r="G128" s="15"/>
      <c r="H128" s="15"/>
      <c r="I128" s="15"/>
      <c r="J128" s="15"/>
      <c r="K128" s="15"/>
      <c r="L128" s="51"/>
      <c r="M128" s="51"/>
      <c r="N128" s="51"/>
      <c r="O128" s="51"/>
      <c r="P128" s="51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51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25">
      <c r="A130" s="15"/>
      <c r="B130" s="15"/>
      <c r="C130" s="15"/>
      <c r="D130" s="15"/>
      <c r="E130" s="3"/>
      <c r="F130" s="15"/>
      <c r="G130" s="15"/>
      <c r="H130" s="15"/>
      <c r="I130" s="15"/>
      <c r="J130" s="15"/>
      <c r="K130" s="15"/>
      <c r="L130" s="11"/>
      <c r="M130" s="11"/>
      <c r="N130" s="11"/>
      <c r="O130" s="11"/>
      <c r="P130" s="11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25">
      <c r="A131" s="15"/>
      <c r="B131" s="15"/>
      <c r="C131" s="15"/>
      <c r="D131" s="15"/>
      <c r="E131" s="3"/>
      <c r="F131" s="15"/>
      <c r="G131" s="15"/>
      <c r="H131" s="15"/>
      <c r="I131" s="15"/>
      <c r="J131" s="15"/>
      <c r="K131" s="15"/>
      <c r="L131" s="11"/>
      <c r="M131" s="11"/>
      <c r="N131" s="11"/>
      <c r="O131" s="11"/>
      <c r="P131" s="11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25">
      <c r="A132" s="15"/>
      <c r="B132" s="15"/>
      <c r="C132" s="15"/>
      <c r="D132" s="15"/>
      <c r="E132" s="3"/>
      <c r="F132" s="15"/>
      <c r="G132" s="15"/>
      <c r="H132" s="15"/>
      <c r="I132" s="15"/>
      <c r="J132" s="15"/>
      <c r="K132" s="15"/>
      <c r="L132" s="11"/>
      <c r="M132" s="11"/>
      <c r="N132" s="11"/>
      <c r="O132" s="11"/>
      <c r="P132" s="11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25">
      <c r="A133" s="15"/>
      <c r="B133" s="15"/>
      <c r="C133" s="15"/>
      <c r="D133" s="15"/>
      <c r="E133" s="3"/>
      <c r="F133" s="15"/>
      <c r="G133" s="15"/>
      <c r="H133" s="15"/>
      <c r="I133" s="15"/>
      <c r="J133" s="15"/>
      <c r="K133" s="15"/>
      <c r="L133" s="11"/>
      <c r="M133" s="11"/>
      <c r="N133" s="11"/>
      <c r="O133" s="11"/>
      <c r="P133" s="11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25">
      <c r="A134" s="15"/>
      <c r="B134" s="15"/>
      <c r="C134" s="15"/>
      <c r="D134" s="15"/>
      <c r="E134" s="3"/>
      <c r="F134" s="15"/>
      <c r="G134" s="15"/>
      <c r="H134" s="15"/>
      <c r="I134" s="15"/>
      <c r="J134" s="15"/>
      <c r="K134" s="15"/>
      <c r="L134" s="11"/>
      <c r="M134" s="11"/>
      <c r="N134" s="11"/>
      <c r="O134" s="11"/>
      <c r="P134" s="11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1"/>
      <c r="M135" s="11"/>
      <c r="N135" s="11"/>
      <c r="O135" s="11"/>
      <c r="P135" s="11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2"/>
    <row r="139" spans="1:26" ht="14.25" customHeight="1" x14ac:dyDescent="0.2"/>
    <row r="140" spans="1:26" ht="14.25" customHeight="1" x14ac:dyDescent="0.2"/>
    <row r="141" spans="1:26" ht="14.25" customHeight="1" x14ac:dyDescent="0.2"/>
    <row r="142" spans="1:26" ht="14.25" customHeight="1" x14ac:dyDescent="0.2"/>
    <row r="143" spans="1:26" ht="14.25" customHeight="1" x14ac:dyDescent="0.2"/>
    <row r="144" spans="1:26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1" sqref="D11"/>
    </sheetView>
  </sheetViews>
  <sheetFormatPr defaultColWidth="12.625" defaultRowHeight="15" customHeight="1" x14ac:dyDescent="0.2"/>
  <cols>
    <col min="1" max="2" width="4.625" customWidth="1"/>
    <col min="3" max="3" width="37.5" customWidth="1"/>
    <col min="4" max="4" width="4.625" customWidth="1"/>
    <col min="5" max="5" width="6.5" customWidth="1"/>
    <col min="6" max="6" width="4.625" customWidth="1"/>
    <col min="7" max="11" width="8.75" customWidth="1"/>
    <col min="12" max="12" width="9.875" customWidth="1"/>
    <col min="13" max="16" width="8.75" customWidth="1"/>
    <col min="17" max="26" width="7.625" customWidth="1"/>
  </cols>
  <sheetData>
    <row r="1" spans="1:26" ht="14.25" customHeight="1" x14ac:dyDescent="0.3">
      <c r="A1" s="1" t="s">
        <v>261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</v>
      </c>
      <c r="B2" s="3"/>
      <c r="C2" s="3"/>
      <c r="D2" s="3"/>
      <c r="E2" s="3"/>
      <c r="F2" s="3"/>
      <c r="G2" s="3">
        <v>1</v>
      </c>
      <c r="H2" s="3">
        <f t="shared" ref="H2:P2" si="0">G2+1</f>
        <v>2</v>
      </c>
      <c r="I2" s="3">
        <f t="shared" si="0"/>
        <v>3</v>
      </c>
      <c r="J2" s="3">
        <f t="shared" si="0"/>
        <v>4</v>
      </c>
      <c r="K2" s="3">
        <f t="shared" si="0"/>
        <v>5</v>
      </c>
      <c r="L2" s="3">
        <f t="shared" si="0"/>
        <v>6</v>
      </c>
      <c r="M2" s="3">
        <f t="shared" si="0"/>
        <v>7</v>
      </c>
      <c r="N2" s="3">
        <f t="shared" si="0"/>
        <v>8</v>
      </c>
      <c r="O2" s="3">
        <f t="shared" si="0"/>
        <v>9</v>
      </c>
      <c r="P2" s="3">
        <f t="shared" si="0"/>
        <v>10</v>
      </c>
    </row>
    <row r="3" spans="1:26" ht="14.25" customHeight="1" x14ac:dyDescent="0.2"/>
    <row r="4" spans="1:26" ht="14.25" customHeight="1" x14ac:dyDescent="0.25">
      <c r="A4" s="3" t="s">
        <v>2</v>
      </c>
      <c r="G4" s="21">
        <v>17</v>
      </c>
      <c r="H4" s="21">
        <f t="shared" ref="H4:P4" si="1">G4+1</f>
        <v>18</v>
      </c>
      <c r="I4" s="21">
        <f t="shared" si="1"/>
        <v>19</v>
      </c>
      <c r="J4" s="21">
        <f t="shared" si="1"/>
        <v>20</v>
      </c>
      <c r="K4" s="21">
        <f t="shared" si="1"/>
        <v>21</v>
      </c>
      <c r="L4" s="22">
        <f t="shared" si="1"/>
        <v>22</v>
      </c>
      <c r="M4" s="22">
        <f t="shared" si="1"/>
        <v>23</v>
      </c>
      <c r="N4" s="22">
        <f t="shared" si="1"/>
        <v>24</v>
      </c>
      <c r="O4" s="22">
        <f t="shared" si="1"/>
        <v>25</v>
      </c>
      <c r="P4" s="22">
        <f t="shared" si="1"/>
        <v>26</v>
      </c>
    </row>
    <row r="5" spans="1:26" ht="14.25" customHeight="1" x14ac:dyDescent="0.25">
      <c r="A5" s="7" t="s">
        <v>262</v>
      </c>
    </row>
    <row r="6" spans="1:26" ht="14.25" customHeight="1" x14ac:dyDescent="0.25">
      <c r="A6" s="7"/>
      <c r="C6" s="9" t="s">
        <v>263</v>
      </c>
      <c r="E6" s="92">
        <v>1</v>
      </c>
    </row>
    <row r="7" spans="1:26" ht="14.25" customHeight="1" x14ac:dyDescent="0.25">
      <c r="A7" s="7"/>
    </row>
    <row r="8" spans="1:26" ht="14.25" customHeight="1" x14ac:dyDescent="0.25">
      <c r="A8" s="7"/>
    </row>
    <row r="9" spans="1:26" ht="14.25" customHeight="1" x14ac:dyDescent="0.25">
      <c r="A9" s="7"/>
      <c r="B9" s="9" t="s">
        <v>264</v>
      </c>
    </row>
    <row r="10" spans="1:26" ht="14.25" customHeight="1" x14ac:dyDescent="0.25">
      <c r="C10" s="9" t="s">
        <v>265</v>
      </c>
      <c r="H10" s="9">
        <f t="shared" ref="H10:P10" si="2">G12</f>
        <v>120130250</v>
      </c>
      <c r="I10" s="9">
        <f t="shared" si="2"/>
        <v>120353620</v>
      </c>
      <c r="J10" s="9">
        <f t="shared" si="2"/>
        <v>124050873</v>
      </c>
      <c r="K10" s="9">
        <f t="shared" si="2"/>
        <v>248246436</v>
      </c>
      <c r="L10" s="9">
        <f t="shared" si="2"/>
        <v>248442101</v>
      </c>
      <c r="M10" s="9">
        <f t="shared" si="2"/>
        <v>248442101</v>
      </c>
      <c r="N10" s="9">
        <f t="shared" si="2"/>
        <v>248442101</v>
      </c>
      <c r="O10" s="9">
        <f t="shared" si="2"/>
        <v>248442101</v>
      </c>
      <c r="P10" s="9">
        <f t="shared" si="2"/>
        <v>248442101</v>
      </c>
    </row>
    <row r="11" spans="1:26" ht="14.25" customHeight="1" x14ac:dyDescent="0.25">
      <c r="C11" s="9" t="s">
        <v>266</v>
      </c>
      <c r="H11" s="26">
        <v>223370</v>
      </c>
      <c r="I11" s="26">
        <v>3697253</v>
      </c>
      <c r="J11" s="26">
        <v>124195563</v>
      </c>
      <c r="K11" s="26">
        <v>195665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</row>
    <row r="12" spans="1:26" ht="14.25" customHeight="1" x14ac:dyDescent="0.25">
      <c r="B12" s="12" t="s">
        <v>267</v>
      </c>
      <c r="C12" s="18"/>
      <c r="D12" s="18"/>
      <c r="E12" s="93" t="s">
        <v>268</v>
      </c>
      <c r="F12" s="18"/>
      <c r="G12" s="94">
        <v>120130250</v>
      </c>
      <c r="H12" s="18">
        <f t="shared" ref="H12:K12" si="3">H10+H11</f>
        <v>120353620</v>
      </c>
      <c r="I12" s="18">
        <f t="shared" si="3"/>
        <v>124050873</v>
      </c>
      <c r="J12" s="18">
        <f t="shared" si="3"/>
        <v>248246436</v>
      </c>
      <c r="K12" s="18">
        <f t="shared" si="3"/>
        <v>248442101</v>
      </c>
      <c r="L12" s="18">
        <f t="shared" ref="L12:P12" si="4">SUM(L10:L11)</f>
        <v>248442101</v>
      </c>
      <c r="M12" s="18">
        <f t="shared" si="4"/>
        <v>248442101</v>
      </c>
      <c r="N12" s="18">
        <f t="shared" si="4"/>
        <v>248442101</v>
      </c>
      <c r="O12" s="18">
        <f t="shared" si="4"/>
        <v>248442101</v>
      </c>
      <c r="P12" s="18">
        <f t="shared" si="4"/>
        <v>248442101</v>
      </c>
      <c r="Q12" s="18"/>
    </row>
    <row r="13" spans="1:26" ht="14.25" customHeight="1" x14ac:dyDescent="0.2"/>
    <row r="14" spans="1:26" ht="14.25" customHeight="1" x14ac:dyDescent="0.2"/>
    <row r="15" spans="1:26" ht="14.25" customHeight="1" x14ac:dyDescent="0.25">
      <c r="B15" s="16"/>
      <c r="C15" s="16" t="s">
        <v>58</v>
      </c>
      <c r="D15" s="16"/>
      <c r="E15" s="95" t="s">
        <v>269</v>
      </c>
      <c r="F15" s="16"/>
      <c r="G15" s="17">
        <f t="shared" ref="G15:P15" si="5">G12*$E$6/10000000</f>
        <v>12.013025000000001</v>
      </c>
      <c r="H15" s="17">
        <f t="shared" si="5"/>
        <v>12.035361999999999</v>
      </c>
      <c r="I15" s="17">
        <f t="shared" si="5"/>
        <v>12.4050873</v>
      </c>
      <c r="J15" s="17">
        <f t="shared" si="5"/>
        <v>24.824643600000002</v>
      </c>
      <c r="K15" s="17">
        <f t="shared" si="5"/>
        <v>24.844210100000002</v>
      </c>
      <c r="L15" s="17">
        <f t="shared" si="5"/>
        <v>24.844210100000002</v>
      </c>
      <c r="M15" s="17">
        <f t="shared" si="5"/>
        <v>24.844210100000002</v>
      </c>
      <c r="N15" s="17">
        <f t="shared" si="5"/>
        <v>24.844210100000002</v>
      </c>
      <c r="O15" s="17">
        <f t="shared" si="5"/>
        <v>24.844210100000002</v>
      </c>
      <c r="P15" s="17">
        <f t="shared" si="5"/>
        <v>24.844210100000002</v>
      </c>
      <c r="Q15" s="16"/>
    </row>
    <row r="16" spans="1:26" ht="14.25" customHeight="1" x14ac:dyDescent="0.25"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7" ht="14.25" customHeight="1" x14ac:dyDescent="0.25"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7" ht="14.25" customHeight="1" x14ac:dyDescent="0.25"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7" ht="14.25" customHeight="1" x14ac:dyDescent="0.25">
      <c r="A19" s="7" t="s">
        <v>59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7" ht="14.25" customHeight="1" x14ac:dyDescent="0.25"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7" ht="14.25" customHeight="1" x14ac:dyDescent="0.25">
      <c r="C21" s="9" t="s">
        <v>270</v>
      </c>
      <c r="G21" s="11"/>
      <c r="H21" s="11">
        <f t="shared" ref="H21:P21" si="6">G24</f>
        <v>594.36</v>
      </c>
      <c r="I21" s="11">
        <f t="shared" si="6"/>
        <v>749.18</v>
      </c>
      <c r="J21" s="11">
        <f t="shared" si="6"/>
        <v>1092.67</v>
      </c>
      <c r="K21" s="11">
        <f t="shared" si="6"/>
        <v>1247.58</v>
      </c>
      <c r="L21" s="11">
        <f t="shared" si="6"/>
        <v>1547.57</v>
      </c>
      <c r="M21" s="11">
        <f t="shared" si="6"/>
        <v>1776.3260761425893</v>
      </c>
      <c r="N21" s="11">
        <f t="shared" si="6"/>
        <v>2092.235234273694</v>
      </c>
      <c r="O21" s="11">
        <f t="shared" si="6"/>
        <v>2490.0794740946262</v>
      </c>
      <c r="P21" s="11">
        <f t="shared" si="6"/>
        <v>2997.7438085662202</v>
      </c>
    </row>
    <row r="22" spans="1:17" ht="14.25" customHeight="1" x14ac:dyDescent="0.25">
      <c r="C22" s="9" t="s">
        <v>271</v>
      </c>
      <c r="G22" s="11"/>
      <c r="H22" s="10">
        <v>161.07</v>
      </c>
      <c r="I22" s="10">
        <v>175.43999999999932</v>
      </c>
      <c r="J22" s="10">
        <v>226.25000000000003</v>
      </c>
      <c r="K22" s="10">
        <v>291.56</v>
      </c>
      <c r="L22" s="11">
        <f>'P&amp;L'!L34</f>
        <v>290.86607614258924</v>
      </c>
      <c r="M22" s="11">
        <f>'P&amp;L'!M34</f>
        <v>376.99103412104887</v>
      </c>
      <c r="N22" s="11">
        <f>'P&amp;L'!N34</f>
        <v>477.01235698635264</v>
      </c>
      <c r="O22" s="11">
        <f>'P&amp;L'!O34</f>
        <v>607.83692943872802</v>
      </c>
      <c r="P22" s="11">
        <f>'P&amp;L'!P34</f>
        <v>743.0306157016397</v>
      </c>
    </row>
    <row r="23" spans="1:17" ht="14.25" customHeight="1" x14ac:dyDescent="0.25">
      <c r="C23" s="9" t="s">
        <v>272</v>
      </c>
      <c r="G23" s="11"/>
      <c r="H23" s="10">
        <v>-6.2500000000001137</v>
      </c>
      <c r="I23" s="10">
        <v>168.05000000000086</v>
      </c>
      <c r="J23" s="10">
        <v>-71.340000000000146</v>
      </c>
      <c r="K23" s="10">
        <v>8.4300000000000637</v>
      </c>
      <c r="L23" s="11">
        <f t="shared" ref="L23:P23" si="7">-K29</f>
        <v>-62.11</v>
      </c>
      <c r="M23" s="11">
        <f t="shared" si="7"/>
        <v>-61.08187598994374</v>
      </c>
      <c r="N23" s="11">
        <f t="shared" si="7"/>
        <v>-79.168117165420256</v>
      </c>
      <c r="O23" s="11">
        <f t="shared" si="7"/>
        <v>-100.17259496713405</v>
      </c>
      <c r="P23" s="11">
        <f t="shared" si="7"/>
        <v>-127.64575518213287</v>
      </c>
    </row>
    <row r="24" spans="1:17" ht="14.25" customHeight="1" x14ac:dyDescent="0.25">
      <c r="B24" s="12" t="s">
        <v>273</v>
      </c>
      <c r="C24" s="12"/>
      <c r="D24" s="12"/>
      <c r="E24" s="12"/>
      <c r="F24" s="12"/>
      <c r="G24" s="32">
        <v>594.36</v>
      </c>
      <c r="H24" s="13">
        <f t="shared" ref="H24:P24" si="8">SUM(H21:H23)</f>
        <v>749.18</v>
      </c>
      <c r="I24" s="13">
        <f t="shared" si="8"/>
        <v>1092.67</v>
      </c>
      <c r="J24" s="13">
        <f t="shared" si="8"/>
        <v>1247.58</v>
      </c>
      <c r="K24" s="13">
        <f t="shared" si="8"/>
        <v>1547.57</v>
      </c>
      <c r="L24" s="13">
        <f t="shared" si="8"/>
        <v>1776.3260761425893</v>
      </c>
      <c r="M24" s="13">
        <f t="shared" si="8"/>
        <v>2092.235234273694</v>
      </c>
      <c r="N24" s="13">
        <f t="shared" si="8"/>
        <v>2490.0794740946262</v>
      </c>
      <c r="O24" s="13">
        <f t="shared" si="8"/>
        <v>2997.7438085662202</v>
      </c>
      <c r="P24" s="13">
        <f t="shared" si="8"/>
        <v>3613.1286690857273</v>
      </c>
      <c r="Q24" s="12"/>
    </row>
    <row r="25" spans="1:17" ht="14.25" customHeight="1" x14ac:dyDescent="0.25"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7" ht="14.25" customHeight="1" x14ac:dyDescent="0.2"/>
    <row r="27" spans="1:17" ht="14.25" customHeight="1" x14ac:dyDescent="0.2"/>
    <row r="28" spans="1:17" ht="14.25" customHeight="1" x14ac:dyDescent="0.2"/>
    <row r="29" spans="1:17" ht="14.25" customHeight="1" x14ac:dyDescent="0.25">
      <c r="C29" s="18" t="s">
        <v>274</v>
      </c>
      <c r="D29" s="18"/>
      <c r="E29" s="18"/>
      <c r="F29" s="18"/>
      <c r="G29" s="18"/>
      <c r="H29" s="18"/>
      <c r="I29" s="18"/>
      <c r="J29" s="18"/>
      <c r="K29" s="94">
        <v>62.11</v>
      </c>
      <c r="L29" s="27">
        <f>L30*'P&amp;L'!L34</f>
        <v>61.08187598994374</v>
      </c>
      <c r="M29" s="27">
        <f>M30*'P&amp;L'!M34</f>
        <v>79.168117165420256</v>
      </c>
      <c r="N29" s="27">
        <f>N30*'P&amp;L'!N34</f>
        <v>100.17259496713405</v>
      </c>
      <c r="O29" s="27">
        <f>O30*'P&amp;L'!O34</f>
        <v>127.64575518213287</v>
      </c>
      <c r="P29" s="27">
        <f>P30*'P&amp;L'!P34</f>
        <v>156.03642929734434</v>
      </c>
    </row>
    <row r="30" spans="1:17" ht="14.25" customHeight="1" x14ac:dyDescent="0.25">
      <c r="C30" s="7" t="s">
        <v>275</v>
      </c>
      <c r="D30" s="7"/>
      <c r="E30" s="7"/>
      <c r="F30" s="7"/>
      <c r="G30" s="7"/>
      <c r="H30" s="7"/>
      <c r="I30" s="7"/>
      <c r="J30" s="7"/>
      <c r="K30" s="14">
        <f>K29/'P&amp;L'!K34</f>
        <v>0.21302647825490478</v>
      </c>
      <c r="L30" s="96">
        <v>0.21</v>
      </c>
      <c r="M30" s="96">
        <v>0.21</v>
      </c>
      <c r="N30" s="96">
        <v>0.21</v>
      </c>
      <c r="O30" s="96">
        <v>0.21</v>
      </c>
      <c r="P30" s="96">
        <v>0.21</v>
      </c>
    </row>
    <row r="31" spans="1:17" ht="14.25" customHeight="1" x14ac:dyDescent="0.2"/>
    <row r="32" spans="1:1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66" sqref="E66"/>
    </sheetView>
  </sheetViews>
  <sheetFormatPr defaultColWidth="12.625" defaultRowHeight="15" customHeight="1" x14ac:dyDescent="0.2"/>
  <cols>
    <col min="1" max="2" width="4.625" customWidth="1"/>
    <col min="3" max="3" width="37.5" customWidth="1"/>
    <col min="4" max="6" width="4.625" customWidth="1"/>
    <col min="7" max="26" width="7.625" customWidth="1"/>
  </cols>
  <sheetData>
    <row r="1" spans="1:26" ht="14.25" customHeight="1" x14ac:dyDescent="0.3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</v>
      </c>
      <c r="B2" s="3"/>
      <c r="C2" s="3"/>
      <c r="D2" s="3"/>
      <c r="E2" s="3"/>
      <c r="F2" s="3"/>
      <c r="G2" s="3">
        <f>1</f>
        <v>1</v>
      </c>
      <c r="H2" s="3">
        <f t="shared" ref="H2:P2" si="0">G2+1</f>
        <v>2</v>
      </c>
      <c r="I2" s="3">
        <f t="shared" si="0"/>
        <v>3</v>
      </c>
      <c r="J2" s="3">
        <f t="shared" si="0"/>
        <v>4</v>
      </c>
      <c r="K2" s="3">
        <f t="shared" si="0"/>
        <v>5</v>
      </c>
      <c r="L2" s="3">
        <f t="shared" si="0"/>
        <v>6</v>
      </c>
      <c r="M2" s="3">
        <f t="shared" si="0"/>
        <v>7</v>
      </c>
      <c r="N2" s="3">
        <f t="shared" si="0"/>
        <v>8</v>
      </c>
      <c r="O2" s="3">
        <f t="shared" si="0"/>
        <v>9</v>
      </c>
      <c r="P2" s="3">
        <f t="shared" si="0"/>
        <v>10</v>
      </c>
    </row>
    <row r="3" spans="1:26" ht="14.25" customHeight="1" x14ac:dyDescent="0.2"/>
    <row r="4" spans="1:26" ht="14.25" customHeight="1" x14ac:dyDescent="0.25">
      <c r="A4" s="3" t="s">
        <v>2</v>
      </c>
      <c r="B4" s="15"/>
      <c r="C4" s="15"/>
      <c r="D4" s="15"/>
      <c r="E4" s="15"/>
      <c r="F4" s="15"/>
      <c r="G4" s="21">
        <f>17</f>
        <v>17</v>
      </c>
      <c r="H4" s="21">
        <f t="shared" ref="H4:P4" si="1">G4+1</f>
        <v>18</v>
      </c>
      <c r="I4" s="21">
        <f t="shared" si="1"/>
        <v>19</v>
      </c>
      <c r="J4" s="21">
        <f t="shared" si="1"/>
        <v>20</v>
      </c>
      <c r="K4" s="21">
        <f t="shared" si="1"/>
        <v>21</v>
      </c>
      <c r="L4" s="22">
        <f t="shared" si="1"/>
        <v>22</v>
      </c>
      <c r="M4" s="22">
        <f t="shared" si="1"/>
        <v>23</v>
      </c>
      <c r="N4" s="22">
        <f t="shared" si="1"/>
        <v>24</v>
      </c>
      <c r="O4" s="22">
        <f t="shared" si="1"/>
        <v>25</v>
      </c>
      <c r="P4" s="22">
        <f t="shared" si="1"/>
        <v>26</v>
      </c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4.25" customHeight="1" x14ac:dyDescent="0.25">
      <c r="A5" s="7" t="s">
        <v>30</v>
      </c>
    </row>
    <row r="6" spans="1:26" ht="14.25" customHeight="1" x14ac:dyDescent="0.25">
      <c r="B6" s="7" t="s">
        <v>31</v>
      </c>
    </row>
    <row r="7" spans="1:26" ht="14.25" customHeight="1" x14ac:dyDescent="0.25">
      <c r="C7" s="15" t="s">
        <v>32</v>
      </c>
      <c r="G7" s="10">
        <v>426.27</v>
      </c>
      <c r="H7" s="10">
        <v>417.60999999999996</v>
      </c>
      <c r="I7" s="10">
        <v>748.25</v>
      </c>
      <c r="J7" s="10">
        <v>750.09000000000015</v>
      </c>
      <c r="K7" s="10">
        <v>721.05</v>
      </c>
      <c r="L7" s="11">
        <f>'Assets and Lease Liab schedule'!L55</f>
        <v>779.86921343649874</v>
      </c>
      <c r="M7" s="11">
        <f>'Assets and Lease Liab schedule'!M55</f>
        <v>856.30262575361701</v>
      </c>
      <c r="N7" s="11">
        <f>'Assets and Lease Liab schedule'!N55</f>
        <v>952.84469496732902</v>
      </c>
      <c r="O7" s="11">
        <f>'Assets and Lease Liab schedule'!O55</f>
        <v>1072.5104529593434</v>
      </c>
      <c r="P7" s="11">
        <f>'Assets and Lease Liab schedule'!P55</f>
        <v>1218.9229157617988</v>
      </c>
    </row>
    <row r="8" spans="1:26" ht="14.25" customHeight="1" x14ac:dyDescent="0.25">
      <c r="C8" s="9" t="s">
        <v>33</v>
      </c>
      <c r="G8" s="10">
        <v>61.91</v>
      </c>
      <c r="H8" s="10">
        <v>136.44</v>
      </c>
      <c r="I8" s="10">
        <v>10.17</v>
      </c>
      <c r="J8" s="10">
        <v>43.81</v>
      </c>
      <c r="K8" s="10">
        <v>112.23</v>
      </c>
      <c r="L8" s="11">
        <f t="shared" ref="L8:P8" si="2">K8</f>
        <v>112.23</v>
      </c>
      <c r="M8" s="11">
        <f t="shared" si="2"/>
        <v>112.23</v>
      </c>
      <c r="N8" s="11">
        <f t="shared" si="2"/>
        <v>112.23</v>
      </c>
      <c r="O8" s="11">
        <f t="shared" si="2"/>
        <v>112.23</v>
      </c>
      <c r="P8" s="11">
        <f t="shared" si="2"/>
        <v>112.23</v>
      </c>
      <c r="S8" s="11"/>
    </row>
    <row r="9" spans="1:26" ht="14.25" customHeight="1" x14ac:dyDescent="0.25">
      <c r="C9" s="9" t="s">
        <v>34</v>
      </c>
      <c r="G9" s="10">
        <v>61.22</v>
      </c>
      <c r="H9" s="10">
        <v>55.05</v>
      </c>
      <c r="I9" s="10">
        <v>47.69</v>
      </c>
      <c r="J9" s="10">
        <v>40.98</v>
      </c>
      <c r="K9" s="10">
        <v>33.33</v>
      </c>
      <c r="L9" s="11">
        <f>'Assets and Lease Liab schedule'!L65</f>
        <v>27.452400000000011</v>
      </c>
      <c r="M9" s="11">
        <f>'Assets and Lease Liab schedule'!M65</f>
        <v>22.837396000000012</v>
      </c>
      <c r="N9" s="11">
        <f>'Assets and Lease Liab schedule'!N65</f>
        <v>19.191542840000018</v>
      </c>
      <c r="O9" s="11">
        <f>'Assets and Lease Liab schedule'!O65</f>
        <v>16.31131884360002</v>
      </c>
      <c r="P9" s="11">
        <f>'Assets and Lease Liab schedule'!P65</f>
        <v>14.035941886444022</v>
      </c>
      <c r="Q9" s="11"/>
    </row>
    <row r="10" spans="1:26" ht="14.25" customHeight="1" x14ac:dyDescent="0.25">
      <c r="C10" s="9" t="s">
        <v>35</v>
      </c>
      <c r="G10" s="10">
        <v>0.51</v>
      </c>
      <c r="H10" s="10">
        <v>1.1399999999999999</v>
      </c>
      <c r="I10" s="10">
        <v>1.23</v>
      </c>
      <c r="J10" s="10">
        <v>1.79</v>
      </c>
      <c r="K10" s="10">
        <v>5.8</v>
      </c>
      <c r="L10" s="11">
        <f t="shared" ref="L10:P10" si="3">K10</f>
        <v>5.8</v>
      </c>
      <c r="M10" s="11">
        <f t="shared" si="3"/>
        <v>5.8</v>
      </c>
      <c r="N10" s="11">
        <f t="shared" si="3"/>
        <v>5.8</v>
      </c>
      <c r="O10" s="11">
        <f t="shared" si="3"/>
        <v>5.8</v>
      </c>
      <c r="P10" s="11">
        <f t="shared" si="3"/>
        <v>5.8</v>
      </c>
      <c r="Q10" s="11"/>
    </row>
    <row r="11" spans="1:26" ht="14.25" customHeight="1" x14ac:dyDescent="0.25">
      <c r="C11" s="9" t="s">
        <v>36</v>
      </c>
      <c r="G11" s="10">
        <v>53.53</v>
      </c>
      <c r="H11" s="10">
        <v>52.2</v>
      </c>
      <c r="I11" s="10">
        <v>52.2</v>
      </c>
      <c r="J11" s="10">
        <v>189.94</v>
      </c>
      <c r="K11" s="10">
        <v>183.68</v>
      </c>
      <c r="L11" s="11">
        <f>'Assets and Lease Liab schedule'!L76</f>
        <v>191.07940000000002</v>
      </c>
      <c r="M11" s="11">
        <f>'Assets and Lease Liab schedule'!M76</f>
        <v>201.37272600000006</v>
      </c>
      <c r="N11" s="11">
        <f>'Assets and Lease Liab schedule'!N76</f>
        <v>209.50445354000007</v>
      </c>
      <c r="O11" s="11">
        <f>'Assets and Lease Liab schedule'!O76</f>
        <v>215.92851829660009</v>
      </c>
      <c r="P11" s="11">
        <f>'Assets and Lease Liab schedule'!P76</f>
        <v>221.0035294543141</v>
      </c>
    </row>
    <row r="12" spans="1:26" ht="14.25" customHeight="1" x14ac:dyDescent="0.25">
      <c r="B12" s="15" t="s">
        <v>37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26" ht="14.25" customHeight="1" x14ac:dyDescent="0.25">
      <c r="C13" s="9" t="s">
        <v>38</v>
      </c>
      <c r="G13" s="10">
        <v>0.7</v>
      </c>
      <c r="H13" s="10">
        <v>0.2</v>
      </c>
      <c r="I13" s="10">
        <v>0.2</v>
      </c>
      <c r="J13" s="10">
        <v>0.2</v>
      </c>
      <c r="K13" s="10">
        <v>0.2</v>
      </c>
      <c r="L13" s="11">
        <f t="shared" ref="L13:P13" si="4">K13</f>
        <v>0.2</v>
      </c>
      <c r="M13" s="11">
        <f t="shared" si="4"/>
        <v>0.2</v>
      </c>
      <c r="N13" s="11">
        <f t="shared" si="4"/>
        <v>0.2</v>
      </c>
      <c r="O13" s="11">
        <f t="shared" si="4"/>
        <v>0.2</v>
      </c>
      <c r="P13" s="11">
        <f t="shared" si="4"/>
        <v>0.2</v>
      </c>
    </row>
    <row r="14" spans="1:26" ht="14.25" customHeight="1" x14ac:dyDescent="0.25">
      <c r="C14" s="9" t="s">
        <v>39</v>
      </c>
      <c r="G14" s="10">
        <v>14.56</v>
      </c>
      <c r="H14" s="10">
        <v>16.2</v>
      </c>
      <c r="I14" s="10">
        <v>17.09</v>
      </c>
      <c r="J14" s="10">
        <v>18.489999999999998</v>
      </c>
      <c r="K14" s="10">
        <v>15.43</v>
      </c>
      <c r="L14" s="11">
        <f t="shared" ref="L14:P14" si="5">K14</f>
        <v>15.43</v>
      </c>
      <c r="M14" s="11">
        <f t="shared" si="5"/>
        <v>15.43</v>
      </c>
      <c r="N14" s="11">
        <f t="shared" si="5"/>
        <v>15.43</v>
      </c>
      <c r="O14" s="11">
        <f t="shared" si="5"/>
        <v>15.43</v>
      </c>
      <c r="P14" s="11">
        <f t="shared" si="5"/>
        <v>15.43</v>
      </c>
    </row>
    <row r="15" spans="1:26" ht="14.25" customHeight="1" x14ac:dyDescent="0.25">
      <c r="C15" s="9" t="s">
        <v>40</v>
      </c>
      <c r="G15" s="10">
        <v>0.9</v>
      </c>
      <c r="H15" s="10">
        <v>0.61</v>
      </c>
      <c r="I15" s="10">
        <v>0.12</v>
      </c>
      <c r="J15" s="10">
        <v>0.35</v>
      </c>
      <c r="K15" s="10">
        <v>1.89</v>
      </c>
      <c r="L15" s="11">
        <f t="shared" ref="L15:P15" si="6">K15</f>
        <v>1.89</v>
      </c>
      <c r="M15" s="11">
        <f t="shared" si="6"/>
        <v>1.89</v>
      </c>
      <c r="N15" s="11">
        <f t="shared" si="6"/>
        <v>1.89</v>
      </c>
      <c r="O15" s="11">
        <f t="shared" si="6"/>
        <v>1.89</v>
      </c>
      <c r="P15" s="11">
        <f t="shared" si="6"/>
        <v>1.89</v>
      </c>
      <c r="Q15" s="9" t="str">
        <f t="shared" ref="Q15:Q16" si="7">PROPER(C16)</f>
        <v/>
      </c>
      <c r="R15" s="11"/>
      <c r="S15" s="11"/>
      <c r="T15" s="11"/>
    </row>
    <row r="16" spans="1:26" ht="14.25" customHeight="1" x14ac:dyDescent="0.25">
      <c r="B16" s="9" t="s">
        <v>41</v>
      </c>
      <c r="G16" s="10">
        <v>4.01</v>
      </c>
      <c r="H16" s="10">
        <v>8.64</v>
      </c>
      <c r="I16" s="10">
        <v>7.5</v>
      </c>
      <c r="J16" s="10">
        <v>4.2300000000000004</v>
      </c>
      <c r="K16" s="10">
        <v>22.3</v>
      </c>
      <c r="L16" s="11">
        <f t="shared" ref="L16:P16" si="8">K16</f>
        <v>22.3</v>
      </c>
      <c r="M16" s="11">
        <f t="shared" si="8"/>
        <v>22.3</v>
      </c>
      <c r="N16" s="11">
        <f t="shared" si="8"/>
        <v>22.3</v>
      </c>
      <c r="O16" s="11">
        <f t="shared" si="8"/>
        <v>22.3</v>
      </c>
      <c r="P16" s="11">
        <f t="shared" si="8"/>
        <v>22.3</v>
      </c>
      <c r="Q16" s="9" t="str">
        <f t="shared" si="7"/>
        <v/>
      </c>
    </row>
    <row r="17" spans="1:22" ht="14.25" customHeight="1" x14ac:dyDescent="0.25">
      <c r="A17" s="18"/>
      <c r="B17" s="12" t="s">
        <v>42</v>
      </c>
      <c r="C17" s="18"/>
      <c r="D17" s="18"/>
      <c r="E17" s="18"/>
      <c r="F17" s="18"/>
      <c r="G17" s="13">
        <f t="shared" ref="G17:P17" si="9">SUM(G7:G16)</f>
        <v>623.6099999999999</v>
      </c>
      <c r="H17" s="13">
        <f t="shared" si="9"/>
        <v>688.09</v>
      </c>
      <c r="I17" s="13">
        <f t="shared" si="9"/>
        <v>884.45</v>
      </c>
      <c r="J17" s="13">
        <f t="shared" si="9"/>
        <v>1049.8800000000001</v>
      </c>
      <c r="K17" s="13">
        <f t="shared" si="9"/>
        <v>1095.9100000000001</v>
      </c>
      <c r="L17" s="13">
        <f t="shared" si="9"/>
        <v>1156.2510134364989</v>
      </c>
      <c r="M17" s="13">
        <f t="shared" si="9"/>
        <v>1238.3627477536172</v>
      </c>
      <c r="N17" s="13">
        <f t="shared" si="9"/>
        <v>1339.390691347329</v>
      </c>
      <c r="O17" s="13">
        <f t="shared" si="9"/>
        <v>1462.6002900995436</v>
      </c>
      <c r="P17" s="13">
        <f t="shared" si="9"/>
        <v>1611.8123871025571</v>
      </c>
    </row>
    <row r="18" spans="1:22" ht="14.25" customHeight="1" x14ac:dyDescent="0.25"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22" ht="14.25" customHeight="1" x14ac:dyDescent="0.25">
      <c r="B19" s="7" t="s">
        <v>43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22" ht="14.25" customHeight="1" x14ac:dyDescent="0.25">
      <c r="C20" s="9" t="s">
        <v>44</v>
      </c>
      <c r="G20" s="10">
        <v>290.20999999999998</v>
      </c>
      <c r="H20" s="10">
        <v>313.93</v>
      </c>
      <c r="I20" s="10">
        <v>401.54</v>
      </c>
      <c r="J20" s="10">
        <v>447.74</v>
      </c>
      <c r="K20" s="10">
        <v>422.14</v>
      </c>
      <c r="L20" s="11">
        <f>Assumptions!L7*'P&amp;L'!L10/365</f>
        <v>442.20888854148257</v>
      </c>
      <c r="M20" s="11">
        <f>Assumptions!M7*'P&amp;L'!M10/365</f>
        <v>533.72220996550789</v>
      </c>
      <c r="N20" s="11">
        <f>Assumptions!N7*'P&amp;L'!N10/365</f>
        <v>649.39127132757017</v>
      </c>
      <c r="O20" s="11">
        <f>Assumptions!O7*'P&amp;L'!O10/365</f>
        <v>754.70802822496057</v>
      </c>
      <c r="P20" s="11">
        <f>Assumptions!P7*'P&amp;L'!P10/365</f>
        <v>875.18355832902637</v>
      </c>
    </row>
    <row r="21" spans="1:22" ht="14.25" customHeight="1" x14ac:dyDescent="0.25">
      <c r="C21" s="9" t="s">
        <v>45</v>
      </c>
      <c r="G21" s="10">
        <v>3.51</v>
      </c>
      <c r="H21" s="10">
        <v>3.12</v>
      </c>
      <c r="I21" s="10">
        <v>1.88</v>
      </c>
      <c r="J21" s="10">
        <v>2.5499999999999998</v>
      </c>
      <c r="K21" s="10">
        <v>6.34</v>
      </c>
      <c r="L21" s="11">
        <f>'Cash Flow'!L56</f>
        <v>151.50945318198532</v>
      </c>
      <c r="M21" s="11">
        <f>'Cash Flow'!M56</f>
        <v>324.37010128552856</v>
      </c>
      <c r="N21" s="11">
        <f>'Cash Flow'!N56</f>
        <v>539.41002331509299</v>
      </c>
      <c r="O21" s="11">
        <f>'Cash Flow'!O56</f>
        <v>826.71715715143989</v>
      </c>
      <c r="P21" s="11">
        <f>'Cash Flow'!P56</f>
        <v>1155.8632082421868</v>
      </c>
    </row>
    <row r="22" spans="1:22" ht="14.25" customHeight="1" x14ac:dyDescent="0.25">
      <c r="C22" s="9" t="s">
        <v>46</v>
      </c>
      <c r="G22" s="10">
        <v>0.14000000000000001</v>
      </c>
      <c r="H22" s="10">
        <v>0.88</v>
      </c>
      <c r="I22" s="10">
        <v>0.34</v>
      </c>
      <c r="J22" s="10">
        <v>1.54</v>
      </c>
      <c r="K22" s="10">
        <v>1.35</v>
      </c>
      <c r="L22" s="11">
        <f t="shared" ref="L22:P22" si="10">K22</f>
        <v>1.35</v>
      </c>
      <c r="M22" s="11">
        <f t="shared" si="10"/>
        <v>1.35</v>
      </c>
      <c r="N22" s="11">
        <f t="shared" si="10"/>
        <v>1.35</v>
      </c>
      <c r="O22" s="11">
        <f t="shared" si="10"/>
        <v>1.35</v>
      </c>
      <c r="P22" s="11">
        <f t="shared" si="10"/>
        <v>1.35</v>
      </c>
    </row>
    <row r="23" spans="1:22" ht="14.25" customHeight="1" x14ac:dyDescent="0.25">
      <c r="B23" s="15" t="s">
        <v>47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22" ht="14.25" customHeight="1" x14ac:dyDescent="0.25">
      <c r="C24" s="9" t="s">
        <v>38</v>
      </c>
      <c r="G24" s="10">
        <v>0</v>
      </c>
      <c r="H24" s="10">
        <v>0.5</v>
      </c>
      <c r="I24" s="10">
        <v>0</v>
      </c>
      <c r="J24" s="10">
        <v>0</v>
      </c>
      <c r="K24" s="10">
        <v>337.98</v>
      </c>
      <c r="L24" s="11">
        <f t="shared" ref="L24:P24" si="11">K24</f>
        <v>337.98</v>
      </c>
      <c r="M24" s="11">
        <f t="shared" si="11"/>
        <v>337.98</v>
      </c>
      <c r="N24" s="11">
        <f t="shared" si="11"/>
        <v>337.98</v>
      </c>
      <c r="O24" s="11">
        <f t="shared" si="11"/>
        <v>337.98</v>
      </c>
      <c r="P24" s="11">
        <f t="shared" si="11"/>
        <v>337.98</v>
      </c>
    </row>
    <row r="25" spans="1:22" ht="14.25" customHeight="1" x14ac:dyDescent="0.25">
      <c r="C25" s="9" t="s">
        <v>39</v>
      </c>
      <c r="G25" s="10">
        <v>0.28000000000000003</v>
      </c>
      <c r="H25" s="10">
        <v>0.39</v>
      </c>
      <c r="I25" s="10">
        <v>0.39</v>
      </c>
      <c r="J25" s="10">
        <v>0.28000000000000003</v>
      </c>
      <c r="K25" s="10">
        <v>0.41</v>
      </c>
      <c r="L25" s="11">
        <f>Assumptions!L11</f>
        <v>0.41</v>
      </c>
      <c r="M25" s="11">
        <f>Assumptions!M11</f>
        <v>0.41</v>
      </c>
      <c r="N25" s="11">
        <f>Assumptions!N11</f>
        <v>0.41</v>
      </c>
      <c r="O25" s="11">
        <f>Assumptions!O11</f>
        <v>0.41</v>
      </c>
      <c r="P25" s="11">
        <f>Assumptions!P11</f>
        <v>0.41</v>
      </c>
      <c r="T25" s="11"/>
      <c r="U25" s="11"/>
      <c r="V25" s="11"/>
    </row>
    <row r="26" spans="1:22" ht="14.25" customHeight="1" x14ac:dyDescent="0.25">
      <c r="C26" s="9" t="s">
        <v>48</v>
      </c>
      <c r="G26" s="10">
        <v>3.43</v>
      </c>
      <c r="H26" s="10">
        <v>1.25</v>
      </c>
      <c r="I26" s="10">
        <v>43.07</v>
      </c>
      <c r="J26" s="10">
        <v>1.87</v>
      </c>
      <c r="K26" s="10">
        <v>7.0000000000000007E-2</v>
      </c>
      <c r="L26" s="11">
        <f>Assumptions!L12</f>
        <v>7.0000000000000007E-2</v>
      </c>
      <c r="M26" s="11">
        <f>Assumptions!M12</f>
        <v>7.0000000000000007E-2</v>
      </c>
      <c r="N26" s="11">
        <f>Assumptions!N12</f>
        <v>7.0000000000000007E-2</v>
      </c>
      <c r="O26" s="11">
        <f>Assumptions!O12</f>
        <v>7.0000000000000007E-2</v>
      </c>
      <c r="P26" s="11">
        <f>Assumptions!P12</f>
        <v>7.0000000000000007E-2</v>
      </c>
    </row>
    <row r="27" spans="1:22" ht="14.25" customHeight="1" x14ac:dyDescent="0.25">
      <c r="C27" s="9" t="s">
        <v>49</v>
      </c>
      <c r="G27" s="10">
        <v>123.18</v>
      </c>
      <c r="H27" s="10">
        <v>192.35</v>
      </c>
      <c r="I27" s="10">
        <v>196.59</v>
      </c>
      <c r="J27" s="10">
        <v>172.08</v>
      </c>
      <c r="K27" s="10">
        <v>181.46</v>
      </c>
      <c r="L27" s="11">
        <f>Assumptions!L8*'P&amp;L'!L6/365</f>
        <v>207.22462151159252</v>
      </c>
      <c r="M27" s="11">
        <f>Assumptions!M8*'P&amp;L'!M6/365</f>
        <v>243.50954326480644</v>
      </c>
      <c r="N27" s="11">
        <f>Assumptions!N8*'P&amp;L'!N6/365</f>
        <v>281.80906134446889</v>
      </c>
      <c r="O27" s="11">
        <f>Assumptions!O8*'P&amp;L'!O6/365</f>
        <v>333.45427411047353</v>
      </c>
      <c r="P27" s="11">
        <f>Assumptions!P8*'P&amp;L'!P6/365</f>
        <v>396.85374323000235</v>
      </c>
    </row>
    <row r="28" spans="1:22" ht="14.25" customHeight="1" x14ac:dyDescent="0.25">
      <c r="C28" s="9" t="s">
        <v>50</v>
      </c>
      <c r="G28" s="10">
        <v>11.11</v>
      </c>
      <c r="H28" s="10">
        <v>8.3800000000000008</v>
      </c>
      <c r="I28" s="10">
        <v>14.23</v>
      </c>
      <c r="J28" s="10">
        <v>9.11</v>
      </c>
      <c r="K28" s="10">
        <v>8.85</v>
      </c>
      <c r="L28" s="11">
        <f>Assumptions!L9*'P&amp;L'!L$10</f>
        <v>11.676223369806353</v>
      </c>
      <c r="M28" s="11">
        <f>Assumptions!M9*'P&amp;L'!M$10</f>
        <v>13.734246997197209</v>
      </c>
      <c r="N28" s="11">
        <f>Assumptions!N9*'P&amp;L'!N$10</f>
        <v>16.139701991254483</v>
      </c>
      <c r="O28" s="11">
        <f>Assumptions!O9*'P&amp;L'!O$10</f>
        <v>18.829955322626265</v>
      </c>
      <c r="P28" s="11">
        <f>Assumptions!P9*'P&amp;L'!P$10</f>
        <v>22.290698858728707</v>
      </c>
    </row>
    <row r="29" spans="1:22" ht="14.25" customHeight="1" x14ac:dyDescent="0.25">
      <c r="C29" s="9" t="s">
        <v>51</v>
      </c>
      <c r="G29" s="10">
        <v>10.61</v>
      </c>
      <c r="H29" s="10">
        <v>9.15</v>
      </c>
      <c r="I29" s="10">
        <v>8.6300000000000008</v>
      </c>
      <c r="J29" s="10">
        <v>9.33</v>
      </c>
      <c r="K29" s="10">
        <v>9.34</v>
      </c>
      <c r="L29" s="11">
        <f>Assumptions!L10*'P&amp;L'!L$10</f>
        <v>11.676223369806353</v>
      </c>
      <c r="M29" s="11">
        <f>Assumptions!M10*'P&amp;L'!M$10</f>
        <v>13.734246997197209</v>
      </c>
      <c r="N29" s="11">
        <f>Assumptions!N10*'P&amp;L'!N$10</f>
        <v>16.139701991254483</v>
      </c>
      <c r="O29" s="11">
        <f>Assumptions!O10*'P&amp;L'!O$10</f>
        <v>18.829955322626265</v>
      </c>
      <c r="P29" s="11">
        <f>Assumptions!P10*'P&amp;L'!P$10</f>
        <v>22.290698858728707</v>
      </c>
      <c r="S29" s="11"/>
    </row>
    <row r="30" spans="1:22" ht="14.25" customHeight="1" x14ac:dyDescent="0.25">
      <c r="C30" s="9" t="s">
        <v>52</v>
      </c>
      <c r="G30" s="10">
        <v>0</v>
      </c>
      <c r="H30" s="10">
        <v>0</v>
      </c>
      <c r="I30" s="10">
        <v>0</v>
      </c>
      <c r="J30" s="10">
        <v>6.16</v>
      </c>
      <c r="K30" s="10">
        <v>0</v>
      </c>
      <c r="L30" s="11">
        <f t="shared" ref="L30:P30" si="12">K30</f>
        <v>0</v>
      </c>
      <c r="M30" s="11">
        <f t="shared" si="12"/>
        <v>0</v>
      </c>
      <c r="N30" s="11">
        <f t="shared" si="12"/>
        <v>0</v>
      </c>
      <c r="O30" s="11">
        <f t="shared" si="12"/>
        <v>0</v>
      </c>
      <c r="P30" s="11">
        <f t="shared" si="12"/>
        <v>0</v>
      </c>
    </row>
    <row r="31" spans="1:22" ht="14.25" customHeight="1" x14ac:dyDescent="0.25">
      <c r="C31" s="9" t="s">
        <v>53</v>
      </c>
      <c r="G31" s="10">
        <v>4.26</v>
      </c>
      <c r="H31" s="10">
        <v>50.69</v>
      </c>
      <c r="I31" s="10">
        <v>53.44</v>
      </c>
      <c r="J31" s="10">
        <v>140.54</v>
      </c>
      <c r="K31" s="10">
        <v>111.95</v>
      </c>
      <c r="L31" s="11">
        <f t="shared" ref="L31:P31" si="13">K31</f>
        <v>111.95</v>
      </c>
      <c r="M31" s="11">
        <f t="shared" si="13"/>
        <v>111.95</v>
      </c>
      <c r="N31" s="11">
        <f t="shared" si="13"/>
        <v>111.95</v>
      </c>
      <c r="O31" s="11">
        <f t="shared" si="13"/>
        <v>111.95</v>
      </c>
      <c r="P31" s="11">
        <f t="shared" si="13"/>
        <v>111.95</v>
      </c>
    </row>
    <row r="32" spans="1:22" ht="14.25" customHeight="1" x14ac:dyDescent="0.25">
      <c r="A32" s="18"/>
      <c r="B32" s="12" t="s">
        <v>54</v>
      </c>
      <c r="C32" s="18"/>
      <c r="D32" s="18"/>
      <c r="E32" s="18"/>
      <c r="F32" s="18"/>
      <c r="G32" s="13">
        <f t="shared" ref="G32:P32" si="14">SUM(G20:G31)</f>
        <v>446.72999999999996</v>
      </c>
      <c r="H32" s="13">
        <f t="shared" si="14"/>
        <v>580.63999999999987</v>
      </c>
      <c r="I32" s="13">
        <f t="shared" si="14"/>
        <v>720.1099999999999</v>
      </c>
      <c r="J32" s="13">
        <f t="shared" si="14"/>
        <v>791.2</v>
      </c>
      <c r="K32" s="13">
        <f t="shared" si="14"/>
        <v>1079.8900000000001</v>
      </c>
      <c r="L32" s="13">
        <f t="shared" si="14"/>
        <v>1276.0554099746732</v>
      </c>
      <c r="M32" s="13">
        <f t="shared" si="14"/>
        <v>1580.8303485102376</v>
      </c>
      <c r="N32" s="13">
        <f t="shared" si="14"/>
        <v>1954.6497599696411</v>
      </c>
      <c r="O32" s="13">
        <f t="shared" si="14"/>
        <v>2404.2993701321257</v>
      </c>
      <c r="P32" s="13">
        <f t="shared" si="14"/>
        <v>2924.2419075186726</v>
      </c>
    </row>
    <row r="33" spans="1:21" ht="14.25" customHeight="1" x14ac:dyDescent="0.25"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21" ht="14.25" customHeight="1" x14ac:dyDescent="0.25">
      <c r="A34" s="16" t="s">
        <v>55</v>
      </c>
      <c r="B34" s="23"/>
      <c r="C34" s="23"/>
      <c r="D34" s="23"/>
      <c r="E34" s="23"/>
      <c r="F34" s="23"/>
      <c r="G34" s="17">
        <f t="shared" ref="G34:P34" si="15">SUM(G32,G17)</f>
        <v>1070.3399999999999</v>
      </c>
      <c r="H34" s="17">
        <f t="shared" si="15"/>
        <v>1268.73</v>
      </c>
      <c r="I34" s="17">
        <f t="shared" si="15"/>
        <v>1604.56</v>
      </c>
      <c r="J34" s="17">
        <f t="shared" si="15"/>
        <v>1841.0800000000002</v>
      </c>
      <c r="K34" s="17">
        <f t="shared" si="15"/>
        <v>2175.8000000000002</v>
      </c>
      <c r="L34" s="17">
        <f t="shared" si="15"/>
        <v>2432.3064234111721</v>
      </c>
      <c r="M34" s="17">
        <f t="shared" si="15"/>
        <v>2819.1930962638548</v>
      </c>
      <c r="N34" s="17">
        <f t="shared" si="15"/>
        <v>3294.0404513169701</v>
      </c>
      <c r="O34" s="17">
        <f t="shared" si="15"/>
        <v>3866.8996602316693</v>
      </c>
      <c r="P34" s="17">
        <f t="shared" si="15"/>
        <v>4536.0542946212299</v>
      </c>
      <c r="S34" s="11"/>
    </row>
    <row r="35" spans="1:21" ht="14.25" customHeight="1" x14ac:dyDescent="0.25">
      <c r="G35" s="11"/>
      <c r="H35" s="11"/>
      <c r="I35" s="11"/>
      <c r="J35" s="11"/>
      <c r="K35" s="11"/>
      <c r="L35" s="11"/>
      <c r="M35" s="11"/>
      <c r="N35" s="11"/>
      <c r="O35" s="11"/>
      <c r="P35" s="11"/>
      <c r="S35" s="11"/>
    </row>
    <row r="36" spans="1:21" ht="14.25" customHeight="1" x14ac:dyDescent="0.25">
      <c r="A36" s="7" t="s">
        <v>56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S36" s="11"/>
      <c r="T36" s="11"/>
      <c r="U36" s="11"/>
    </row>
    <row r="37" spans="1:21" ht="14.25" customHeight="1" x14ac:dyDescent="0.25">
      <c r="B37" s="7" t="s">
        <v>57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U37" s="11"/>
    </row>
    <row r="38" spans="1:21" ht="14.25" customHeight="1" x14ac:dyDescent="0.25">
      <c r="C38" s="9" t="s">
        <v>58</v>
      </c>
      <c r="G38" s="10">
        <v>12.01</v>
      </c>
      <c r="H38" s="10">
        <v>12.03</v>
      </c>
      <c r="I38" s="10">
        <v>12.4</v>
      </c>
      <c r="J38" s="10">
        <v>24.82</v>
      </c>
      <c r="K38" s="10">
        <v>24.84</v>
      </c>
      <c r="L38" s="11">
        <f>'Equity Schedule'!L15</f>
        <v>24.844210100000002</v>
      </c>
      <c r="M38" s="11">
        <f>'Equity Schedule'!M15</f>
        <v>24.844210100000002</v>
      </c>
      <c r="N38" s="11">
        <f>'Equity Schedule'!N15</f>
        <v>24.844210100000002</v>
      </c>
      <c r="O38" s="11">
        <f>'Equity Schedule'!O15</f>
        <v>24.844210100000002</v>
      </c>
      <c r="P38" s="11">
        <f>'Equity Schedule'!P15</f>
        <v>24.844210100000002</v>
      </c>
    </row>
    <row r="39" spans="1:21" ht="14.25" customHeight="1" x14ac:dyDescent="0.25">
      <c r="C39" s="9" t="s">
        <v>59</v>
      </c>
      <c r="G39" s="10">
        <v>594.36</v>
      </c>
      <c r="H39" s="10">
        <v>749.18</v>
      </c>
      <c r="I39" s="10">
        <v>1092.67</v>
      </c>
      <c r="J39" s="10">
        <v>1247.58</v>
      </c>
      <c r="K39" s="10">
        <v>1547.57</v>
      </c>
      <c r="L39" s="11">
        <f>'Equity Schedule'!L24</f>
        <v>1776.3260761425893</v>
      </c>
      <c r="M39" s="11">
        <f>'Equity Schedule'!M24</f>
        <v>2092.235234273694</v>
      </c>
      <c r="N39" s="11">
        <f>'Equity Schedule'!N24</f>
        <v>2490.0794740946262</v>
      </c>
      <c r="O39" s="11">
        <f>'Equity Schedule'!O24</f>
        <v>2997.7438085662202</v>
      </c>
      <c r="P39" s="11">
        <f>'Equity Schedule'!P24</f>
        <v>3613.1286690857273</v>
      </c>
    </row>
    <row r="40" spans="1:21" ht="14.25" customHeight="1" x14ac:dyDescent="0.25">
      <c r="A40" s="18"/>
      <c r="B40" s="12" t="s">
        <v>60</v>
      </c>
      <c r="C40" s="18"/>
      <c r="D40" s="18"/>
      <c r="E40" s="18"/>
      <c r="F40" s="18"/>
      <c r="G40" s="13">
        <f t="shared" ref="G40:P40" si="16">SUM(G38:G39)</f>
        <v>606.37</v>
      </c>
      <c r="H40" s="13">
        <f t="shared" si="16"/>
        <v>761.20999999999992</v>
      </c>
      <c r="I40" s="13">
        <f t="shared" si="16"/>
        <v>1105.0700000000002</v>
      </c>
      <c r="J40" s="13">
        <f t="shared" si="16"/>
        <v>1272.3999999999999</v>
      </c>
      <c r="K40" s="13">
        <f t="shared" si="16"/>
        <v>1572.4099999999999</v>
      </c>
      <c r="L40" s="13">
        <f t="shared" si="16"/>
        <v>1801.1702862425893</v>
      </c>
      <c r="M40" s="13">
        <f t="shared" si="16"/>
        <v>2117.0794443736941</v>
      </c>
      <c r="N40" s="13">
        <f t="shared" si="16"/>
        <v>2514.9236841946263</v>
      </c>
      <c r="O40" s="13">
        <f t="shared" si="16"/>
        <v>3022.5880186662203</v>
      </c>
      <c r="P40" s="13">
        <f t="shared" si="16"/>
        <v>3637.9728791857274</v>
      </c>
    </row>
    <row r="41" spans="1:21" ht="14.25" customHeight="1" x14ac:dyDescent="0.25">
      <c r="B41" s="7" t="s">
        <v>61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21" ht="14.25" customHeight="1" x14ac:dyDescent="0.25">
      <c r="B42" s="7" t="s">
        <v>62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21" ht="14.25" customHeight="1" x14ac:dyDescent="0.25">
      <c r="B43" s="9" t="s">
        <v>63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21" ht="14.25" customHeight="1" x14ac:dyDescent="0.25">
      <c r="C44" s="9" t="s">
        <v>64</v>
      </c>
      <c r="G44" s="10">
        <v>70.94</v>
      </c>
      <c r="H44" s="10">
        <v>39.26</v>
      </c>
      <c r="I44" s="10">
        <v>0</v>
      </c>
      <c r="J44" s="10">
        <v>119.78</v>
      </c>
      <c r="K44" s="10">
        <v>115.23</v>
      </c>
      <c r="L44" s="11">
        <f>'Assets and Lease Liab schedule'!L88</f>
        <v>160.608</v>
      </c>
      <c r="M44" s="11">
        <f>'Assets and Lease Liab schedule'!M88</f>
        <v>174.31200000000001</v>
      </c>
      <c r="N44" s="11">
        <f>'Assets and Lease Liab schedule'!N88</f>
        <v>172.89000000000004</v>
      </c>
      <c r="O44" s="11">
        <f>'Assets and Lease Liab schedule'!O88</f>
        <v>151.30000000000007</v>
      </c>
      <c r="P44" s="11">
        <f>'Assets and Lease Liab schedule'!P88</f>
        <v>104.50000000000009</v>
      </c>
      <c r="S44" s="11"/>
    </row>
    <row r="45" spans="1:21" ht="14.25" customHeight="1" x14ac:dyDescent="0.25">
      <c r="C45" s="9" t="s">
        <v>65</v>
      </c>
      <c r="G45" s="10">
        <v>0.4</v>
      </c>
      <c r="H45" s="10">
        <v>0.71</v>
      </c>
      <c r="I45" s="10">
        <v>0.01</v>
      </c>
      <c r="J45" s="10">
        <v>0.01</v>
      </c>
      <c r="K45" s="10">
        <v>0.17</v>
      </c>
      <c r="L45" s="11">
        <f t="shared" ref="L45:P45" si="17">K45</f>
        <v>0.17</v>
      </c>
      <c r="M45" s="11">
        <f t="shared" si="17"/>
        <v>0.17</v>
      </c>
      <c r="N45" s="11">
        <f t="shared" si="17"/>
        <v>0.17</v>
      </c>
      <c r="O45" s="11">
        <f t="shared" si="17"/>
        <v>0.17</v>
      </c>
      <c r="P45" s="11">
        <f t="shared" si="17"/>
        <v>0.17</v>
      </c>
    </row>
    <row r="46" spans="1:21" ht="14.25" customHeight="1" x14ac:dyDescent="0.25">
      <c r="C46" s="9" t="s">
        <v>66</v>
      </c>
      <c r="G46" s="10">
        <v>7.26</v>
      </c>
      <c r="H46" s="10">
        <v>7.76</v>
      </c>
      <c r="I46" s="10">
        <v>9</v>
      </c>
      <c r="J46" s="10">
        <v>10.84</v>
      </c>
      <c r="K46" s="10">
        <v>16.100000000000001</v>
      </c>
      <c r="L46" s="11">
        <f t="shared" ref="L46:P46" si="18">K46</f>
        <v>16.100000000000001</v>
      </c>
      <c r="M46" s="11">
        <f t="shared" si="18"/>
        <v>16.100000000000001</v>
      </c>
      <c r="N46" s="11">
        <f t="shared" si="18"/>
        <v>16.100000000000001</v>
      </c>
      <c r="O46" s="11">
        <f t="shared" si="18"/>
        <v>16.100000000000001</v>
      </c>
      <c r="P46" s="11">
        <f t="shared" si="18"/>
        <v>16.100000000000001</v>
      </c>
    </row>
    <row r="47" spans="1:21" ht="14.25" customHeight="1" x14ac:dyDescent="0.25">
      <c r="C47" s="9" t="s">
        <v>67</v>
      </c>
      <c r="G47" s="10">
        <v>25.5</v>
      </c>
      <c r="H47" s="10">
        <v>26.31</v>
      </c>
      <c r="I47" s="10">
        <v>34.44</v>
      </c>
      <c r="J47" s="10">
        <v>24.75</v>
      </c>
      <c r="K47" s="10">
        <v>22.8</v>
      </c>
      <c r="L47" s="11">
        <f t="shared" ref="L47:P47" si="19">K47</f>
        <v>22.8</v>
      </c>
      <c r="M47" s="11">
        <f t="shared" si="19"/>
        <v>22.8</v>
      </c>
      <c r="N47" s="11">
        <f t="shared" si="19"/>
        <v>22.8</v>
      </c>
      <c r="O47" s="11">
        <f t="shared" si="19"/>
        <v>22.8</v>
      </c>
      <c r="P47" s="11">
        <f t="shared" si="19"/>
        <v>22.8</v>
      </c>
    </row>
    <row r="48" spans="1:21" ht="14.25" customHeight="1" x14ac:dyDescent="0.25">
      <c r="A48" s="18"/>
      <c r="B48" s="12" t="s">
        <v>68</v>
      </c>
      <c r="C48" s="18"/>
      <c r="D48" s="18"/>
      <c r="E48" s="18"/>
      <c r="F48" s="18"/>
      <c r="G48" s="13">
        <f t="shared" ref="G48:P48" si="20">SUM(G44:G47)</f>
        <v>104.10000000000001</v>
      </c>
      <c r="H48" s="13">
        <f t="shared" si="20"/>
        <v>74.039999999999992</v>
      </c>
      <c r="I48" s="13">
        <f t="shared" si="20"/>
        <v>43.449999999999996</v>
      </c>
      <c r="J48" s="13">
        <f t="shared" si="20"/>
        <v>155.38</v>
      </c>
      <c r="K48" s="13">
        <f t="shared" si="20"/>
        <v>154.30000000000001</v>
      </c>
      <c r="L48" s="13">
        <f t="shared" si="20"/>
        <v>199.678</v>
      </c>
      <c r="M48" s="13">
        <f t="shared" si="20"/>
        <v>213.38200000000001</v>
      </c>
      <c r="N48" s="13">
        <f t="shared" si="20"/>
        <v>211.96000000000004</v>
      </c>
      <c r="O48" s="13">
        <f t="shared" si="20"/>
        <v>190.37000000000006</v>
      </c>
      <c r="P48" s="13">
        <f t="shared" si="20"/>
        <v>143.57000000000011</v>
      </c>
    </row>
    <row r="49" spans="1:20" ht="14.25" customHeight="1" x14ac:dyDescent="0.25">
      <c r="G49" s="11"/>
      <c r="H49" s="11"/>
      <c r="I49" s="11"/>
      <c r="J49" s="11"/>
      <c r="K49" s="11"/>
      <c r="L49" s="11"/>
      <c r="M49" s="11"/>
      <c r="N49" s="11"/>
      <c r="O49" s="11"/>
      <c r="P49" s="11"/>
      <c r="T49" s="11"/>
    </row>
    <row r="50" spans="1:20" ht="14.25" customHeight="1" x14ac:dyDescent="0.25">
      <c r="B50" s="7" t="s">
        <v>69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T50" s="11"/>
    </row>
    <row r="51" spans="1:20" ht="14.25" customHeight="1" x14ac:dyDescent="0.25">
      <c r="B51" s="9" t="s">
        <v>63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S51" s="11"/>
      <c r="T51" s="11"/>
    </row>
    <row r="52" spans="1:20" ht="14.25" customHeight="1" x14ac:dyDescent="0.25">
      <c r="C52" s="9" t="s">
        <v>70</v>
      </c>
      <c r="G52" s="10">
        <v>60.89</v>
      </c>
      <c r="H52" s="10">
        <v>86.09</v>
      </c>
      <c r="I52" s="10">
        <v>86.92</v>
      </c>
      <c r="J52" s="10">
        <v>19.16</v>
      </c>
      <c r="K52" s="10">
        <v>0</v>
      </c>
      <c r="L52" s="11">
        <f t="shared" ref="L52:P52" si="21">K52</f>
        <v>0</v>
      </c>
      <c r="M52" s="11">
        <f t="shared" si="21"/>
        <v>0</v>
      </c>
      <c r="N52" s="11">
        <f t="shared" si="21"/>
        <v>0</v>
      </c>
      <c r="O52" s="11">
        <f t="shared" si="21"/>
        <v>0</v>
      </c>
      <c r="P52" s="11">
        <f t="shared" si="21"/>
        <v>0</v>
      </c>
    </row>
    <row r="53" spans="1:20" ht="14.25" customHeight="1" x14ac:dyDescent="0.25">
      <c r="C53" s="9" t="s">
        <v>71</v>
      </c>
      <c r="G53" s="10">
        <v>125.7</v>
      </c>
      <c r="H53" s="10">
        <v>174.9</v>
      </c>
      <c r="I53" s="10">
        <v>171.82</v>
      </c>
      <c r="J53" s="10">
        <v>183.79</v>
      </c>
      <c r="K53" s="10">
        <v>222.8</v>
      </c>
      <c r="L53" s="11">
        <f>Assumptions!L15*'P&amp;L'!L10/365</f>
        <v>205.54608591362063</v>
      </c>
      <c r="M53" s="11">
        <f>Assumptions!M15*'P&amp;L'!M10/365</f>
        <v>244.26869697108432</v>
      </c>
      <c r="N53" s="11">
        <f>Assumptions!N15*'P&amp;L'!N10/365</f>
        <v>293.58136458269468</v>
      </c>
      <c r="O53" s="11">
        <f>Assumptions!O15*'P&amp;L'!O10/365</f>
        <v>347.61150556052371</v>
      </c>
      <c r="P53" s="11">
        <f>Assumptions!P15*'P&amp;L'!P10/365</f>
        <v>401.45414298428909</v>
      </c>
    </row>
    <row r="54" spans="1:20" ht="14.25" customHeight="1" x14ac:dyDescent="0.25">
      <c r="C54" s="9" t="s">
        <v>65</v>
      </c>
      <c r="G54" s="10">
        <v>99.41</v>
      </c>
      <c r="H54" s="10">
        <v>92.63</v>
      </c>
      <c r="I54" s="10">
        <v>114.27</v>
      </c>
      <c r="J54" s="10">
        <v>101.11</v>
      </c>
      <c r="K54" s="10">
        <v>134.55000000000001</v>
      </c>
      <c r="L54" s="11">
        <f>Assumptions!L16*'P&amp;L'!L7</f>
        <v>134.15205125496206</v>
      </c>
      <c r="M54" s="11">
        <f>Assumptions!M16*'P&amp;L'!M7</f>
        <v>152.70295491907567</v>
      </c>
      <c r="N54" s="11">
        <f>Assumptions!N16*'P&amp;L'!N7</f>
        <v>181.81540253964894</v>
      </c>
      <c r="O54" s="11">
        <f>Assumptions!O16*'P&amp;L'!O7</f>
        <v>214.57013600492584</v>
      </c>
      <c r="P54" s="11">
        <f>Assumptions!P16*'P&amp;L'!P7</f>
        <v>261.29727245121336</v>
      </c>
    </row>
    <row r="55" spans="1:20" ht="14.25" customHeight="1" x14ac:dyDescent="0.25">
      <c r="C55" s="9" t="s">
        <v>72</v>
      </c>
      <c r="G55" s="10">
        <v>70.31</v>
      </c>
      <c r="H55" s="10">
        <v>70.48</v>
      </c>
      <c r="I55" s="10">
        <v>58.18</v>
      </c>
      <c r="J55" s="10">
        <v>58.59</v>
      </c>
      <c r="K55" s="10">
        <v>57.81</v>
      </c>
      <c r="L55" s="11">
        <f t="shared" ref="L55:P55" si="22">K55</f>
        <v>57.81</v>
      </c>
      <c r="M55" s="11">
        <f t="shared" si="22"/>
        <v>57.81</v>
      </c>
      <c r="N55" s="11">
        <f t="shared" si="22"/>
        <v>57.81</v>
      </c>
      <c r="O55" s="11">
        <f t="shared" si="22"/>
        <v>57.81</v>
      </c>
      <c r="P55" s="11">
        <f t="shared" si="22"/>
        <v>57.81</v>
      </c>
    </row>
    <row r="56" spans="1:20" ht="14.25" customHeight="1" x14ac:dyDescent="0.25">
      <c r="C56" s="9" t="s">
        <v>73</v>
      </c>
      <c r="G56" s="10">
        <v>2.38</v>
      </c>
      <c r="H56" s="10">
        <v>6.75</v>
      </c>
      <c r="I56" s="10">
        <v>22.8</v>
      </c>
      <c r="J56" s="10">
        <v>50.65</v>
      </c>
      <c r="K56" s="10">
        <v>27.18</v>
      </c>
      <c r="L56" s="11">
        <f t="shared" ref="L56:P56" si="23">K56</f>
        <v>27.18</v>
      </c>
      <c r="M56" s="11">
        <f t="shared" si="23"/>
        <v>27.18</v>
      </c>
      <c r="N56" s="11">
        <f t="shared" si="23"/>
        <v>27.18</v>
      </c>
      <c r="O56" s="11">
        <f t="shared" si="23"/>
        <v>27.18</v>
      </c>
      <c r="P56" s="11">
        <f t="shared" si="23"/>
        <v>27.18</v>
      </c>
      <c r="T56" s="7"/>
    </row>
    <row r="57" spans="1:20" ht="14.25" customHeight="1" x14ac:dyDescent="0.25">
      <c r="C57" s="9" t="s">
        <v>74</v>
      </c>
      <c r="G57" s="10">
        <v>1.18</v>
      </c>
      <c r="H57" s="10">
        <v>2.63</v>
      </c>
      <c r="I57" s="10">
        <v>2.0499999999999998</v>
      </c>
      <c r="J57" s="10">
        <v>0</v>
      </c>
      <c r="K57" s="10">
        <v>6.75</v>
      </c>
      <c r="L57" s="11">
        <f t="shared" ref="L57:P57" si="24">K57</f>
        <v>6.75</v>
      </c>
      <c r="M57" s="11">
        <f t="shared" si="24"/>
        <v>6.75</v>
      </c>
      <c r="N57" s="11">
        <f t="shared" si="24"/>
        <v>6.75</v>
      </c>
      <c r="O57" s="11">
        <f t="shared" si="24"/>
        <v>6.75</v>
      </c>
      <c r="P57" s="11">
        <f t="shared" si="24"/>
        <v>6.75</v>
      </c>
    </row>
    <row r="58" spans="1:20" ht="14.25" customHeight="1" x14ac:dyDescent="0.25">
      <c r="A58" s="18"/>
      <c r="B58" s="12" t="s">
        <v>75</v>
      </c>
      <c r="C58" s="18"/>
      <c r="D58" s="18"/>
      <c r="E58" s="18"/>
      <c r="F58" s="18"/>
      <c r="G58" s="13">
        <f t="shared" ref="G58:P58" si="25">SUM(G52:G57)</f>
        <v>359.87</v>
      </c>
      <c r="H58" s="13">
        <f t="shared" si="25"/>
        <v>433.48</v>
      </c>
      <c r="I58" s="13">
        <f t="shared" si="25"/>
        <v>456.04</v>
      </c>
      <c r="J58" s="13">
        <f t="shared" si="25"/>
        <v>413.29999999999995</v>
      </c>
      <c r="K58" s="13">
        <f t="shared" si="25"/>
        <v>449.09000000000003</v>
      </c>
      <c r="L58" s="13">
        <f t="shared" si="25"/>
        <v>431.43813716858267</v>
      </c>
      <c r="M58" s="13">
        <f t="shared" si="25"/>
        <v>488.71165189016</v>
      </c>
      <c r="N58" s="13">
        <f t="shared" si="25"/>
        <v>567.13676712234349</v>
      </c>
      <c r="O58" s="13">
        <f t="shared" si="25"/>
        <v>653.92164156544948</v>
      </c>
      <c r="P58" s="13">
        <f t="shared" si="25"/>
        <v>754.49141543550229</v>
      </c>
      <c r="R58" s="7"/>
    </row>
    <row r="59" spans="1:20" ht="14.25" customHeight="1" x14ac:dyDescent="0.25"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20" ht="14.25" customHeight="1" x14ac:dyDescent="0.25">
      <c r="A60" s="16" t="s">
        <v>76</v>
      </c>
      <c r="B60" s="23"/>
      <c r="C60" s="23"/>
      <c r="D60" s="23"/>
      <c r="E60" s="23"/>
      <c r="F60" s="23"/>
      <c r="G60" s="17">
        <f t="shared" ref="G60:P60" si="26">SUM(G58,G48,G40)</f>
        <v>1070.3400000000001</v>
      </c>
      <c r="H60" s="17">
        <f t="shared" si="26"/>
        <v>1268.73</v>
      </c>
      <c r="I60" s="17">
        <f t="shared" si="26"/>
        <v>1604.5600000000002</v>
      </c>
      <c r="J60" s="17">
        <f t="shared" si="26"/>
        <v>1841.08</v>
      </c>
      <c r="K60" s="17">
        <f t="shared" si="26"/>
        <v>2175.8000000000002</v>
      </c>
      <c r="L60" s="17">
        <f t="shared" si="26"/>
        <v>2432.2864234111721</v>
      </c>
      <c r="M60" s="17">
        <f t="shared" si="26"/>
        <v>2819.1730962638539</v>
      </c>
      <c r="N60" s="17">
        <f t="shared" si="26"/>
        <v>3294.0204513169697</v>
      </c>
      <c r="O60" s="17">
        <f t="shared" si="26"/>
        <v>3866.8796602316697</v>
      </c>
      <c r="P60" s="17">
        <f t="shared" si="26"/>
        <v>4536.0342946212295</v>
      </c>
    </row>
    <row r="61" spans="1:20" ht="14.25" customHeight="1" x14ac:dyDescent="0.25"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20" ht="14.25" customHeight="1" x14ac:dyDescent="0.25"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20" ht="14.25" customHeight="1" x14ac:dyDescent="0.25">
      <c r="B63" s="131"/>
      <c r="C63" s="132"/>
      <c r="D63" s="133"/>
      <c r="E63" s="133"/>
      <c r="F63" s="133"/>
      <c r="G63" s="134"/>
      <c r="H63" s="134"/>
      <c r="I63" s="134"/>
      <c r="J63" s="134"/>
      <c r="K63" s="134"/>
      <c r="L63" s="134"/>
      <c r="M63" s="134"/>
      <c r="N63" s="134"/>
      <c r="O63" s="134"/>
      <c r="P63" s="134"/>
    </row>
    <row r="64" spans="1:20" ht="14.25" customHeight="1" x14ac:dyDescent="0.25">
      <c r="B64" s="131"/>
      <c r="C64" s="131"/>
      <c r="D64" s="131"/>
      <c r="E64" s="131"/>
      <c r="F64" s="131"/>
      <c r="G64" s="135"/>
      <c r="H64" s="135"/>
      <c r="I64" s="135"/>
      <c r="J64" s="135"/>
      <c r="K64" s="135"/>
      <c r="L64" s="135"/>
      <c r="M64" s="135"/>
      <c r="N64" s="135"/>
      <c r="O64" s="135"/>
      <c r="P64" s="135"/>
    </row>
    <row r="65" spans="2:16" ht="14.25" customHeight="1" x14ac:dyDescent="0.25">
      <c r="B65" s="131"/>
      <c r="C65" s="131"/>
      <c r="D65" s="131"/>
      <c r="E65" s="131"/>
      <c r="F65" s="131"/>
      <c r="G65" s="135"/>
      <c r="H65" s="135"/>
      <c r="I65" s="135"/>
      <c r="J65" s="135"/>
      <c r="K65" s="135"/>
      <c r="L65" s="135"/>
      <c r="M65" s="135"/>
      <c r="N65" s="135"/>
      <c r="O65" s="135"/>
      <c r="P65" s="135"/>
    </row>
    <row r="66" spans="2:16" ht="14.25" customHeight="1" x14ac:dyDescent="0.25">
      <c r="B66" s="131"/>
      <c r="C66" s="131"/>
      <c r="D66" s="131"/>
      <c r="E66" s="131"/>
      <c r="F66" s="131"/>
      <c r="G66" s="135"/>
      <c r="H66" s="135"/>
      <c r="I66" s="135"/>
      <c r="J66" s="135"/>
      <c r="K66" s="135"/>
      <c r="L66" s="135"/>
      <c r="M66" s="135"/>
      <c r="N66" s="135"/>
      <c r="O66" s="135"/>
      <c r="P66" s="135"/>
    </row>
    <row r="67" spans="2:16" ht="14.25" customHeight="1" x14ac:dyDescent="0.25">
      <c r="B67" s="131"/>
      <c r="C67" s="131"/>
      <c r="D67" s="131"/>
      <c r="E67" s="131"/>
      <c r="F67" s="131"/>
      <c r="G67" s="135"/>
      <c r="H67" s="135"/>
      <c r="I67" s="135"/>
      <c r="J67" s="135"/>
      <c r="K67" s="135"/>
      <c r="L67" s="135"/>
      <c r="M67" s="135"/>
      <c r="N67" s="135"/>
      <c r="O67" s="135"/>
      <c r="P67" s="135"/>
    </row>
    <row r="68" spans="2:16" ht="14.25" customHeight="1" x14ac:dyDescent="0.2"/>
    <row r="69" spans="2:16" ht="14.25" customHeight="1" x14ac:dyDescent="0.25">
      <c r="L69" s="11"/>
      <c r="M69" s="11"/>
      <c r="N69" s="11"/>
      <c r="O69" s="11"/>
      <c r="P69" s="11"/>
    </row>
    <row r="70" spans="2:16" ht="14.25" customHeight="1" x14ac:dyDescent="0.2"/>
    <row r="71" spans="2:16" ht="14.25" customHeight="1" x14ac:dyDescent="0.2"/>
    <row r="72" spans="2:16" ht="14.25" customHeight="1" x14ac:dyDescent="0.25">
      <c r="G72" s="25"/>
      <c r="H72" s="25"/>
      <c r="I72" s="25"/>
      <c r="J72" s="25"/>
      <c r="K72" s="25"/>
    </row>
    <row r="73" spans="2:16" ht="14.25" customHeight="1" x14ac:dyDescent="0.2"/>
    <row r="74" spans="2:16" ht="14.25" customHeight="1" x14ac:dyDescent="0.2"/>
    <row r="75" spans="2:16" ht="14.25" customHeight="1" x14ac:dyDescent="0.2"/>
    <row r="76" spans="2:16" ht="14.25" customHeight="1" x14ac:dyDescent="0.2"/>
    <row r="77" spans="2:16" ht="14.25" customHeight="1" x14ac:dyDescent="0.2"/>
    <row r="78" spans="2:16" ht="14.25" customHeight="1" x14ac:dyDescent="0.2"/>
    <row r="79" spans="2:16" ht="14.25" customHeight="1" x14ac:dyDescent="0.2"/>
    <row r="80" spans="2:16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G63:P63">
    <cfRule type="containsText" dxfId="2" priority="1" operator="containsText" text="&quot;TRUE&quot;">
      <formula>NOT(ISERROR(SEARCH(("""TRUE"""),(G63))))</formula>
    </cfRule>
  </conditionalFormatting>
  <pageMargins left="0.7" right="0.7" top="0.75" bottom="0.75" header="0" footer="0"/>
  <pageSetup orientation="landscape"/>
  <ignoredErrors>
    <ignoredError sqref="L9:P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L1" sqref="L1"/>
    </sheetView>
  </sheetViews>
  <sheetFormatPr defaultColWidth="12.625" defaultRowHeight="15" customHeight="1" outlineLevelRow="1" outlineLevelCol="1" x14ac:dyDescent="0.2"/>
  <cols>
    <col min="1" max="2" width="4.625" customWidth="1"/>
    <col min="3" max="3" width="37.5" customWidth="1"/>
    <col min="4" max="6" width="4.625" customWidth="1"/>
    <col min="7" max="11" width="7.75" hidden="1" customWidth="1" outlineLevel="1"/>
    <col min="12" max="12" width="7.75" customWidth="1" collapsed="1"/>
    <col min="13" max="26" width="7.625" customWidth="1"/>
  </cols>
  <sheetData>
    <row r="1" spans="1:26" ht="14.25" customHeight="1" x14ac:dyDescent="0.3">
      <c r="A1" s="1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</v>
      </c>
      <c r="B2" s="3"/>
      <c r="C2" s="3"/>
      <c r="D2" s="3"/>
      <c r="E2" s="3"/>
      <c r="F2" s="3"/>
      <c r="G2" s="3">
        <v>1</v>
      </c>
      <c r="H2" s="3">
        <f t="shared" ref="H2:P2" si="0">G2+1</f>
        <v>2</v>
      </c>
      <c r="I2" s="3">
        <f t="shared" si="0"/>
        <v>3</v>
      </c>
      <c r="J2" s="3">
        <f t="shared" si="0"/>
        <v>4</v>
      </c>
      <c r="K2" s="3">
        <f t="shared" si="0"/>
        <v>5</v>
      </c>
      <c r="L2" s="3">
        <f t="shared" si="0"/>
        <v>6</v>
      </c>
      <c r="M2" s="3">
        <f t="shared" si="0"/>
        <v>7</v>
      </c>
      <c r="N2" s="3">
        <f t="shared" si="0"/>
        <v>8</v>
      </c>
      <c r="O2" s="3">
        <f t="shared" si="0"/>
        <v>9</v>
      </c>
      <c r="P2" s="3">
        <f t="shared" si="0"/>
        <v>10</v>
      </c>
    </row>
    <row r="3" spans="1:26" ht="14.25" customHeight="1" x14ac:dyDescent="0.2"/>
    <row r="4" spans="1:26" ht="14.25" customHeight="1" x14ac:dyDescent="0.25">
      <c r="A4" s="3" t="s">
        <v>2</v>
      </c>
      <c r="G4" s="21">
        <v>17</v>
      </c>
      <c r="H4" s="21">
        <f t="shared" ref="H4:P4" si="1">G4+1</f>
        <v>18</v>
      </c>
      <c r="I4" s="21">
        <f t="shared" si="1"/>
        <v>19</v>
      </c>
      <c r="J4" s="21">
        <f t="shared" si="1"/>
        <v>20</v>
      </c>
      <c r="K4" s="21">
        <f t="shared" si="1"/>
        <v>21</v>
      </c>
      <c r="L4" s="22">
        <f t="shared" si="1"/>
        <v>22</v>
      </c>
      <c r="M4" s="22">
        <f t="shared" si="1"/>
        <v>23</v>
      </c>
      <c r="N4" s="22">
        <f t="shared" si="1"/>
        <v>24</v>
      </c>
      <c r="O4" s="22">
        <f t="shared" si="1"/>
        <v>25</v>
      </c>
      <c r="P4" s="22">
        <f t="shared" si="1"/>
        <v>26</v>
      </c>
    </row>
    <row r="5" spans="1:26" ht="14.25" customHeight="1" x14ac:dyDescent="0.25">
      <c r="A5" s="7" t="s">
        <v>78</v>
      </c>
    </row>
    <row r="6" spans="1:26" ht="14.25" customHeight="1" x14ac:dyDescent="0.25">
      <c r="B6" s="7" t="s">
        <v>79</v>
      </c>
      <c r="G6" s="26"/>
      <c r="H6" s="26"/>
      <c r="I6" s="26"/>
      <c r="J6" s="26"/>
      <c r="K6" s="26"/>
      <c r="L6" s="11">
        <f>'P&amp;L'!L26</f>
        <v>390.22119995827211</v>
      </c>
      <c r="M6" s="11">
        <f>'P&amp;L'!M26</f>
        <v>506.73847095351402</v>
      </c>
      <c r="N6" s="11">
        <f>'P&amp;L'!N26</f>
        <v>642.05594285885843</v>
      </c>
      <c r="O6" s="11">
        <f>'P&amp;L'!O26</f>
        <v>819.04670743005886</v>
      </c>
      <c r="P6" s="11">
        <f>'P&amp;L'!P26</f>
        <v>1001.9483859781186</v>
      </c>
    </row>
    <row r="7" spans="1:26" ht="14.25" customHeight="1" x14ac:dyDescent="0.25">
      <c r="C7" s="9" t="s">
        <v>80</v>
      </c>
      <c r="G7" s="10"/>
      <c r="H7" s="10"/>
      <c r="I7" s="10"/>
      <c r="J7" s="10"/>
      <c r="K7" s="10"/>
      <c r="L7" s="11">
        <f>'P&amp;L'!L21</f>
        <v>122.17320000000001</v>
      </c>
      <c r="M7" s="11">
        <f>'P&amp;L'!M21</f>
        <v>123.87859934364988</v>
      </c>
      <c r="N7" s="11">
        <f>'P&amp;L'!N21</f>
        <v>132.71438819536172</v>
      </c>
      <c r="O7" s="11">
        <f>'P&amp;L'!O21</f>
        <v>143.31062873653292</v>
      </c>
      <c r="P7" s="11">
        <f>'P&amp;L'!P21</f>
        <v>156.02141109537638</v>
      </c>
    </row>
    <row r="8" spans="1:26" ht="14.25" customHeight="1" x14ac:dyDescent="0.25">
      <c r="C8" s="9" t="s">
        <v>81</v>
      </c>
      <c r="G8" s="26"/>
      <c r="H8" s="26"/>
      <c r="I8" s="26"/>
      <c r="J8" s="26"/>
      <c r="K8" s="26"/>
      <c r="L8" s="11">
        <f>'P&amp;L'!L24</f>
        <v>19.272960000000001</v>
      </c>
      <c r="M8" s="11">
        <f>'P&amp;L'!M24</f>
        <v>20.917439999999999</v>
      </c>
      <c r="N8" s="11">
        <f>'P&amp;L'!N24</f>
        <v>20.746800000000004</v>
      </c>
      <c r="O8" s="11">
        <f>'P&amp;L'!O24</f>
        <v>18.156000000000006</v>
      </c>
      <c r="P8" s="11">
        <f>'P&amp;L'!P24</f>
        <v>12.54000000000001</v>
      </c>
    </row>
    <row r="9" spans="1:26" ht="14.25" hidden="1" customHeight="1" outlineLevel="1" x14ac:dyDescent="0.25">
      <c r="B9" s="7"/>
      <c r="C9" s="9" t="s">
        <v>82</v>
      </c>
      <c r="G9" s="26"/>
      <c r="H9" s="26"/>
      <c r="I9" s="26"/>
      <c r="J9" s="26"/>
      <c r="K9" s="26"/>
      <c r="L9" s="11">
        <f t="shared" ref="L9:P9" si="2">K9</f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1">
        <f t="shared" si="2"/>
        <v>0</v>
      </c>
    </row>
    <row r="10" spans="1:26" ht="14.25" hidden="1" customHeight="1" outlineLevel="1" x14ac:dyDescent="0.25">
      <c r="C10" s="9" t="s">
        <v>83</v>
      </c>
      <c r="G10" s="26"/>
      <c r="H10" s="26"/>
      <c r="I10" s="26"/>
      <c r="J10" s="26"/>
      <c r="K10" s="26"/>
      <c r="L10" s="11">
        <v>0</v>
      </c>
      <c r="M10" s="11">
        <v>0</v>
      </c>
      <c r="N10" s="11">
        <v>0</v>
      </c>
      <c r="O10" s="11">
        <v>0</v>
      </c>
      <c r="P10" s="11">
        <v>0</v>
      </c>
    </row>
    <row r="11" spans="1:26" ht="14.25" hidden="1" customHeight="1" outlineLevel="1" x14ac:dyDescent="0.25">
      <c r="C11" s="9" t="s">
        <v>84</v>
      </c>
      <c r="G11" s="26"/>
      <c r="H11" s="26"/>
      <c r="I11" s="26"/>
      <c r="J11" s="26"/>
      <c r="K11" s="26"/>
      <c r="L11" s="11">
        <v>0</v>
      </c>
      <c r="M11" s="11">
        <v>0</v>
      </c>
      <c r="N11" s="11">
        <v>0</v>
      </c>
      <c r="O11" s="11">
        <v>0</v>
      </c>
      <c r="P11" s="11">
        <v>0</v>
      </c>
    </row>
    <row r="12" spans="1:26" ht="14.25" hidden="1" customHeight="1" outlineLevel="1" x14ac:dyDescent="0.25">
      <c r="C12" s="9" t="s">
        <v>85</v>
      </c>
      <c r="G12" s="26"/>
      <c r="H12" s="26"/>
      <c r="I12" s="26"/>
      <c r="J12" s="26"/>
      <c r="K12" s="26"/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26" ht="14.25" hidden="1" customHeight="1" outlineLevel="1" x14ac:dyDescent="0.25">
      <c r="C13" s="9" t="s">
        <v>86</v>
      </c>
      <c r="G13" s="26"/>
      <c r="H13" s="26"/>
      <c r="I13" s="26"/>
      <c r="J13" s="26"/>
      <c r="K13" s="26"/>
      <c r="L13" s="11"/>
      <c r="M13" s="11"/>
      <c r="N13" s="11"/>
      <c r="O13" s="11"/>
      <c r="P13" s="11"/>
    </row>
    <row r="14" spans="1:26" ht="14.25" hidden="1" customHeight="1" outlineLevel="1" x14ac:dyDescent="0.25">
      <c r="C14" s="9" t="s">
        <v>87</v>
      </c>
      <c r="G14" s="26"/>
      <c r="H14" s="26"/>
      <c r="I14" s="26"/>
      <c r="J14" s="26"/>
      <c r="K14" s="26"/>
      <c r="L14" s="11">
        <v>0</v>
      </c>
      <c r="M14" s="11">
        <v>0</v>
      </c>
      <c r="N14" s="11">
        <v>0</v>
      </c>
      <c r="O14" s="11">
        <v>0</v>
      </c>
      <c r="P14" s="11">
        <v>0</v>
      </c>
    </row>
    <row r="15" spans="1:26" ht="14.25" hidden="1" customHeight="1" outlineLevel="1" x14ac:dyDescent="0.25">
      <c r="C15" s="9" t="s">
        <v>88</v>
      </c>
      <c r="G15" s="26"/>
      <c r="H15" s="26"/>
      <c r="I15" s="26"/>
      <c r="J15" s="26"/>
      <c r="K15" s="26"/>
      <c r="L15" s="11">
        <v>0</v>
      </c>
      <c r="M15" s="11">
        <v>0</v>
      </c>
      <c r="N15" s="11">
        <v>0</v>
      </c>
      <c r="O15" s="11">
        <v>0</v>
      </c>
      <c r="P15" s="11">
        <v>0</v>
      </c>
    </row>
    <row r="16" spans="1:26" ht="14.25" hidden="1" customHeight="1" outlineLevel="1" x14ac:dyDescent="0.25">
      <c r="C16" s="9" t="s">
        <v>89</v>
      </c>
      <c r="G16" s="26"/>
      <c r="H16" s="26"/>
      <c r="I16" s="26"/>
      <c r="J16" s="26"/>
      <c r="K16" s="26"/>
      <c r="L16" s="11"/>
      <c r="M16" s="11"/>
      <c r="N16" s="11"/>
      <c r="O16" s="11"/>
      <c r="P16" s="11"/>
    </row>
    <row r="17" spans="2:16" ht="14.25" hidden="1" customHeight="1" outlineLevel="1" x14ac:dyDescent="0.25">
      <c r="C17" s="9" t="s">
        <v>90</v>
      </c>
      <c r="G17" s="26"/>
      <c r="H17" s="26"/>
      <c r="I17" s="26"/>
      <c r="J17" s="26"/>
      <c r="K17" s="26"/>
      <c r="L17" s="11">
        <v>0</v>
      </c>
      <c r="M17" s="11">
        <v>0</v>
      </c>
      <c r="N17" s="11">
        <v>0</v>
      </c>
      <c r="O17" s="11">
        <v>0</v>
      </c>
      <c r="P17" s="11">
        <v>0</v>
      </c>
    </row>
    <row r="18" spans="2:16" ht="14.25" hidden="1" customHeight="1" outlineLevel="1" x14ac:dyDescent="0.25">
      <c r="C18" s="9" t="s">
        <v>91</v>
      </c>
      <c r="G18" s="26"/>
      <c r="H18" s="26"/>
      <c r="I18" s="26"/>
      <c r="J18" s="26"/>
      <c r="K18" s="26"/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2:16" ht="14.25" hidden="1" customHeight="1" outlineLevel="1" x14ac:dyDescent="0.25">
      <c r="C19" s="9" t="s">
        <v>92</v>
      </c>
      <c r="G19" s="26"/>
      <c r="H19" s="26"/>
      <c r="I19" s="26"/>
      <c r="J19" s="26"/>
      <c r="K19" s="26"/>
      <c r="L19" s="11">
        <v>0</v>
      </c>
      <c r="M19" s="11">
        <v>0</v>
      </c>
      <c r="N19" s="11">
        <v>0</v>
      </c>
      <c r="O19" s="11">
        <v>0</v>
      </c>
      <c r="P19" s="11">
        <v>0</v>
      </c>
    </row>
    <row r="20" spans="2:16" ht="14.25" customHeight="1" collapsed="1" x14ac:dyDescent="0.25">
      <c r="B20" s="7" t="s">
        <v>93</v>
      </c>
      <c r="G20" s="26"/>
      <c r="H20" s="26"/>
      <c r="I20" s="26"/>
      <c r="J20" s="26"/>
      <c r="K20" s="26"/>
      <c r="L20" s="27">
        <f t="shared" ref="L20:P20" si="3">SUM(L6:L19)</f>
        <v>531.66735995827207</v>
      </c>
      <c r="M20" s="27">
        <f t="shared" si="3"/>
        <v>651.53451029716393</v>
      </c>
      <c r="N20" s="27">
        <f t="shared" si="3"/>
        <v>795.51713105422016</v>
      </c>
      <c r="O20" s="27">
        <f t="shared" si="3"/>
        <v>980.51333616659167</v>
      </c>
      <c r="P20" s="27">
        <f t="shared" si="3"/>
        <v>1170.5097970734951</v>
      </c>
    </row>
    <row r="21" spans="2:16" ht="14.25" customHeight="1" x14ac:dyDescent="0.25">
      <c r="B21" s="28" t="s">
        <v>94</v>
      </c>
      <c r="G21" s="26"/>
      <c r="H21" s="26"/>
      <c r="I21" s="26"/>
      <c r="J21" s="26"/>
      <c r="K21" s="26"/>
      <c r="L21" s="11"/>
      <c r="M21" s="11"/>
      <c r="N21" s="11"/>
      <c r="O21" s="11"/>
      <c r="P21" s="11"/>
    </row>
    <row r="22" spans="2:16" ht="14.25" customHeight="1" x14ac:dyDescent="0.25">
      <c r="C22" s="9" t="str">
        <f>BS!C27</f>
        <v>Trade Receivables</v>
      </c>
      <c r="G22" s="26"/>
      <c r="H22" s="26"/>
      <c r="I22" s="26"/>
      <c r="J22" s="26"/>
      <c r="K22" s="26"/>
      <c r="L22" s="11">
        <f>BS!K27-BS!L27</f>
        <v>-25.764621511592509</v>
      </c>
      <c r="M22" s="11">
        <f>BS!L27-BS!M27</f>
        <v>-36.284921753213922</v>
      </c>
      <c r="N22" s="11">
        <f>BS!M27-BS!N27</f>
        <v>-38.299518079662448</v>
      </c>
      <c r="O22" s="11">
        <f>BS!N27-BS!O27</f>
        <v>-51.645212766004647</v>
      </c>
      <c r="P22" s="11">
        <f>BS!O27-BS!P27</f>
        <v>-63.399469119528817</v>
      </c>
    </row>
    <row r="23" spans="2:16" ht="14.25" customHeight="1" x14ac:dyDescent="0.25">
      <c r="C23" s="9" t="s">
        <v>50</v>
      </c>
      <c r="G23" s="26"/>
      <c r="H23" s="26"/>
      <c r="I23" s="26"/>
      <c r="J23" s="26"/>
      <c r="K23" s="26"/>
      <c r="L23" s="11">
        <f>BS!K28-BS!L28</f>
        <v>-2.8262233698063532</v>
      </c>
      <c r="M23" s="11">
        <f>BS!L28-BS!M28</f>
        <v>-2.0580236273908561</v>
      </c>
      <c r="N23" s="11">
        <f>BS!M28-BS!N28</f>
        <v>-2.4054549940572745</v>
      </c>
      <c r="O23" s="11">
        <f>BS!N28-BS!O28</f>
        <v>-2.6902533313717818</v>
      </c>
      <c r="P23" s="11">
        <f>BS!O28-BS!P28</f>
        <v>-3.4607435361024415</v>
      </c>
    </row>
    <row r="24" spans="2:16" ht="14.25" customHeight="1" x14ac:dyDescent="0.25">
      <c r="C24" s="9" t="s">
        <v>51</v>
      </c>
      <c r="G24" s="26"/>
      <c r="H24" s="26"/>
      <c r="I24" s="26"/>
      <c r="J24" s="26"/>
      <c r="K24" s="26"/>
      <c r="L24" s="11">
        <f>BS!K29-BS!L29</f>
        <v>-2.336223369806353</v>
      </c>
      <c r="M24" s="11">
        <f>BS!L29-BS!M29</f>
        <v>-2.0580236273908561</v>
      </c>
      <c r="N24" s="11">
        <f>BS!M29-BS!N29</f>
        <v>-2.4054549940572745</v>
      </c>
      <c r="O24" s="11">
        <f>BS!N29-BS!O29</f>
        <v>-2.6902533313717818</v>
      </c>
      <c r="P24" s="11">
        <f>BS!O29-BS!P29</f>
        <v>-3.4607435361024415</v>
      </c>
    </row>
    <row r="25" spans="2:16" ht="14.25" customHeight="1" x14ac:dyDescent="0.25">
      <c r="C25" s="9" t="str">
        <f>BS!C25</f>
        <v>Loans</v>
      </c>
      <c r="G25" s="26"/>
      <c r="H25" s="26"/>
      <c r="I25" s="26"/>
      <c r="J25" s="26"/>
      <c r="K25" s="26"/>
      <c r="L25" s="11">
        <f>BS!K25-BS!L25</f>
        <v>0</v>
      </c>
      <c r="M25" s="11">
        <f>BS!L25-BS!M25</f>
        <v>0</v>
      </c>
      <c r="N25" s="11">
        <f>BS!M25-BS!N25</f>
        <v>0</v>
      </c>
      <c r="O25" s="11">
        <f>BS!N25-BS!O25</f>
        <v>0</v>
      </c>
      <c r="P25" s="11">
        <f>BS!O25-BS!P25</f>
        <v>0</v>
      </c>
    </row>
    <row r="26" spans="2:16" ht="14.25" customHeight="1" x14ac:dyDescent="0.25">
      <c r="C26" s="9" t="str">
        <f>BS!C31</f>
        <v>Other Current Assets</v>
      </c>
      <c r="G26" s="26"/>
      <c r="H26" s="26"/>
      <c r="I26" s="26"/>
      <c r="J26" s="26"/>
      <c r="K26" s="26"/>
      <c r="L26" s="11">
        <f>BS!K31-BS!L31</f>
        <v>0</v>
      </c>
      <c r="M26" s="11">
        <f>BS!L31-BS!M31</f>
        <v>0</v>
      </c>
      <c r="N26" s="11">
        <f>BS!M31-BS!N31</f>
        <v>0</v>
      </c>
      <c r="O26" s="11">
        <f>BS!N31-BS!O31</f>
        <v>0</v>
      </c>
      <c r="P26" s="11">
        <f>BS!O31-BS!P31</f>
        <v>0</v>
      </c>
    </row>
    <row r="27" spans="2:16" ht="14.25" customHeight="1" x14ac:dyDescent="0.25">
      <c r="C27" s="9" t="str">
        <f>BS!C20</f>
        <v>Inventories</v>
      </c>
      <c r="G27" s="26"/>
      <c r="H27" s="26"/>
      <c r="I27" s="26"/>
      <c r="J27" s="26"/>
      <c r="K27" s="26"/>
      <c r="L27" s="11">
        <f>BS!K20-BS!L20</f>
        <v>-20.068888541482579</v>
      </c>
      <c r="M27" s="11">
        <f>BS!L20-BS!M20</f>
        <v>-91.513321424025321</v>
      </c>
      <c r="N27" s="11">
        <f>BS!M20-BS!N20</f>
        <v>-115.66906136206228</v>
      </c>
      <c r="O27" s="11">
        <f>BS!N20-BS!O20</f>
        <v>-105.31675689739041</v>
      </c>
      <c r="P27" s="11">
        <f>BS!O20-BS!P20</f>
        <v>-120.4755301040658</v>
      </c>
    </row>
    <row r="28" spans="2:16" ht="14.25" customHeight="1" x14ac:dyDescent="0.25">
      <c r="B28" s="28" t="s">
        <v>95</v>
      </c>
      <c r="G28" s="26"/>
      <c r="H28" s="26"/>
      <c r="I28" s="26"/>
      <c r="J28" s="26"/>
      <c r="K28" s="26"/>
      <c r="L28" s="11"/>
      <c r="M28" s="11"/>
      <c r="N28" s="11"/>
      <c r="O28" s="11"/>
      <c r="P28" s="11"/>
    </row>
    <row r="29" spans="2:16" ht="14.25" customHeight="1" x14ac:dyDescent="0.25">
      <c r="C29" s="9" t="s">
        <v>96</v>
      </c>
      <c r="G29" s="26"/>
      <c r="H29" s="26"/>
      <c r="I29" s="26"/>
      <c r="J29" s="26"/>
      <c r="K29" s="26"/>
      <c r="L29" s="11">
        <f>BS!L54-BS!K54</f>
        <v>-0.39794874503795086</v>
      </c>
      <c r="M29" s="11">
        <f>BS!M54-BS!L54</f>
        <v>18.550903664113605</v>
      </c>
      <c r="N29" s="11">
        <f>BS!N54-BS!M54</f>
        <v>29.112447620573278</v>
      </c>
      <c r="O29" s="11">
        <f>BS!O54-BS!N54</f>
        <v>32.7547334652769</v>
      </c>
      <c r="P29" s="11">
        <f>BS!P54-BS!O54</f>
        <v>46.727136446287517</v>
      </c>
    </row>
    <row r="30" spans="2:16" ht="14.25" customHeight="1" x14ac:dyDescent="0.25">
      <c r="C30" s="9" t="str">
        <f>BS!C53</f>
        <v>Trade Payables:</v>
      </c>
      <c r="G30" s="26"/>
      <c r="H30" s="26"/>
      <c r="I30" s="26"/>
      <c r="J30" s="26"/>
      <c r="K30" s="26"/>
      <c r="L30" s="11">
        <f>BS!L53-BS!K53</f>
        <v>-17.253914086379382</v>
      </c>
      <c r="M30" s="11">
        <f>BS!M53-BS!L53</f>
        <v>38.722611057463695</v>
      </c>
      <c r="N30" s="11">
        <f>BS!N53-BS!M53</f>
        <v>49.312667611610351</v>
      </c>
      <c r="O30" s="11">
        <f>BS!O53-BS!N53</f>
        <v>54.030140977829035</v>
      </c>
      <c r="P30" s="11">
        <f>BS!P53-BS!O53</f>
        <v>53.842637423765382</v>
      </c>
    </row>
    <row r="31" spans="2:16" ht="14.25" customHeight="1" x14ac:dyDescent="0.25">
      <c r="C31" s="9" t="str">
        <f>BS!C55</f>
        <v>Other Current Liablities</v>
      </c>
      <c r="G31" s="26"/>
      <c r="H31" s="26"/>
      <c r="I31" s="26"/>
      <c r="J31" s="26"/>
      <c r="K31" s="26"/>
      <c r="L31" s="11">
        <f>BS!L55-BS!K55</f>
        <v>0</v>
      </c>
      <c r="M31" s="11">
        <f>BS!M55-BS!L55</f>
        <v>0</v>
      </c>
      <c r="N31" s="11">
        <f>BS!N55-BS!M55</f>
        <v>0</v>
      </c>
      <c r="O31" s="11">
        <f>BS!O55-BS!N55</f>
        <v>0</v>
      </c>
      <c r="P31" s="11">
        <f>BS!P55-BS!O55</f>
        <v>0</v>
      </c>
    </row>
    <row r="32" spans="2:16" ht="14.25" customHeight="1" x14ac:dyDescent="0.25">
      <c r="C32" s="9" t="s">
        <v>97</v>
      </c>
      <c r="G32" s="26"/>
      <c r="H32" s="26"/>
      <c r="I32" s="26"/>
      <c r="J32" s="26"/>
      <c r="K32" s="26"/>
      <c r="L32" s="11">
        <f>BS!L56-BS!K56</f>
        <v>0</v>
      </c>
      <c r="M32" s="11">
        <f>BS!M56-BS!L56</f>
        <v>0</v>
      </c>
      <c r="N32" s="11">
        <f>BS!N56-BS!M56</f>
        <v>0</v>
      </c>
      <c r="O32" s="11">
        <f>BS!O56-BS!N56</f>
        <v>0</v>
      </c>
      <c r="P32" s="11">
        <f>BS!P56-BS!O56</f>
        <v>0</v>
      </c>
    </row>
    <row r="33" spans="1:16" ht="14.25" customHeight="1" x14ac:dyDescent="0.25">
      <c r="G33" s="26"/>
      <c r="H33" s="26"/>
      <c r="I33" s="26"/>
      <c r="J33" s="26"/>
      <c r="K33" s="26"/>
      <c r="L33" s="11"/>
      <c r="M33" s="11"/>
      <c r="N33" s="11"/>
      <c r="O33" s="11"/>
      <c r="P33" s="11"/>
    </row>
    <row r="34" spans="1:16" ht="14.25" customHeight="1" x14ac:dyDescent="0.25">
      <c r="A34" s="7"/>
      <c r="B34" s="7"/>
      <c r="C34" s="15" t="s">
        <v>98</v>
      </c>
      <c r="D34" s="15"/>
      <c r="E34" s="15"/>
      <c r="F34" s="15"/>
      <c r="G34" s="26"/>
      <c r="H34" s="26"/>
      <c r="I34" s="26"/>
      <c r="J34" s="29"/>
      <c r="K34" s="29"/>
      <c r="L34" s="27">
        <f t="shared" ref="L34:P34" si="4">SUM(L20:L32)</f>
        <v>463.01954033416689</v>
      </c>
      <c r="M34" s="27">
        <f t="shared" si="4"/>
        <v>576.89373458672037</v>
      </c>
      <c r="N34" s="27">
        <f t="shared" si="4"/>
        <v>715.16275685656433</v>
      </c>
      <c r="O34" s="27">
        <f t="shared" si="4"/>
        <v>904.95573428355897</v>
      </c>
      <c r="P34" s="27">
        <f t="shared" si="4"/>
        <v>1080.2830846477484</v>
      </c>
    </row>
    <row r="35" spans="1:16" ht="14.25" customHeight="1" x14ac:dyDescent="0.25">
      <c r="C35" s="9" t="s">
        <v>99</v>
      </c>
      <c r="G35" s="26"/>
      <c r="H35" s="26"/>
      <c r="I35" s="26"/>
      <c r="J35" s="26"/>
      <c r="K35" s="26"/>
      <c r="L35" s="11">
        <f>-'P&amp;L'!L32</f>
        <v>-99.355123815682902</v>
      </c>
      <c r="M35" s="11">
        <f>-'P&amp;L'!M32</f>
        <v>-129.74743683246513</v>
      </c>
      <c r="N35" s="11">
        <f>-'P&amp;L'!N32</f>
        <v>-165.04358587250576</v>
      </c>
      <c r="O35" s="11">
        <f>-'P&amp;L'!O32</f>
        <v>-211.20977799133078</v>
      </c>
      <c r="P35" s="11">
        <f>-'P&amp;L'!P32</f>
        <v>-258.9177702764789</v>
      </c>
    </row>
    <row r="36" spans="1:16" ht="14.25" customHeight="1" x14ac:dyDescent="0.25">
      <c r="B36" s="12" t="s">
        <v>100</v>
      </c>
      <c r="C36" s="12"/>
      <c r="D36" s="12"/>
      <c r="E36" s="12"/>
      <c r="F36" s="12"/>
      <c r="G36" s="30"/>
      <c r="H36" s="30"/>
      <c r="I36" s="30"/>
      <c r="J36" s="31"/>
      <c r="K36" s="31"/>
      <c r="L36" s="13">
        <f t="shared" ref="L36:P36" si="5">SUM(L34:L35)</f>
        <v>363.66441651848402</v>
      </c>
      <c r="M36" s="13">
        <f t="shared" si="5"/>
        <v>447.14629775425522</v>
      </c>
      <c r="N36" s="13">
        <f t="shared" si="5"/>
        <v>550.11917098405854</v>
      </c>
      <c r="O36" s="13">
        <f t="shared" si="5"/>
        <v>693.74595629222813</v>
      </c>
      <c r="P36" s="13">
        <f t="shared" si="5"/>
        <v>821.36531437126951</v>
      </c>
    </row>
    <row r="37" spans="1:16" ht="14.25" customHeight="1" x14ac:dyDescent="0.25">
      <c r="G37" s="26"/>
      <c r="H37" s="26"/>
      <c r="I37" s="26"/>
      <c r="J37" s="26"/>
      <c r="K37" s="26"/>
      <c r="L37" s="11"/>
      <c r="M37" s="11"/>
      <c r="N37" s="11"/>
      <c r="O37" s="11"/>
      <c r="P37" s="11"/>
    </row>
    <row r="38" spans="1:16" ht="14.25" customHeight="1" x14ac:dyDescent="0.25">
      <c r="B38" s="7" t="s">
        <v>101</v>
      </c>
      <c r="G38" s="26"/>
      <c r="H38" s="26"/>
      <c r="I38" s="26"/>
      <c r="J38" s="10"/>
      <c r="K38" s="10"/>
      <c r="L38" s="11"/>
      <c r="M38" s="11"/>
      <c r="N38" s="11"/>
      <c r="O38" s="11"/>
      <c r="P38" s="11"/>
    </row>
    <row r="39" spans="1:16" ht="14.25" customHeight="1" x14ac:dyDescent="0.25">
      <c r="C39" s="9" t="s">
        <v>102</v>
      </c>
      <c r="G39" s="26"/>
      <c r="H39" s="26"/>
      <c r="I39" s="26"/>
      <c r="J39" s="10"/>
      <c r="K39" s="10"/>
      <c r="L39" s="11">
        <f>-'Assets and Lease Liab schedule'!L26</f>
        <v>-130.92421343649872</v>
      </c>
      <c r="M39" s="11">
        <f>-'Assets and Lease Liab schedule'!M26</f>
        <v>-154.42033366076828</v>
      </c>
      <c r="N39" s="11">
        <f>-'Assets and Lease Liab schedule'!N26</f>
        <v>-182.17233178907384</v>
      </c>
      <c r="O39" s="11">
        <f>-'Assets and Lease Liab schedule'!O26</f>
        <v>-214.95022748874717</v>
      </c>
      <c r="P39" s="11">
        <f>-'Assets and Lease Liab schedule'!P26</f>
        <v>-253.66350809838974</v>
      </c>
    </row>
    <row r="40" spans="1:16" ht="14.25" customHeight="1" x14ac:dyDescent="0.25">
      <c r="C40" s="9" t="s">
        <v>103</v>
      </c>
      <c r="G40" s="26"/>
      <c r="H40" s="26"/>
      <c r="I40" s="26"/>
      <c r="J40" s="10"/>
      <c r="K40" s="10"/>
      <c r="L40" s="11">
        <f>-'Assets and Lease Liab schedule'!L59</f>
        <v>-1.1499999999999999</v>
      </c>
      <c r="M40" s="11">
        <f>-'Assets and Lease Liab schedule'!M59</f>
        <v>-1.1499999999999999</v>
      </c>
      <c r="N40" s="11">
        <f>-'Assets and Lease Liab schedule'!N59</f>
        <v>-1.1499999999999999</v>
      </c>
      <c r="O40" s="11">
        <f>-'Assets and Lease Liab schedule'!O59</f>
        <v>-1.1499999999999999</v>
      </c>
      <c r="P40" s="11">
        <f>-'Assets and Lease Liab schedule'!P59</f>
        <v>-1.1499999999999999</v>
      </c>
    </row>
    <row r="41" spans="1:16" ht="14.25" customHeight="1" x14ac:dyDescent="0.25">
      <c r="C41" s="9" t="s">
        <v>104</v>
      </c>
      <c r="G41" s="26"/>
      <c r="H41" s="26"/>
      <c r="I41" s="26"/>
      <c r="J41" s="26"/>
      <c r="K41" s="26"/>
      <c r="L41" s="11">
        <f>BS!K24-BS!L24</f>
        <v>0</v>
      </c>
      <c r="M41" s="11">
        <f>BS!L24-BS!M24</f>
        <v>0</v>
      </c>
      <c r="N41" s="11">
        <f>BS!M24-BS!N24</f>
        <v>0</v>
      </c>
      <c r="O41" s="11">
        <f>BS!N24-BS!O24</f>
        <v>0</v>
      </c>
      <c r="P41" s="11">
        <f>BS!O24-BS!P24</f>
        <v>0</v>
      </c>
    </row>
    <row r="42" spans="1:16" ht="14.25" customHeight="1" x14ac:dyDescent="0.25">
      <c r="B42" s="12" t="s">
        <v>105</v>
      </c>
      <c r="C42" s="12"/>
      <c r="D42" s="12"/>
      <c r="E42" s="12"/>
      <c r="F42" s="12"/>
      <c r="G42" s="30"/>
      <c r="H42" s="30"/>
      <c r="I42" s="30"/>
      <c r="J42" s="32"/>
      <c r="K42" s="32"/>
      <c r="L42" s="13">
        <f t="shared" ref="L42:P42" si="6">SUM(L39:L41)</f>
        <v>-132.07421343649872</v>
      </c>
      <c r="M42" s="13">
        <f t="shared" si="6"/>
        <v>-155.57033366076828</v>
      </c>
      <c r="N42" s="13">
        <f t="shared" si="6"/>
        <v>-183.32233178907384</v>
      </c>
      <c r="O42" s="13">
        <f t="shared" si="6"/>
        <v>-216.10022748874718</v>
      </c>
      <c r="P42" s="13">
        <f t="shared" si="6"/>
        <v>-254.81350809838975</v>
      </c>
    </row>
    <row r="43" spans="1:16" ht="14.25" customHeight="1" x14ac:dyDescent="0.25">
      <c r="G43" s="26"/>
      <c r="H43" s="26"/>
      <c r="I43" s="26"/>
      <c r="J43" s="26"/>
      <c r="K43" s="26"/>
      <c r="L43" s="11"/>
      <c r="M43" s="11"/>
      <c r="N43" s="11"/>
      <c r="O43" s="11"/>
      <c r="P43" s="11"/>
    </row>
    <row r="44" spans="1:16" ht="14.25" customHeight="1" x14ac:dyDescent="0.25">
      <c r="C44" s="7" t="s">
        <v>106</v>
      </c>
      <c r="G44" s="26"/>
      <c r="H44" s="26"/>
      <c r="I44" s="26"/>
      <c r="J44" s="26"/>
      <c r="K44" s="26"/>
      <c r="L44" s="11"/>
      <c r="M44" s="11"/>
      <c r="N44" s="11"/>
      <c r="O44" s="11"/>
      <c r="P44" s="11"/>
    </row>
    <row r="45" spans="1:16" ht="14.25" customHeight="1" x14ac:dyDescent="0.25">
      <c r="C45" s="9" t="s">
        <v>107</v>
      </c>
      <c r="G45" s="26"/>
      <c r="H45" s="26"/>
      <c r="I45" s="26"/>
      <c r="J45" s="26"/>
      <c r="K45" s="26"/>
      <c r="L45" s="11">
        <f>BS!L38-BS!K38</f>
        <v>4.2101000000016597E-3</v>
      </c>
      <c r="M45" s="11">
        <f>BS!M38-BS!L38</f>
        <v>0</v>
      </c>
      <c r="N45" s="11">
        <f>BS!N38-BS!M38</f>
        <v>0</v>
      </c>
      <c r="O45" s="11">
        <f>BS!O38-BS!N38</f>
        <v>0</v>
      </c>
      <c r="P45" s="11">
        <f>BS!P38-BS!O38</f>
        <v>0</v>
      </c>
    </row>
    <row r="46" spans="1:16" ht="14.25" customHeight="1" x14ac:dyDescent="0.25">
      <c r="C46" s="9" t="s">
        <v>108</v>
      </c>
      <c r="G46" s="26"/>
      <c r="H46" s="26"/>
      <c r="I46" s="26"/>
      <c r="J46" s="26"/>
      <c r="K46" s="26"/>
      <c r="L46" s="11">
        <v>0</v>
      </c>
      <c r="M46" s="11">
        <v>0</v>
      </c>
      <c r="N46" s="11">
        <v>0</v>
      </c>
      <c r="O46" s="11">
        <v>0</v>
      </c>
      <c r="P46" s="11">
        <v>0</v>
      </c>
    </row>
    <row r="47" spans="1:16" ht="14.25" customHeight="1" x14ac:dyDescent="0.25">
      <c r="C47" s="9" t="s">
        <v>109</v>
      </c>
      <c r="G47" s="26"/>
      <c r="H47" s="26"/>
      <c r="I47" s="26"/>
      <c r="J47" s="26"/>
      <c r="K47" s="26"/>
      <c r="L47" s="11">
        <f>BS!L52-BS!K52</f>
        <v>0</v>
      </c>
      <c r="M47" s="11">
        <f>BS!M52-BS!L52</f>
        <v>0</v>
      </c>
      <c r="N47" s="11">
        <f>BS!N52-BS!M52</f>
        <v>0</v>
      </c>
      <c r="O47" s="11">
        <f>BS!O52-BS!N52</f>
        <v>0</v>
      </c>
      <c r="P47" s="11">
        <f>BS!P52-BS!O52</f>
        <v>0</v>
      </c>
    </row>
    <row r="48" spans="1:16" ht="14.25" customHeight="1" x14ac:dyDescent="0.25">
      <c r="C48" s="9" t="s">
        <v>110</v>
      </c>
      <c r="G48" s="26"/>
      <c r="H48" s="26"/>
      <c r="I48" s="26"/>
      <c r="J48" s="26"/>
      <c r="K48" s="10"/>
      <c r="L48" s="11">
        <f>'Assets and Lease Liab schedule'!L87</f>
        <v>-5.0419999999999998</v>
      </c>
      <c r="M48" s="11">
        <f>'Assets and Lease Liab schedule'!M87</f>
        <v>-36.716000000000001</v>
      </c>
      <c r="N48" s="11">
        <f>'Assets and Lease Liab schedule'!N87</f>
        <v>-51.841999999999999</v>
      </c>
      <c r="O48" s="11">
        <f>'Assets and Lease Liab schedule'!O87</f>
        <v>-72.010000000000005</v>
      </c>
      <c r="P48" s="11">
        <f>'Assets and Lease Liab schedule'!P87</f>
        <v>-97.22</v>
      </c>
    </row>
    <row r="49" spans="1:16" ht="14.25" customHeight="1" x14ac:dyDescent="0.25">
      <c r="C49" s="9" t="s">
        <v>111</v>
      </c>
      <c r="G49" s="26"/>
      <c r="H49" s="26"/>
      <c r="I49" s="26"/>
      <c r="J49" s="26"/>
      <c r="K49" s="26"/>
      <c r="L49" s="11">
        <f>'Equity Schedule'!L23</f>
        <v>-62.11</v>
      </c>
      <c r="M49" s="11">
        <f>'Equity Schedule'!M23</f>
        <v>-61.08187598994374</v>
      </c>
      <c r="N49" s="11">
        <f>'Equity Schedule'!N23</f>
        <v>-79.168117165420256</v>
      </c>
      <c r="O49" s="11">
        <f>'Equity Schedule'!O23</f>
        <v>-100.17259496713405</v>
      </c>
      <c r="P49" s="11">
        <f>'Equity Schedule'!P23</f>
        <v>-127.64575518213287</v>
      </c>
    </row>
    <row r="50" spans="1:16" ht="14.25" customHeight="1" x14ac:dyDescent="0.25">
      <c r="C50" s="9" t="s">
        <v>112</v>
      </c>
      <c r="J50" s="10"/>
      <c r="K50" s="10"/>
      <c r="L50" s="11">
        <f>-'P&amp;L'!L24</f>
        <v>-19.272960000000001</v>
      </c>
      <c r="M50" s="11">
        <f>-'P&amp;L'!M24</f>
        <v>-20.917439999999999</v>
      </c>
      <c r="N50" s="11">
        <f>-'P&amp;L'!N24</f>
        <v>-20.746800000000004</v>
      </c>
      <c r="O50" s="11">
        <f>-'P&amp;L'!O24</f>
        <v>-18.156000000000006</v>
      </c>
      <c r="P50" s="11">
        <f>-'P&amp;L'!P24</f>
        <v>-12.54000000000001</v>
      </c>
    </row>
    <row r="51" spans="1:16" ht="14.25" customHeight="1" x14ac:dyDescent="0.25">
      <c r="C51" s="12" t="s">
        <v>113</v>
      </c>
      <c r="D51" s="12"/>
      <c r="E51" s="12"/>
      <c r="F51" s="12"/>
      <c r="G51" s="12"/>
      <c r="H51" s="12"/>
      <c r="I51" s="12"/>
      <c r="J51" s="12"/>
      <c r="K51" s="12"/>
      <c r="L51" s="13">
        <f t="shared" ref="L51:P51" si="7">SUM(L45:L50)</f>
        <v>-86.42074989999999</v>
      </c>
      <c r="M51" s="13">
        <f t="shared" si="7"/>
        <v>-118.71531598994375</v>
      </c>
      <c r="N51" s="13">
        <f t="shared" si="7"/>
        <v>-151.75691716542025</v>
      </c>
      <c r="O51" s="13">
        <f t="shared" si="7"/>
        <v>-190.33859496713404</v>
      </c>
      <c r="P51" s="13">
        <f t="shared" si="7"/>
        <v>-237.40575518213291</v>
      </c>
    </row>
    <row r="52" spans="1:16" ht="14.25" customHeight="1" x14ac:dyDescent="0.25">
      <c r="C52" s="7"/>
      <c r="D52" s="15"/>
      <c r="E52" s="15"/>
      <c r="F52" s="15"/>
      <c r="G52" s="15"/>
      <c r="H52" s="15"/>
      <c r="I52" s="15"/>
      <c r="J52" s="15"/>
      <c r="K52" s="15"/>
      <c r="L52" s="11"/>
      <c r="M52" s="11"/>
      <c r="N52" s="11"/>
      <c r="O52" s="11"/>
      <c r="P52" s="11"/>
    </row>
    <row r="53" spans="1:16" ht="14.25" customHeight="1" x14ac:dyDescent="0.25">
      <c r="A53" s="33" t="s">
        <v>114</v>
      </c>
      <c r="B53" s="34"/>
      <c r="C53" s="34"/>
      <c r="D53" s="34"/>
      <c r="E53" s="34"/>
      <c r="F53" s="34"/>
      <c r="G53" s="34"/>
      <c r="H53" s="34"/>
      <c r="I53" s="34"/>
      <c r="J53" s="35"/>
      <c r="K53" s="35"/>
      <c r="L53" s="35">
        <f t="shared" ref="L53:P53" si="8">L51+L42+L36</f>
        <v>145.16945318198532</v>
      </c>
      <c r="M53" s="35">
        <f t="shared" si="8"/>
        <v>172.86064810354321</v>
      </c>
      <c r="N53" s="35">
        <f t="shared" si="8"/>
        <v>215.03992202956442</v>
      </c>
      <c r="O53" s="35">
        <f t="shared" si="8"/>
        <v>287.30713383634691</v>
      </c>
      <c r="P53" s="35">
        <f t="shared" si="8"/>
        <v>329.14605109074682</v>
      </c>
    </row>
    <row r="54" spans="1:16" ht="14.25" customHeight="1" x14ac:dyDescent="0.25">
      <c r="L54" s="11"/>
      <c r="M54" s="11"/>
      <c r="N54" s="11"/>
      <c r="O54" s="11"/>
      <c r="P54" s="11"/>
    </row>
    <row r="55" spans="1:16" ht="14.25" customHeight="1" x14ac:dyDescent="0.25">
      <c r="C55" s="9" t="s">
        <v>115</v>
      </c>
      <c r="J55" s="11"/>
      <c r="K55" s="11"/>
      <c r="L55" s="11">
        <f t="shared" ref="L55:P55" si="9">K56</f>
        <v>6.34</v>
      </c>
      <c r="M55" s="11">
        <f t="shared" si="9"/>
        <v>151.50945318198532</v>
      </c>
      <c r="N55" s="11">
        <f t="shared" si="9"/>
        <v>324.37010128552856</v>
      </c>
      <c r="O55" s="11">
        <f t="shared" si="9"/>
        <v>539.41002331509299</v>
      </c>
      <c r="P55" s="11">
        <f t="shared" si="9"/>
        <v>826.71715715143989</v>
      </c>
    </row>
    <row r="56" spans="1:16" ht="14.25" customHeight="1" x14ac:dyDescent="0.25">
      <c r="C56" s="36" t="s">
        <v>116</v>
      </c>
      <c r="D56" s="36"/>
      <c r="E56" s="36"/>
      <c r="F56" s="36"/>
      <c r="G56" s="36"/>
      <c r="H56" s="36"/>
      <c r="I56" s="36"/>
      <c r="J56" s="37"/>
      <c r="K56" s="37">
        <f>BS!K21</f>
        <v>6.34</v>
      </c>
      <c r="L56" s="37">
        <f t="shared" ref="L56:P56" si="10">L53+L55</f>
        <v>151.50945318198532</v>
      </c>
      <c r="M56" s="37">
        <f t="shared" si="10"/>
        <v>324.37010128552856</v>
      </c>
      <c r="N56" s="37">
        <f t="shared" si="10"/>
        <v>539.41002331509299</v>
      </c>
      <c r="O56" s="37">
        <f t="shared" si="10"/>
        <v>826.71715715143989</v>
      </c>
      <c r="P56" s="37">
        <f t="shared" si="10"/>
        <v>1155.8632082421868</v>
      </c>
    </row>
    <row r="57" spans="1:16" ht="14.25" customHeight="1" x14ac:dyDescent="0.2"/>
    <row r="58" spans="1:16" ht="14.25" customHeight="1" x14ac:dyDescent="0.2"/>
    <row r="59" spans="1:16" ht="14.25" customHeight="1" x14ac:dyDescent="0.25">
      <c r="L59" s="11"/>
      <c r="M59" s="11"/>
      <c r="N59" s="11"/>
      <c r="O59" s="11"/>
      <c r="P59" s="11"/>
    </row>
    <row r="60" spans="1:16" ht="14.25" customHeight="1" x14ac:dyDescent="0.2"/>
    <row r="61" spans="1:16" ht="14.25" customHeight="1" x14ac:dyDescent="0.2"/>
    <row r="62" spans="1:16" ht="14.25" customHeight="1" x14ac:dyDescent="0.2"/>
    <row r="63" spans="1:16" ht="14.25" customHeight="1" x14ac:dyDescent="0.2"/>
    <row r="64" spans="1:16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J8" sqref="J8"/>
    </sheetView>
  </sheetViews>
  <sheetFormatPr defaultColWidth="12.625" defaultRowHeight="15" customHeight="1" x14ac:dyDescent="0.2"/>
  <cols>
    <col min="1" max="2" width="4.625" customWidth="1"/>
    <col min="3" max="3" width="37.5" customWidth="1"/>
    <col min="4" max="4" width="4.625" customWidth="1"/>
    <col min="5" max="5" width="6.5" customWidth="1"/>
    <col min="6" max="6" width="4.625" customWidth="1"/>
    <col min="7" max="11" width="8.75" customWidth="1"/>
    <col min="12" max="12" width="9.875" customWidth="1"/>
    <col min="13" max="16" width="8.75" customWidth="1"/>
    <col min="17" max="26" width="7.625" customWidth="1"/>
  </cols>
  <sheetData>
    <row r="1" spans="1:26" ht="14.25" customHeight="1" x14ac:dyDescent="0.3">
      <c r="A1" s="1" t="s">
        <v>187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</v>
      </c>
      <c r="B2" s="3"/>
      <c r="C2" s="3"/>
      <c r="D2" s="3"/>
      <c r="E2" s="3"/>
      <c r="F2" s="3"/>
      <c r="G2" s="3">
        <v>1</v>
      </c>
      <c r="H2" s="3">
        <f t="shared" ref="H2:P2" si="0">G2+1</f>
        <v>2</v>
      </c>
      <c r="I2" s="3">
        <f t="shared" si="0"/>
        <v>3</v>
      </c>
      <c r="J2" s="3">
        <f t="shared" si="0"/>
        <v>4</v>
      </c>
      <c r="K2" s="3">
        <f t="shared" si="0"/>
        <v>5</v>
      </c>
      <c r="L2" s="3">
        <f t="shared" si="0"/>
        <v>6</v>
      </c>
      <c r="M2" s="3">
        <f t="shared" si="0"/>
        <v>7</v>
      </c>
      <c r="N2" s="3">
        <f t="shared" si="0"/>
        <v>8</v>
      </c>
      <c r="O2" s="3">
        <f t="shared" si="0"/>
        <v>9</v>
      </c>
      <c r="P2" s="3">
        <f t="shared" si="0"/>
        <v>10</v>
      </c>
    </row>
    <row r="3" spans="1:26" ht="14.25" customHeight="1" x14ac:dyDescent="0.2"/>
    <row r="4" spans="1:26" ht="14.25" customHeight="1" x14ac:dyDescent="0.25">
      <c r="A4" s="3" t="s">
        <v>2</v>
      </c>
      <c r="G4" s="21">
        <v>17</v>
      </c>
      <c r="H4" s="21">
        <f t="shared" ref="H4:P4" si="1">G4+1</f>
        <v>18</v>
      </c>
      <c r="I4" s="21">
        <f t="shared" si="1"/>
        <v>19</v>
      </c>
      <c r="J4" s="21">
        <f t="shared" si="1"/>
        <v>20</v>
      </c>
      <c r="K4" s="21">
        <f t="shared" si="1"/>
        <v>21</v>
      </c>
      <c r="L4" s="22">
        <f t="shared" si="1"/>
        <v>22</v>
      </c>
      <c r="M4" s="22">
        <f t="shared" si="1"/>
        <v>23</v>
      </c>
      <c r="N4" s="22">
        <f t="shared" si="1"/>
        <v>24</v>
      </c>
      <c r="O4" s="22">
        <f t="shared" si="1"/>
        <v>25</v>
      </c>
      <c r="P4" s="22">
        <f t="shared" si="1"/>
        <v>26</v>
      </c>
    </row>
    <row r="5" spans="1:26" ht="14.25" customHeight="1" x14ac:dyDescent="0.25">
      <c r="A5" s="67" t="s">
        <v>188</v>
      </c>
      <c r="B5" s="68"/>
      <c r="C5" s="68"/>
      <c r="D5" s="68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26" ht="14.25" customHeight="1" x14ac:dyDescent="0.25">
      <c r="A6" s="69"/>
      <c r="B6" s="68" t="s">
        <v>189</v>
      </c>
      <c r="C6" s="68"/>
      <c r="D6" s="68"/>
      <c r="E6" s="70"/>
      <c r="F6" s="15"/>
      <c r="G6" s="43">
        <f>'P&amp;L'!G20/'P&amp;L'!G7</f>
        <v>0.1397785674073985</v>
      </c>
      <c r="H6" s="43">
        <f>'P&amp;L'!H20/'P&amp;L'!H7</f>
        <v>0.15377919407057467</v>
      </c>
      <c r="I6" s="43">
        <f>'P&amp;L'!I20/'P&amp;L'!I7</f>
        <v>0.14149157097483497</v>
      </c>
      <c r="J6" s="43">
        <f>'P&amp;L'!J20/'P&amp;L'!J7</f>
        <v>0.16965500647174009</v>
      </c>
      <c r="K6" s="43">
        <f>'P&amp;L'!K20/'P&amp;L'!K7</f>
        <v>0.21002903588156741</v>
      </c>
      <c r="L6" s="43">
        <f>'P&amp;L'!L20/'P&amp;L'!L7</f>
        <v>0.19000013324486276</v>
      </c>
      <c r="M6" s="43">
        <f>'P&amp;L'!M20/'P&amp;L'!M7</f>
        <v>0.1982434067401295</v>
      </c>
      <c r="N6" s="43">
        <f>'P&amp;L'!N20/'P&amp;L'!N7</f>
        <v>0.20594432101330326</v>
      </c>
      <c r="O6" s="43">
        <f>'P&amp;L'!O20/'P&amp;L'!O7</f>
        <v>0.21599601484259956</v>
      </c>
      <c r="P6" s="43">
        <f>'P&amp;L'!P20/'P&amp;L'!P7</f>
        <v>0.21894605513653626</v>
      </c>
      <c r="Q6" s="15"/>
    </row>
    <row r="7" spans="1:26" ht="14.25" customHeight="1" x14ac:dyDescent="0.25">
      <c r="A7" s="69"/>
      <c r="B7" s="68" t="s">
        <v>190</v>
      </c>
      <c r="C7" s="68"/>
      <c r="D7" s="68"/>
      <c r="E7" s="15"/>
      <c r="F7" s="15"/>
      <c r="G7" s="43">
        <f>'P&amp;L'!G23/'P&amp;L'!G7</f>
        <v>0.10862788065158573</v>
      </c>
      <c r="H7" s="43">
        <f>'P&amp;L'!H23/'P&amp;L'!H7</f>
        <v>0.12611736678137264</v>
      </c>
      <c r="I7" s="43">
        <f>'P&amp;L'!I23/'P&amp;L'!I7</f>
        <v>0.11426302746850012</v>
      </c>
      <c r="J7" s="43">
        <f>'P&amp;L'!J23/'P&amp;L'!J7</f>
        <v>0.1242615578639939</v>
      </c>
      <c r="K7" s="43">
        <f>'P&amp;L'!K23/'P&amp;L'!K7</f>
        <v>0.16339359515079574</v>
      </c>
      <c r="L7" s="43">
        <f>'P&amp;L'!L23/'P&amp;L'!L7</f>
        <v>0.14334214814294849</v>
      </c>
      <c r="M7" s="43">
        <f>'P&amp;L'!M23/'P&amp;L'!M7</f>
        <v>0.15813256239504886</v>
      </c>
      <c r="N7" s="43">
        <f>'P&amp;L'!N23/'P&amp;L'!N7</f>
        <v>0.1695188147654545</v>
      </c>
      <c r="O7" s="43">
        <f>'P&amp;L'!O23/'P&amp;L'!O7</f>
        <v>0.18266024441545839</v>
      </c>
      <c r="P7" s="43">
        <f>'P&amp;L'!P23/'P&amp;L'!P7</f>
        <v>0.18819243742758704</v>
      </c>
      <c r="Q7" s="15"/>
    </row>
    <row r="8" spans="1:26" ht="14.25" customHeight="1" x14ac:dyDescent="0.25">
      <c r="A8" s="69"/>
      <c r="B8" s="68" t="s">
        <v>191</v>
      </c>
      <c r="C8" s="68"/>
      <c r="D8" s="68"/>
      <c r="E8" s="15"/>
      <c r="F8" s="15"/>
      <c r="G8" s="43">
        <f>'P&amp;L'!G26/'P&amp;L'!G7</f>
        <v>0.10776830087713463</v>
      </c>
      <c r="H8" s="43">
        <f>'P&amp;L'!H26/'P&amp;L'!H7</f>
        <v>0.12401498645924522</v>
      </c>
      <c r="I8" s="43">
        <f>'P&amp;L'!I26/'P&amp;L'!I7</f>
        <v>0.1169156399427593</v>
      </c>
      <c r="J8" s="43">
        <f>'P&amp;L'!J26/'P&amp;L'!J7</f>
        <v>0.12101739072715809</v>
      </c>
      <c r="K8" s="43">
        <f>'P&amp;L'!K26/'P&amp;L'!K7</f>
        <v>0.16580548078757171</v>
      </c>
      <c r="L8" s="43">
        <f>'P&amp;L'!L26/'P&amp;L'!L7</f>
        <v>0.14902560409405799</v>
      </c>
      <c r="M8" s="43">
        <f>'P&amp;L'!M26/'P&amp;L'!M7</f>
        <v>0.1640776376208074</v>
      </c>
      <c r="N8" s="43">
        <f>'P&amp;L'!N26/'P&amp;L'!N7</f>
        <v>0.17622213443539156</v>
      </c>
      <c r="O8" s="43">
        <f>'P&amp;L'!O26/'P&amp;L'!O7</f>
        <v>0.19052008388149685</v>
      </c>
      <c r="P8" s="43">
        <f>'P&amp;L'!P26/'P&amp;L'!P7</f>
        <v>0.19749557070492929</v>
      </c>
      <c r="Q8" s="15"/>
    </row>
    <row r="9" spans="1:26" ht="14.25" customHeight="1" x14ac:dyDescent="0.25">
      <c r="A9" s="69"/>
      <c r="B9" s="68" t="s">
        <v>192</v>
      </c>
      <c r="C9" s="68"/>
      <c r="D9" s="68"/>
      <c r="E9" s="15"/>
      <c r="F9" s="15"/>
      <c r="G9" s="43">
        <f>'P&amp;L'!G34/'P&amp;L'!G7</f>
        <v>7.2610277426345571E-2</v>
      </c>
      <c r="H9" s="43">
        <f>'P&amp;L'!H34/'P&amp;L'!H7</f>
        <v>8.199283256296945E-2</v>
      </c>
      <c r="I9" s="43">
        <f>'P&amp;L'!I34/'P&amp;L'!I7</f>
        <v>7.654183100066303E-2</v>
      </c>
      <c r="J9" s="43">
        <f>'P&amp;L'!J34/'P&amp;L'!J7</f>
        <v>9.3860973747967216E-2</v>
      </c>
      <c r="K9" s="43">
        <f>'P&amp;L'!K34/'P&amp;L'!K7</f>
        <v>0.12358688510692403</v>
      </c>
      <c r="L9" s="43">
        <f>'P&amp;L'!L34/'P&amp;L'!L7</f>
        <v>0.11108184976175781</v>
      </c>
      <c r="M9" s="43">
        <f>'P&amp;L'!M34/'P&amp;L'!M7</f>
        <v>0.12206651325764702</v>
      </c>
      <c r="N9" s="43">
        <f>'P&amp;L'!N34/'P&amp;L'!N7</f>
        <v>0.13092338235497145</v>
      </c>
      <c r="O9" s="43">
        <f>'P&amp;L'!O34/'P&amp;L'!O7</f>
        <v>0.14139015727967741</v>
      </c>
      <c r="P9" s="43">
        <f>'P&amp;L'!P34/'P&amp;L'!P7</f>
        <v>0.14645989509327387</v>
      </c>
      <c r="Q9" s="15"/>
    </row>
    <row r="10" spans="1:26" ht="14.25" customHeight="1" x14ac:dyDescent="0.25">
      <c r="A10" s="67" t="s">
        <v>193</v>
      </c>
      <c r="B10" s="68"/>
      <c r="C10" s="68"/>
      <c r="D10" s="68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26" ht="14.25" customHeight="1" x14ac:dyDescent="0.25">
      <c r="A11" s="69"/>
      <c r="B11" s="68" t="s">
        <v>194</v>
      </c>
      <c r="C11" s="68"/>
      <c r="D11" s="68"/>
      <c r="E11" s="15"/>
      <c r="F11" s="15"/>
      <c r="G11" s="15"/>
      <c r="H11" s="43">
        <f>'P&amp;L'!H7/'P&amp;L'!G7-1</f>
        <v>0.18914992403009734</v>
      </c>
      <c r="I11" s="43">
        <f>'P&amp;L'!I7/'P&amp;L'!H7-1</f>
        <v>0.16678544521593941</v>
      </c>
      <c r="J11" s="43">
        <f>'P&amp;L'!J7/'P&amp;L'!I7-1</f>
        <v>5.1656137656626244E-2</v>
      </c>
      <c r="K11" s="43">
        <f>'P&amp;L'!K7/'P&amp;L'!J7-1</f>
        <v>-2.1294513955726679E-2</v>
      </c>
      <c r="L11" s="43">
        <f>'P&amp;L'!L7/'P&amp;L'!K7-1</f>
        <v>0.10992699435388764</v>
      </c>
      <c r="M11" s="43">
        <f>'P&amp;L'!M7/'P&amp;L'!L7-1</f>
        <v>0.1794635202117576</v>
      </c>
      <c r="N11" s="43">
        <f>'P&amp;L'!N7/'P&amp;L'!M7-1</f>
        <v>0.1797172527114943</v>
      </c>
      <c r="O11" s="43">
        <f>'P&amp;L'!O7/'P&amp;L'!N7-1</f>
        <v>0.17992795820182428</v>
      </c>
      <c r="P11" s="43">
        <f>'P&amp;L'!P7/'P&amp;L'!O7-1</f>
        <v>0.18010346423880486</v>
      </c>
      <c r="Q11" s="15"/>
    </row>
    <row r="12" spans="1:26" ht="14.25" customHeight="1" x14ac:dyDescent="0.25">
      <c r="A12" s="69"/>
      <c r="B12" s="68" t="s">
        <v>195</v>
      </c>
      <c r="C12" s="68"/>
      <c r="D12" s="68"/>
      <c r="E12" s="3"/>
      <c r="F12" s="15"/>
      <c r="G12" s="15"/>
      <c r="H12" s="43">
        <f>'P&amp;L'!H20/'P&amp;L'!G20-1</f>
        <v>0.30825862890303402</v>
      </c>
      <c r="I12" s="43">
        <f>'P&amp;L'!I20/'P&amp;L'!H20-1</f>
        <v>7.3554238803005934E-2</v>
      </c>
      <c r="J12" s="43">
        <f>'P&amp;L'!J20/'P&amp;L'!I20-1</f>
        <v>0.26098486016465849</v>
      </c>
      <c r="K12" s="43">
        <f>'P&amp;L'!K20/'P&amp;L'!J20-1</f>
        <v>0.21161511187186632</v>
      </c>
      <c r="L12" s="43">
        <f>'P&amp;L'!L20/'P&amp;L'!K20-1</f>
        <v>4.0815353655418996E-3</v>
      </c>
      <c r="M12" s="43">
        <f>'P&amp;L'!M20/'P&amp;L'!L20-1</f>
        <v>0.2306352757718737</v>
      </c>
      <c r="N12" s="43">
        <f>'P&amp;L'!N20/'P&amp;L'!M20-1</f>
        <v>0.22554425689340052</v>
      </c>
      <c r="O12" s="43">
        <f>'P&amp;L'!O20/'P&amp;L'!N20-1</f>
        <v>0.23751767234453847</v>
      </c>
      <c r="P12" s="43">
        <f>'P&amp;L'!P20/'P&amp;L'!O20-1</f>
        <v>0.19622113554424847</v>
      </c>
      <c r="Q12" s="15"/>
    </row>
    <row r="13" spans="1:26" ht="14.25" customHeight="1" x14ac:dyDescent="0.25">
      <c r="A13" s="69"/>
      <c r="B13" s="68" t="s">
        <v>135</v>
      </c>
      <c r="C13" s="68"/>
      <c r="D13" s="68"/>
      <c r="E13" s="15"/>
      <c r="F13" s="15"/>
      <c r="G13" s="15"/>
      <c r="H13" s="20">
        <f>'P&amp;L'!H23/'P&amp;L'!G23-1</f>
        <v>0.38060741153524424</v>
      </c>
      <c r="I13" s="20">
        <f>'P&amp;L'!I23/'P&amp;L'!H23-1</f>
        <v>5.7114026236125381E-2</v>
      </c>
      <c r="J13" s="20">
        <f>'P&amp;L'!J23/'P&amp;L'!I23-1</f>
        <v>0.14368079419625923</v>
      </c>
      <c r="K13" s="20">
        <f>'P&amp;L'!K23/'P&amp;L'!J23-1</f>
        <v>0.28691616866423986</v>
      </c>
      <c r="L13" s="20">
        <f>'P&amp;L'!L23/'P&amp;L'!K23-1</f>
        <v>-2.6281785980044381E-2</v>
      </c>
      <c r="M13" s="20">
        <f>'P&amp;L'!M23/'P&amp;L'!L23-1</f>
        <v>0.30116362227647353</v>
      </c>
      <c r="N13" s="20">
        <f>'P&amp;L'!N23/'P&amp;L'!M23-1</f>
        <v>0.26466217589270014</v>
      </c>
      <c r="O13" s="20">
        <f>'P&amp;L'!O23/'P&amp;L'!N23-1</f>
        <v>0.2713982783325779</v>
      </c>
      <c r="P13" s="20">
        <f>'P&amp;L'!P23/'P&amp;L'!O23-1</f>
        <v>0.21584501358000474</v>
      </c>
      <c r="Q13" s="15"/>
    </row>
    <row r="14" spans="1:26" ht="14.25" customHeight="1" x14ac:dyDescent="0.25">
      <c r="A14" s="69"/>
      <c r="B14" s="68" t="s">
        <v>196</v>
      </c>
      <c r="C14" s="68"/>
      <c r="D14" s="68"/>
      <c r="E14" s="15"/>
      <c r="F14" s="15"/>
      <c r="G14" s="15"/>
      <c r="H14" s="43">
        <f>'P&amp;L'!H26/'P&amp;L'!G26-1</f>
        <v>0.36842105263157654</v>
      </c>
      <c r="I14" s="43">
        <f>'P&amp;L'!I26/'P&amp;L'!H26-1</f>
        <v>9.9991790493391575E-2</v>
      </c>
      <c r="J14" s="43">
        <f>'P&amp;L'!J26/'P&amp;L'!I26-1</f>
        <v>8.8551384431675206E-2</v>
      </c>
      <c r="K14" s="43">
        <f>'P&amp;L'!K26/'P&amp;L'!J26-1</f>
        <v>0.34092077748448713</v>
      </c>
      <c r="L14" s="43">
        <f>'P&amp;L'!L26/'P&amp;L'!K26-1</f>
        <v>-2.4000410106547188E-3</v>
      </c>
      <c r="M14" s="43">
        <f>'P&amp;L'!M26/'P&amp;L'!L26-1</f>
        <v>0.29859287759788944</v>
      </c>
      <c r="N14" s="43">
        <f>'P&amp;L'!N26/'P&amp;L'!M26-1</f>
        <v>0.26703611362034874</v>
      </c>
      <c r="O14" s="43">
        <f>'P&amp;L'!O26/'P&amp;L'!N26-1</f>
        <v>0.27566252838206018</v>
      </c>
      <c r="P14" s="43">
        <f>'P&amp;L'!P26/'P&amp;L'!O26-1</f>
        <v>0.22331043747426138</v>
      </c>
      <c r="Q14" s="15"/>
    </row>
    <row r="15" spans="1:26" ht="14.25" customHeight="1" x14ac:dyDescent="0.25">
      <c r="A15" s="69"/>
      <c r="B15" s="68" t="s">
        <v>197</v>
      </c>
      <c r="C15" s="68"/>
      <c r="D15" s="68"/>
      <c r="E15" s="3"/>
      <c r="F15" s="15"/>
      <c r="G15" s="11"/>
      <c r="H15" s="43">
        <f>'P&amp;L'!H34/'P&amp;L'!G34-1</f>
        <v>0.34280950395997989</v>
      </c>
      <c r="I15" s="43">
        <f>'P&amp;L'!I34/'P&amp;L'!H34-1</f>
        <v>8.921586887688604E-2</v>
      </c>
      <c r="J15" s="43">
        <f>'P&amp;L'!J34/'P&amp;L'!I34-1</f>
        <v>0.28961468308253768</v>
      </c>
      <c r="K15" s="43">
        <f>'P&amp;L'!K34/'P&amp;L'!J34-1</f>
        <v>0.28866298342541352</v>
      </c>
      <c r="L15" s="43">
        <f>'P&amp;L'!L34/'P&amp;L'!K34-1</f>
        <v>-2.3800379249917514E-3</v>
      </c>
      <c r="M15" s="43">
        <f>'P&amp;L'!M34/'P&amp;L'!L34-1</f>
        <v>0.29609832511454237</v>
      </c>
      <c r="N15" s="43">
        <f>'P&amp;L'!N34/'P&amp;L'!M34-1</f>
        <v>0.2653148584780074</v>
      </c>
      <c r="O15" s="43">
        <f>'P&amp;L'!O34/'P&amp;L'!N34-1</f>
        <v>0.27425824622006245</v>
      </c>
      <c r="P15" s="43">
        <f>'P&amp;L'!P34/'P&amp;L'!O34-1</f>
        <v>0.22241769085624408</v>
      </c>
      <c r="Q15" s="15"/>
    </row>
    <row r="16" spans="1:26" ht="14.25" customHeight="1" x14ac:dyDescent="0.25">
      <c r="A16" s="67" t="s">
        <v>198</v>
      </c>
      <c r="B16" s="68"/>
      <c r="C16" s="68"/>
      <c r="D16" s="68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ht="14.25" customHeight="1" x14ac:dyDescent="0.25">
      <c r="A17" s="69"/>
      <c r="B17" s="68" t="s">
        <v>199</v>
      </c>
      <c r="C17" s="68"/>
      <c r="D17" s="68"/>
      <c r="E17" s="15"/>
      <c r="F17" s="15"/>
      <c r="G17" s="11">
        <f>BS!G32/BS!G58</f>
        <v>1.2413649373384832</v>
      </c>
      <c r="H17" s="11">
        <f>BS!H32/BS!H58</f>
        <v>1.3394850973516652</v>
      </c>
      <c r="I17" s="11">
        <f>BS!I32/BS!I58</f>
        <v>1.5790500833260237</v>
      </c>
      <c r="J17" s="11">
        <f>BS!J32/BS!J58</f>
        <v>1.9143479312847813</v>
      </c>
      <c r="K17" s="11">
        <f>BS!K32/BS!K58</f>
        <v>2.4046182279721213</v>
      </c>
      <c r="L17" s="11">
        <f>BS!L32/BS!L58</f>
        <v>2.9576787493778278</v>
      </c>
      <c r="M17" s="11">
        <f>BS!M32/BS!M58</f>
        <v>3.2346892945894727</v>
      </c>
      <c r="N17" s="11">
        <f>BS!N32/BS!N58</f>
        <v>3.4465227318756808</v>
      </c>
      <c r="O17" s="11">
        <f>BS!O32/BS!O58</f>
        <v>3.6767392563677448</v>
      </c>
      <c r="P17" s="11">
        <f>BS!P32/BS!P58</f>
        <v>3.8757788991287092</v>
      </c>
      <c r="Q17" s="15"/>
    </row>
    <row r="18" spans="1:17" ht="14.25" customHeight="1" x14ac:dyDescent="0.25">
      <c r="A18" s="69"/>
      <c r="B18" s="68" t="s">
        <v>200</v>
      </c>
      <c r="C18" s="68"/>
      <c r="D18" s="68"/>
      <c r="E18" s="15"/>
      <c r="F18" s="15"/>
      <c r="G18" s="11">
        <f>(BS!G32-BS!G20)/BS!G58</f>
        <v>0.43493483758023727</v>
      </c>
      <c r="H18" s="11">
        <f>(BS!H32-BS!H20)/BS!H58</f>
        <v>0.61527636799852325</v>
      </c>
      <c r="I18" s="11">
        <f>(BS!I32-BS!I20)/BS!I58</f>
        <v>0.69855714411016545</v>
      </c>
      <c r="J18" s="11">
        <f>(BS!J32-BS!J20)/BS!J58</f>
        <v>0.83101863053472069</v>
      </c>
      <c r="K18" s="11">
        <f>(BS!K32-BS!K20)/BS!K58</f>
        <v>1.4646284709078361</v>
      </c>
      <c r="L18" s="11">
        <f>(BS!L32-BS!L20)/BS!L58</f>
        <v>1.9327139851509432</v>
      </c>
      <c r="M18" s="11">
        <f>(BS!M32-BS!M20)/BS!M58</f>
        <v>2.1425888547876726</v>
      </c>
      <c r="N18" s="11">
        <f>(BS!N32-BS!N20)/BS!N58</f>
        <v>2.3014880436423879</v>
      </c>
      <c r="O18" s="11">
        <f>(BS!O32-BS!O20)/BS!O58</f>
        <v>2.5226131650240871</v>
      </c>
      <c r="P18" s="11">
        <f>(BS!P32-BS!P20)/BS!P58</f>
        <v>2.7158140003579803</v>
      </c>
      <c r="Q18" s="15"/>
    </row>
    <row r="19" spans="1:17" ht="14.25" customHeight="1" x14ac:dyDescent="0.25">
      <c r="A19" s="67" t="s">
        <v>201</v>
      </c>
      <c r="B19" s="68"/>
      <c r="C19" s="68"/>
      <c r="D19" s="68"/>
      <c r="E19" s="15"/>
      <c r="F19" s="15"/>
      <c r="G19" s="15"/>
      <c r="H19" s="15"/>
      <c r="I19" s="15"/>
      <c r="J19" s="15"/>
      <c r="K19" s="15"/>
      <c r="L19" s="11"/>
      <c r="M19" s="11"/>
      <c r="N19" s="11"/>
      <c r="O19" s="11"/>
      <c r="P19" s="11"/>
      <c r="Q19" s="15"/>
    </row>
    <row r="20" spans="1:17" ht="14.25" customHeight="1" x14ac:dyDescent="0.25">
      <c r="A20" s="69"/>
      <c r="B20" s="68" t="s">
        <v>202</v>
      </c>
      <c r="C20" s="68"/>
      <c r="D20" s="68"/>
      <c r="E20" s="15"/>
      <c r="F20" s="15"/>
      <c r="G20" s="43">
        <f>'P&amp;L'!G34/BS!G40</f>
        <v>0.19781651466926148</v>
      </c>
      <c r="H20" s="43">
        <f>'P&amp;L'!H34/BS!H40</f>
        <v>0.21159732531101763</v>
      </c>
      <c r="I20" s="43">
        <f>'P&amp;L'!I34/BS!I40</f>
        <v>0.15875917362700978</v>
      </c>
      <c r="J20" s="43">
        <f>'P&amp;L'!J34/BS!J40</f>
        <v>0.17781358063502048</v>
      </c>
      <c r="K20" s="43">
        <f>'P&amp;L'!K34/BS!K40</f>
        <v>0.18542237711538331</v>
      </c>
      <c r="L20" s="43">
        <f>'P&amp;L'!L34/BS!L40</f>
        <v>0.16148727211648781</v>
      </c>
      <c r="M20" s="43">
        <f>'P&amp;L'!M34/BS!M40</f>
        <v>0.17807127414274998</v>
      </c>
      <c r="N20" s="43">
        <f>'P&amp;L'!N34/BS!N40</f>
        <v>0.18967269662463337</v>
      </c>
      <c r="O20" s="43">
        <f>'P&amp;L'!O34/BS!O40</f>
        <v>0.20109817338154762</v>
      </c>
      <c r="P20" s="43">
        <f>'P&amp;L'!P34/BS!P40</f>
        <v>0.20424303324326848</v>
      </c>
      <c r="Q20" s="43"/>
    </row>
    <row r="21" spans="1:17" ht="14.25" customHeight="1" x14ac:dyDescent="0.25">
      <c r="A21" s="69"/>
      <c r="B21" s="68" t="s">
        <v>203</v>
      </c>
      <c r="C21" s="68"/>
      <c r="D21" s="68"/>
      <c r="G21" s="43">
        <f>'P&amp;L'!G26/(BS!G34-BS!G58)</f>
        <v>0.25058060157360634</v>
      </c>
      <c r="H21" s="43">
        <f>'P&amp;L'!H26/(BS!H34-BS!H58)</f>
        <v>0.29167315175097241</v>
      </c>
      <c r="I21" s="43">
        <f>'P&amp;L'!I26/(BS!I34-BS!I58)</f>
        <v>0.23332636784731631</v>
      </c>
      <c r="J21" s="43">
        <f>'P&amp;L'!J26/(BS!J34-BS!J58)</f>
        <v>0.2043101878440656</v>
      </c>
      <c r="K21" s="43">
        <f>'P&amp;L'!K26/(BS!K34-BS!K58)</f>
        <v>0.22653485530285908</v>
      </c>
      <c r="L21" s="43">
        <f>'P&amp;L'!L26/(BS!L34-BS!L58)</f>
        <v>0.19502593081279959</v>
      </c>
      <c r="M21" s="43">
        <f>'P&amp;L'!M26/(BS!M34-BS!M58)</f>
        <v>0.21743939312492463</v>
      </c>
      <c r="N21" s="43">
        <f>'P&amp;L'!N26/(BS!N34-BS!N58)</f>
        <v>0.23545237280666387</v>
      </c>
      <c r="O21" s="43">
        <f>'P&amp;L'!O26/(BS!O34-BS!O58)</f>
        <v>0.25491824179054418</v>
      </c>
      <c r="P21" s="43">
        <f>'P&amp;L'!P26/(BS!P34-BS!P58)</f>
        <v>0.26495616177453729</v>
      </c>
    </row>
    <row r="22" spans="1:17" ht="14.25" customHeight="1" x14ac:dyDescent="0.25">
      <c r="A22" s="69"/>
      <c r="B22" s="68" t="s">
        <v>204</v>
      </c>
      <c r="C22" s="68"/>
      <c r="D22" s="68"/>
      <c r="G22" s="43">
        <f>'P&amp;L'!G34/(BS!G34-BS!G58)</f>
        <v>0.16883190000985276</v>
      </c>
      <c r="H22" s="43">
        <f>'P&amp;L'!H34/(BS!H34-BS!H58)</f>
        <v>0.19284046692606968</v>
      </c>
      <c r="I22" s="43">
        <f>'P&amp;L'!I34/(BS!I34-BS!I58)</f>
        <v>0.15275310834813474</v>
      </c>
      <c r="J22" s="43">
        <f>'P&amp;L'!J34/(BS!J34-BS!J58)</f>
        <v>0.15846278838476516</v>
      </c>
      <c r="K22" s="43">
        <f>'P&amp;L'!K34/(BS!K34-BS!K58)</f>
        <v>0.16885290523596888</v>
      </c>
      <c r="L22" s="43">
        <f>'P&amp;L'!L34/(BS!L34-BS!L58)</f>
        <v>0.14536992671756707</v>
      </c>
      <c r="M22" s="43">
        <f>'P&amp;L'!M34/(BS!M34-BS!M58)</f>
        <v>0.16176530177109533</v>
      </c>
      <c r="N22" s="43">
        <f>'P&amp;L'!N34/(BS!N34-BS!N58)</f>
        <v>0.17492820144369534</v>
      </c>
      <c r="O22" s="43">
        <f>'P&amp;L'!O34/(BS!O34-BS!O58)</f>
        <v>0.189181788953245</v>
      </c>
      <c r="P22" s="43">
        <f>'P&amp;L'!P34/(BS!P34-BS!P58)</f>
        <v>0.1964877061257895</v>
      </c>
    </row>
    <row r="23" spans="1:17" ht="14.25" customHeight="1" x14ac:dyDescent="0.25">
      <c r="A23" s="69"/>
      <c r="B23" s="68" t="s">
        <v>205</v>
      </c>
      <c r="C23" s="68"/>
      <c r="D23" s="68"/>
      <c r="G23" s="43">
        <f>'P&amp;L'!G34/BS!G34</f>
        <v>0.11206719360203309</v>
      </c>
      <c r="H23" s="43">
        <f>'P&amp;L'!H34/BS!H34</f>
        <v>0.12695372537892199</v>
      </c>
      <c r="I23" s="43">
        <f>'P&amp;L'!I34/BS!I34</f>
        <v>0.10933838560103687</v>
      </c>
      <c r="J23" s="43">
        <f>'P&amp;L'!J34/BS!J34</f>
        <v>0.12288982553718471</v>
      </c>
      <c r="K23" s="43">
        <f>'P&amp;L'!K34/BS!K34</f>
        <v>0.13400128688298549</v>
      </c>
      <c r="L23" s="43">
        <f>'P&amp;L'!L34/BS!L34</f>
        <v>0.11958447066659719</v>
      </c>
      <c r="M23" s="43">
        <f>'P&amp;L'!M34/BS!M34</f>
        <v>0.13372302685497403</v>
      </c>
      <c r="N23" s="43">
        <f>'P&amp;L'!N34/BS!N34</f>
        <v>0.14481071621195218</v>
      </c>
      <c r="O23" s="43">
        <f>'P&amp;L'!O34/BS!O34</f>
        <v>0.15718973411436074</v>
      </c>
      <c r="P23" s="43">
        <f>'P&amp;L'!P34/BS!P34</f>
        <v>0.16380549425581431</v>
      </c>
    </row>
    <row r="24" spans="1:17" ht="14.25" customHeight="1" x14ac:dyDescent="0.2">
      <c r="A24" s="67" t="s">
        <v>206</v>
      </c>
      <c r="B24" s="68"/>
      <c r="C24" s="68"/>
      <c r="D24" s="68"/>
    </row>
    <row r="25" spans="1:17" ht="14.25" customHeight="1" x14ac:dyDescent="0.25">
      <c r="A25" s="69"/>
      <c r="B25" s="68" t="s">
        <v>207</v>
      </c>
      <c r="C25" s="68"/>
      <c r="D25" s="68"/>
      <c r="G25" s="11">
        <f>BS!G44/BS!G40</f>
        <v>0.11699127595362567</v>
      </c>
      <c r="H25" s="11">
        <f>BS!H44/BS!H40</f>
        <v>5.1575780664993895E-2</v>
      </c>
      <c r="I25" s="11">
        <f>BS!I44/BS!I40</f>
        <v>0</v>
      </c>
      <c r="J25" s="11">
        <f>BS!J44/BS!J40</f>
        <v>9.4137063816409947E-2</v>
      </c>
      <c r="K25" s="11">
        <f>BS!K44/BS!K40</f>
        <v>7.328241361985742E-2</v>
      </c>
      <c r="L25" s="11">
        <f>BS!L44/BS!L40</f>
        <v>8.9168692836391061E-2</v>
      </c>
      <c r="M25" s="11">
        <f>BS!M44/BS!M40</f>
        <v>8.2336069372950516E-2</v>
      </c>
      <c r="N25" s="11">
        <f>BS!N44/BS!N40</f>
        <v>6.8745624802275446E-2</v>
      </c>
      <c r="O25" s="11">
        <f>BS!O44/BS!O40</f>
        <v>5.0056441389178911E-2</v>
      </c>
      <c r="P25" s="11">
        <f>BS!P44/BS!P40</f>
        <v>2.8724788081265162E-2</v>
      </c>
    </row>
    <row r="26" spans="1:17" ht="14.25" customHeight="1" x14ac:dyDescent="0.25">
      <c r="A26" s="69"/>
      <c r="B26" s="68" t="s">
        <v>208</v>
      </c>
      <c r="C26" s="68"/>
      <c r="D26" s="68"/>
      <c r="G26" s="11">
        <f>BS!G44/'P&amp;L'!G20</f>
        <v>0.30721926291628759</v>
      </c>
      <c r="H26" s="11">
        <f>BS!H44/'P&amp;L'!H20</f>
        <v>0.12996126982025236</v>
      </c>
      <c r="I26" s="11">
        <f>BS!I44/'P&amp;L'!I20</f>
        <v>0</v>
      </c>
      <c r="J26" s="11">
        <f>BS!J44/'P&amp;L'!J20</f>
        <v>0.29289644210783711</v>
      </c>
      <c r="K26" s="11">
        <f>BS!K44/'P&amp;L'!K20</f>
        <v>0.23255767018506943</v>
      </c>
      <c r="L26" s="11">
        <f>BS!L44/'P&amp;L'!L20</f>
        <v>0.32282213051645731</v>
      </c>
      <c r="M26" s="11">
        <f>BS!M44/'P&amp;L'!M20</f>
        <v>0.28470431631911153</v>
      </c>
      <c r="N26" s="11">
        <f>BS!N44/'P&amp;L'!N20</f>
        <v>0.23041335132037724</v>
      </c>
      <c r="O26" s="11">
        <f>BS!O44/'P&amp;L'!O20</f>
        <v>0.16293908938560989</v>
      </c>
      <c r="P26" s="11">
        <f>BS!P44/'P&amp;L'!P20</f>
        <v>9.4078671439966816E-2</v>
      </c>
    </row>
    <row r="27" spans="1:17" ht="14.25" customHeight="1" x14ac:dyDescent="0.25">
      <c r="A27" s="69"/>
      <c r="B27" s="68" t="s">
        <v>209</v>
      </c>
      <c r="C27" s="68"/>
      <c r="D27" s="68"/>
      <c r="G27" s="11">
        <f>'P&amp;L'!G20/'P&amp;L'!G24</f>
        <v>15.363273453093818</v>
      </c>
      <c r="H27" s="11">
        <f>'P&amp;L'!H20/'P&amp;L'!H24</f>
        <v>35.167636786961545</v>
      </c>
      <c r="I27" s="11">
        <f>'P&amp;L'!I20/'P&amp;L'!I24</f>
        <v>47.001449275362276</v>
      </c>
      <c r="J27" s="11">
        <f>'P&amp;L'!J20/'P&amp;L'!J24</f>
        <v>24.241256668642563</v>
      </c>
      <c r="K27" s="11">
        <f>'P&amp;L'!K20/'P&amp;L'!K24</f>
        <v>29.009953161592495</v>
      </c>
      <c r="L27" s="11">
        <f>'P&amp;L'!L20/'P&amp;L'!L24</f>
        <v>25.814008847539355</v>
      </c>
      <c r="M27" s="11">
        <f>'P&amp;L'!M20/'P&amp;L'!M24</f>
        <v>29.270133453097696</v>
      </c>
      <c r="N27" s="11">
        <f>'P&amp;L'!N20/'P&amp;L'!N24</f>
        <v>36.166885666908627</v>
      </c>
      <c r="O27" s="11">
        <f>'P&amp;L'!O20/'P&amp;L'!O24</f>
        <v>51.143856055386173</v>
      </c>
      <c r="P27" s="11">
        <f>'P&amp;L'!P20/'P&amp;L'!P24</f>
        <v>88.578348373584049</v>
      </c>
    </row>
    <row r="28" spans="1:17" ht="14.25" customHeight="1" x14ac:dyDescent="0.25">
      <c r="A28" s="69"/>
      <c r="B28" s="68" t="s">
        <v>210</v>
      </c>
      <c r="C28" s="68"/>
      <c r="D28" s="68"/>
      <c r="G28" s="71">
        <f>('P&amp;L'!G20-'Assets and Lease Liab schedule'!G7)/(BS!G52+BS!G44+'P&amp;L'!G24)</f>
        <v>1.1570883834944852</v>
      </c>
      <c r="H28" s="71">
        <f>('P&amp;L'!H20-'Assets and Lease Liab schedule'!H7)/(BS!H52+BS!H44+'P&amp;L'!H24)</f>
        <v>1.983649395251603</v>
      </c>
      <c r="I28" s="71">
        <f>('P&amp;L'!I20-'Assets and Lease Liab schedule'!I7)/(BS!I52+BS!I44+'P&amp;L'!I24)</f>
        <v>0.96141547644425174</v>
      </c>
      <c r="J28" s="71">
        <f>('P&amp;L'!J20-'Assets and Lease Liab schedule'!J7)/(BS!J52+BS!J44+'P&amp;L'!J24)</f>
        <v>2.2130800333739815</v>
      </c>
      <c r="K28" s="71">
        <f>('P&amp;L'!K20-'Assets and Lease Liab schedule'!K7)/(BS!K52+BS!K44+'P&amp;L'!K24)</f>
        <v>3.4828055324616414</v>
      </c>
      <c r="L28" s="71">
        <f>('P&amp;L'!L20-'Assets and Lease Liab schedule'!L7)/(BS!L52+BS!L44+'P&amp;L'!L24)</f>
        <v>2.0379485773356634</v>
      </c>
      <c r="M28" s="71">
        <f>('P&amp;L'!M20-'Assets and Lease Liab schedule'!M7)/(BS!M52+BS!M44+'P&amp;L'!M24)</f>
        <v>2.3451172458231482</v>
      </c>
      <c r="N28" s="71">
        <f>('P&amp;L'!N20-'Assets and Lease Liab schedule'!N7)/(BS!N52+BS!N44+'P&amp;L'!N24)</f>
        <v>2.9342295047488189</v>
      </c>
      <c r="O28" s="71">
        <f>('P&amp;L'!O20-'Assets and Lease Liab schedule'!O7)/(BS!O52+BS!O44+'P&amp;L'!O24)</f>
        <v>4.2112266491174362</v>
      </c>
      <c r="P28" s="71">
        <f>('P&amp;L'!P20-'Assets and Lease Liab schedule'!P7)/(BS!P52+BS!P44+'P&amp;L'!P24)</f>
        <v>7.323214119158874</v>
      </c>
    </row>
    <row r="29" spans="1:17" ht="14.25" customHeight="1" x14ac:dyDescent="0.2">
      <c r="A29" s="68"/>
      <c r="B29" s="68"/>
      <c r="C29" s="69"/>
      <c r="D29" s="68"/>
    </row>
    <row r="30" spans="1:17" ht="14.25" customHeight="1" x14ac:dyDescent="0.2">
      <c r="A30" s="68"/>
      <c r="B30" s="68"/>
      <c r="C30" s="69"/>
      <c r="D30" s="68"/>
    </row>
    <row r="31" spans="1:17" ht="14.25" customHeight="1" x14ac:dyDescent="0.2">
      <c r="A31" s="68"/>
      <c r="B31" s="68"/>
      <c r="C31" s="69"/>
      <c r="D31" s="68"/>
    </row>
    <row r="32" spans="1:17" ht="14.25" customHeight="1" x14ac:dyDescent="0.2">
      <c r="A32" s="68"/>
      <c r="B32" s="68"/>
      <c r="C32" s="69"/>
      <c r="D32" s="68"/>
    </row>
    <row r="33" spans="1:4" ht="14.25" customHeight="1" x14ac:dyDescent="0.2">
      <c r="A33" s="68"/>
      <c r="B33" s="68"/>
      <c r="C33" s="69"/>
      <c r="D33" s="68"/>
    </row>
    <row r="34" spans="1:4" ht="14.25" customHeight="1" x14ac:dyDescent="0.2">
      <c r="A34" s="68"/>
      <c r="B34" s="68"/>
      <c r="C34" s="69"/>
      <c r="D34" s="68"/>
    </row>
    <row r="35" spans="1:4" ht="14.25" customHeight="1" x14ac:dyDescent="0.2">
      <c r="A35" s="68"/>
      <c r="B35" s="68"/>
      <c r="C35" s="69"/>
      <c r="D35" s="68"/>
    </row>
    <row r="36" spans="1:4" ht="14.25" customHeight="1" x14ac:dyDescent="0.2"/>
    <row r="37" spans="1:4" ht="14.25" customHeight="1" x14ac:dyDescent="0.2"/>
    <row r="38" spans="1:4" ht="14.25" customHeight="1" x14ac:dyDescent="0.2"/>
    <row r="39" spans="1:4" ht="14.25" customHeight="1" x14ac:dyDescent="0.2"/>
    <row r="40" spans="1:4" ht="14.25" customHeight="1" x14ac:dyDescent="0.2"/>
    <row r="41" spans="1:4" ht="14.25" customHeight="1" x14ac:dyDescent="0.2"/>
    <row r="42" spans="1:4" ht="14.25" customHeight="1" x14ac:dyDescent="0.2"/>
    <row r="43" spans="1:4" ht="14.25" customHeight="1" x14ac:dyDescent="0.2"/>
    <row r="44" spans="1:4" ht="14.25" customHeight="1" x14ac:dyDescent="0.2"/>
    <row r="45" spans="1:4" ht="14.25" customHeight="1" x14ac:dyDescent="0.2"/>
    <row r="46" spans="1:4" ht="14.25" customHeight="1" x14ac:dyDescent="0.2"/>
    <row r="47" spans="1:4" ht="14.25" customHeight="1" x14ac:dyDescent="0.2"/>
    <row r="48" spans="1: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93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J21" sqref="J21"/>
    </sheetView>
  </sheetViews>
  <sheetFormatPr defaultColWidth="12.625" defaultRowHeight="15" customHeight="1" x14ac:dyDescent="0.2"/>
  <cols>
    <col min="1" max="2" width="4.625" customWidth="1"/>
    <col min="3" max="3" width="37.5" customWidth="1"/>
    <col min="4" max="4" width="4.625" customWidth="1"/>
    <col min="5" max="6" width="6.375" customWidth="1"/>
    <col min="7" max="7" width="14.625" customWidth="1"/>
    <col min="8" max="8" width="8.25" customWidth="1"/>
    <col min="9" max="16" width="8.75" customWidth="1"/>
    <col min="17" max="26" width="7.625" customWidth="1"/>
  </cols>
  <sheetData>
    <row r="1" spans="1:26" ht="14.25" customHeight="1" x14ac:dyDescent="0.3">
      <c r="A1" s="1" t="s">
        <v>276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</v>
      </c>
      <c r="B2" s="3"/>
      <c r="C2" s="3"/>
      <c r="D2" s="3"/>
      <c r="E2" s="3"/>
      <c r="F2" s="3"/>
      <c r="G2" s="3">
        <v>1</v>
      </c>
      <c r="H2" s="3">
        <f t="shared" ref="H2:P2" si="0">G2+1</f>
        <v>2</v>
      </c>
      <c r="I2" s="3">
        <f t="shared" si="0"/>
        <v>3</v>
      </c>
      <c r="J2" s="3">
        <f t="shared" si="0"/>
        <v>4</v>
      </c>
      <c r="K2" s="3">
        <f t="shared" si="0"/>
        <v>5</v>
      </c>
      <c r="L2" s="3">
        <f t="shared" si="0"/>
        <v>6</v>
      </c>
      <c r="M2" s="3">
        <f t="shared" si="0"/>
        <v>7</v>
      </c>
      <c r="N2" s="3">
        <f t="shared" si="0"/>
        <v>8</v>
      </c>
      <c r="O2" s="3">
        <f t="shared" si="0"/>
        <v>9</v>
      </c>
      <c r="P2" s="3">
        <f t="shared" si="0"/>
        <v>10</v>
      </c>
    </row>
    <row r="3" spans="1:26" ht="14.25" customHeight="1" x14ac:dyDescent="0.2"/>
    <row r="4" spans="1:26" ht="14.25" customHeight="1" x14ac:dyDescent="0.25">
      <c r="A4" s="3" t="s">
        <v>2</v>
      </c>
      <c r="G4" s="21">
        <v>17</v>
      </c>
      <c r="H4" s="21">
        <f t="shared" ref="H4:P4" si="1">G4+1</f>
        <v>18</v>
      </c>
      <c r="I4" s="21">
        <f t="shared" si="1"/>
        <v>19</v>
      </c>
      <c r="J4" s="21">
        <f t="shared" si="1"/>
        <v>20</v>
      </c>
      <c r="K4" s="21">
        <f t="shared" si="1"/>
        <v>21</v>
      </c>
      <c r="L4" s="22">
        <f t="shared" si="1"/>
        <v>22</v>
      </c>
      <c r="M4" s="22">
        <f t="shared" si="1"/>
        <v>23</v>
      </c>
      <c r="N4" s="22">
        <f t="shared" si="1"/>
        <v>24</v>
      </c>
      <c r="O4" s="22">
        <f t="shared" si="1"/>
        <v>25</v>
      </c>
      <c r="P4" s="22">
        <f t="shared" si="1"/>
        <v>26</v>
      </c>
    </row>
    <row r="5" spans="1:26" ht="14.25" customHeight="1" x14ac:dyDescent="0.25">
      <c r="A5" s="28" t="s">
        <v>277</v>
      </c>
      <c r="G5" s="21"/>
      <c r="H5" s="21"/>
      <c r="I5" s="21"/>
      <c r="J5" s="21"/>
      <c r="K5" s="21"/>
      <c r="L5" s="22"/>
      <c r="M5" s="22"/>
      <c r="N5" s="22"/>
      <c r="O5" s="22"/>
      <c r="P5" s="22"/>
    </row>
    <row r="6" spans="1:26" ht="14.25" customHeight="1" x14ac:dyDescent="0.25">
      <c r="B6" s="7" t="s">
        <v>278</v>
      </c>
      <c r="G6" s="25"/>
      <c r="H6" s="59"/>
      <c r="I6" s="59"/>
      <c r="J6" s="59"/>
      <c r="K6" s="59"/>
      <c r="L6" s="43"/>
      <c r="M6" s="43"/>
      <c r="N6" s="43"/>
      <c r="O6" s="43"/>
      <c r="P6" s="43"/>
    </row>
    <row r="7" spans="1:26" ht="14.25" customHeight="1" x14ac:dyDescent="0.25">
      <c r="A7" s="7"/>
      <c r="C7" s="9" t="s">
        <v>44</v>
      </c>
      <c r="E7" s="3" t="s">
        <v>279</v>
      </c>
      <c r="G7" s="25"/>
      <c r="H7" s="97">
        <f>(AVERAGE(BS!G20:H20)/'P&amp;L'!H10)*365</f>
        <v>123.80891154705624</v>
      </c>
      <c r="I7" s="97">
        <f>(AVERAGE(BS!H20:I20)/'P&amp;L'!I10)*365</f>
        <v>121.76707978961502</v>
      </c>
      <c r="J7" s="97">
        <f>(AVERAGE(BS!I20:J20)/'P&amp;L'!J10)*365</f>
        <v>149.12981564869338</v>
      </c>
      <c r="K7" s="97">
        <f>(AVERAGE(BS!J20:K20)/'P&amp;L'!K10)*365</f>
        <v>158.23409217765729</v>
      </c>
      <c r="L7" s="97">
        <f t="shared" ref="L7:P7" si="2">AVERAGE(H7:K7)</f>
        <v>138.2349747907555</v>
      </c>
      <c r="M7" s="97">
        <f t="shared" si="2"/>
        <v>141.84149060168031</v>
      </c>
      <c r="N7" s="97">
        <f t="shared" si="2"/>
        <v>146.86009330469662</v>
      </c>
      <c r="O7" s="97">
        <f t="shared" si="2"/>
        <v>146.29266271869744</v>
      </c>
      <c r="P7" s="97">
        <f t="shared" si="2"/>
        <v>143.30730535395747</v>
      </c>
    </row>
    <row r="8" spans="1:26" ht="14.25" customHeight="1" x14ac:dyDescent="0.25">
      <c r="B8" s="7"/>
      <c r="C8" s="9" t="s">
        <v>49</v>
      </c>
      <c r="E8" s="3" t="s">
        <v>280</v>
      </c>
      <c r="F8" s="20"/>
      <c r="G8" s="61"/>
      <c r="H8" s="97">
        <f>AVERAGE(BS!G27:H27)/'P&amp;L'!H6*365</f>
        <v>29.313303027834902</v>
      </c>
      <c r="I8" s="97">
        <f>AVERAGE(BS!H27:I27)/'P&amp;L'!I6*365</f>
        <v>30.968181738857282</v>
      </c>
      <c r="J8" s="97">
        <f>AVERAGE(BS!I27:J27)/'P&amp;L'!J6*365</f>
        <v>27.912397115927117</v>
      </c>
      <c r="K8" s="97">
        <f>AVERAGE(BS!J27:K27)/'P&amp;L'!K6*365</f>
        <v>27.349278341775641</v>
      </c>
      <c r="L8" s="97">
        <f t="shared" ref="L8:P8" si="3">AVERAGE(H8:K8)</f>
        <v>28.885790056098738</v>
      </c>
      <c r="M8" s="97">
        <f t="shared" si="3"/>
        <v>28.778911813164697</v>
      </c>
      <c r="N8" s="97">
        <f t="shared" si="3"/>
        <v>28.231594331741547</v>
      </c>
      <c r="O8" s="97">
        <f t="shared" si="3"/>
        <v>28.311393635695154</v>
      </c>
      <c r="P8" s="97">
        <f t="shared" si="3"/>
        <v>28.551922459175035</v>
      </c>
    </row>
    <row r="9" spans="1:26" ht="14.25" customHeight="1" x14ac:dyDescent="0.25">
      <c r="C9" s="9" t="s">
        <v>50</v>
      </c>
      <c r="E9" s="9" t="s">
        <v>281</v>
      </c>
      <c r="G9" s="43">
        <f>BS!G28/'P&amp;L'!G10</f>
        <v>1.4879796424027321E-2</v>
      </c>
      <c r="H9" s="43">
        <f>BS!H28/'P&amp;L'!H10</f>
        <v>9.410126553849955E-3</v>
      </c>
      <c r="I9" s="43">
        <f>BS!I28/'P&amp;L'!I10</f>
        <v>1.3270292450014919E-2</v>
      </c>
      <c r="J9" s="43">
        <f>BS!J28/'P&amp;L'!J10</f>
        <v>8.7653465727591112E-3</v>
      </c>
      <c r="K9" s="43">
        <f>BS!K28/'P&amp;L'!K10</f>
        <v>8.8210669005661432E-3</v>
      </c>
      <c r="L9" s="98">
        <v>0.01</v>
      </c>
      <c r="M9" s="98">
        <v>0.01</v>
      </c>
      <c r="N9" s="98">
        <v>0.01</v>
      </c>
      <c r="O9" s="98">
        <v>0.01</v>
      </c>
      <c r="P9" s="98">
        <v>0.01</v>
      </c>
    </row>
    <row r="10" spans="1:26" ht="14.25" customHeight="1" x14ac:dyDescent="0.25">
      <c r="B10" s="7"/>
      <c r="C10" s="9" t="s">
        <v>51</v>
      </c>
      <c r="E10" s="9" t="s">
        <v>281</v>
      </c>
      <c r="G10" s="43">
        <f>BS!G29/'P&amp;L'!G10</f>
        <v>1.4210138619165607E-2</v>
      </c>
      <c r="H10" s="43">
        <f>BS!H29/'P&amp;L'!H10</f>
        <v>1.0274780187079604E-2</v>
      </c>
      <c r="I10" s="43">
        <f>BS!I29/'P&amp;L'!I10</f>
        <v>8.0479707549985079E-3</v>
      </c>
      <c r="J10" s="43">
        <f>BS!J29/'P&amp;L'!J10</f>
        <v>8.9770234384020323E-3</v>
      </c>
      <c r="K10" s="43">
        <f>BS!K29/'P&amp;L'!K10</f>
        <v>9.3094649549477718E-3</v>
      </c>
      <c r="L10" s="98">
        <v>0.01</v>
      </c>
      <c r="M10" s="98">
        <v>0.01</v>
      </c>
      <c r="N10" s="98">
        <v>0.01</v>
      </c>
      <c r="O10" s="98">
        <v>0.01</v>
      </c>
      <c r="P10" s="98">
        <v>0.01</v>
      </c>
    </row>
    <row r="11" spans="1:26" ht="14.25" customHeight="1" x14ac:dyDescent="0.25">
      <c r="C11" s="9" t="s">
        <v>39</v>
      </c>
      <c r="E11" s="9" t="s">
        <v>282</v>
      </c>
      <c r="G11" s="11">
        <f>BS!G25</f>
        <v>0.28000000000000003</v>
      </c>
      <c r="H11" s="11">
        <f>BS!H25</f>
        <v>0.39</v>
      </c>
      <c r="I11" s="11">
        <f>BS!I25</f>
        <v>0.39</v>
      </c>
      <c r="J11" s="11">
        <f>BS!J25</f>
        <v>0.28000000000000003</v>
      </c>
      <c r="K11" s="11">
        <f>BS!K25</f>
        <v>0.41</v>
      </c>
      <c r="L11" s="11">
        <f t="shared" ref="L11:P11" si="4">K11</f>
        <v>0.41</v>
      </c>
      <c r="M11" s="11">
        <f t="shared" si="4"/>
        <v>0.41</v>
      </c>
      <c r="N11" s="11">
        <f t="shared" si="4"/>
        <v>0.41</v>
      </c>
      <c r="O11" s="11">
        <f t="shared" si="4"/>
        <v>0.41</v>
      </c>
      <c r="P11" s="11">
        <f t="shared" si="4"/>
        <v>0.41</v>
      </c>
    </row>
    <row r="12" spans="1:26" ht="14.25" customHeight="1" x14ac:dyDescent="0.25">
      <c r="C12" s="9" t="s">
        <v>48</v>
      </c>
      <c r="E12" s="9" t="s">
        <v>282</v>
      </c>
      <c r="G12" s="11">
        <f>BS!G26</f>
        <v>3.43</v>
      </c>
      <c r="H12" s="11">
        <f>BS!H26</f>
        <v>1.25</v>
      </c>
      <c r="I12" s="11">
        <f>BS!I26</f>
        <v>43.07</v>
      </c>
      <c r="J12" s="11">
        <f>BS!J26</f>
        <v>1.87</v>
      </c>
      <c r="K12" s="11">
        <f>BS!K26</f>
        <v>7.0000000000000007E-2</v>
      </c>
      <c r="L12" s="11">
        <f t="shared" ref="L12:P12" si="5">K12</f>
        <v>7.0000000000000007E-2</v>
      </c>
      <c r="M12" s="11">
        <f t="shared" si="5"/>
        <v>7.0000000000000007E-2</v>
      </c>
      <c r="N12" s="11">
        <f t="shared" si="5"/>
        <v>7.0000000000000007E-2</v>
      </c>
      <c r="O12" s="11">
        <f t="shared" si="5"/>
        <v>7.0000000000000007E-2</v>
      </c>
      <c r="P12" s="11">
        <f t="shared" si="5"/>
        <v>7.0000000000000007E-2</v>
      </c>
    </row>
    <row r="13" spans="1:26" ht="14.25" customHeight="1" x14ac:dyDescent="0.25">
      <c r="H13" s="43"/>
      <c r="I13" s="43"/>
      <c r="J13" s="43"/>
      <c r="K13" s="43"/>
      <c r="L13" s="43"/>
      <c r="M13" s="43"/>
      <c r="N13" s="43"/>
      <c r="O13" s="43"/>
      <c r="P13" s="43"/>
    </row>
    <row r="14" spans="1:26" ht="14.25" customHeight="1" x14ac:dyDescent="0.25">
      <c r="H14" s="43"/>
      <c r="I14" s="43"/>
      <c r="J14" s="43"/>
      <c r="K14" s="43"/>
      <c r="L14" s="43"/>
      <c r="M14" s="43"/>
      <c r="N14" s="43"/>
      <c r="O14" s="43"/>
      <c r="P14" s="43"/>
    </row>
    <row r="15" spans="1:26" ht="14.25" customHeight="1" x14ac:dyDescent="0.25">
      <c r="C15" s="9" t="s">
        <v>283</v>
      </c>
      <c r="E15" s="9" t="s">
        <v>284</v>
      </c>
      <c r="H15" s="97">
        <f>AVERAGE(BS!G53:H53)/'P&amp;L'!H10*365</f>
        <v>61.603202587223336</v>
      </c>
      <c r="I15" s="97">
        <f>AVERAGE(BS!H53:I53)/'P&amp;L'!I10*365</f>
        <v>59.008877946881519</v>
      </c>
      <c r="J15" s="97">
        <f>AVERAGE(BS!I53:J53)/'P&amp;L'!J10*365</f>
        <v>62.443544817765471</v>
      </c>
      <c r="K15" s="97">
        <f>AVERAGE(BS!J53:K53)/'P&amp;L'!K10*365</f>
        <v>73.960085918188341</v>
      </c>
      <c r="L15" s="97">
        <f t="shared" ref="L15:P15" si="6">AVERAGE(H15:K15)</f>
        <v>64.253927817514665</v>
      </c>
      <c r="M15" s="97">
        <f t="shared" si="6"/>
        <v>64.91660912508749</v>
      </c>
      <c r="N15" s="97">
        <f t="shared" si="6"/>
        <v>66.393541919638992</v>
      </c>
      <c r="O15" s="97">
        <f t="shared" si="6"/>
        <v>67.381041195107372</v>
      </c>
      <c r="P15" s="97">
        <f t="shared" si="6"/>
        <v>65.736280014337126</v>
      </c>
    </row>
    <row r="16" spans="1:26" ht="14.25" customHeight="1" x14ac:dyDescent="0.25">
      <c r="C16" s="9" t="s">
        <v>285</v>
      </c>
      <c r="E16" s="9" t="s">
        <v>178</v>
      </c>
      <c r="G16" s="43">
        <f>BS!G54/'P&amp;L'!G7</f>
        <v>6.0176637590271004E-2</v>
      </c>
      <c r="H16" s="43">
        <f>BS!H54/'P&amp;L'!H7</f>
        <v>4.7153387224857971E-2</v>
      </c>
      <c r="I16" s="43">
        <f>BS!I54/'P&amp;L'!I7</f>
        <v>4.9854280827894316E-2</v>
      </c>
      <c r="J16" s="43">
        <f>BS!J54/'P&amp;L'!J7</f>
        <v>4.1946002455942384E-2</v>
      </c>
      <c r="K16" s="43">
        <f>BS!K54/'P&amp;L'!K7</f>
        <v>5.7033253502320753E-2</v>
      </c>
      <c r="L16" s="43">
        <f t="shared" ref="L16:P16" si="7">AVERAGE(G16:K16)</f>
        <v>5.1232712320257293E-2</v>
      </c>
      <c r="M16" s="43">
        <f t="shared" si="7"/>
        <v>4.9443927266254538E-2</v>
      </c>
      <c r="N16" s="43">
        <f t="shared" si="7"/>
        <v>4.9902035274533858E-2</v>
      </c>
      <c r="O16" s="43">
        <f t="shared" si="7"/>
        <v>4.9911586163861765E-2</v>
      </c>
      <c r="P16" s="43">
        <f t="shared" si="7"/>
        <v>5.1504702905445642E-2</v>
      </c>
    </row>
    <row r="17" spans="2:16" ht="14.25" customHeight="1" x14ac:dyDescent="0.25">
      <c r="H17" s="43"/>
      <c r="I17" s="43"/>
      <c r="J17" s="43"/>
      <c r="K17" s="43"/>
      <c r="L17" s="43"/>
      <c r="M17" s="43"/>
      <c r="N17" s="43"/>
      <c r="O17" s="43"/>
      <c r="P17" s="43"/>
    </row>
    <row r="18" spans="2:16" ht="14.25" customHeight="1" x14ac:dyDescent="0.25">
      <c r="C18" s="9" t="s">
        <v>150</v>
      </c>
      <c r="G18" s="11">
        <f>BS!G24</f>
        <v>0</v>
      </c>
      <c r="H18" s="11">
        <f>BS!H24</f>
        <v>0.5</v>
      </c>
      <c r="I18" s="11">
        <f>BS!I24</f>
        <v>0</v>
      </c>
      <c r="J18" s="11">
        <f>BS!J24</f>
        <v>0</v>
      </c>
      <c r="K18" s="11">
        <f>BS!K24</f>
        <v>337.98</v>
      </c>
      <c r="L18" s="43"/>
      <c r="M18" s="43"/>
      <c r="N18" s="43"/>
      <c r="O18" s="43"/>
      <c r="P18" s="43"/>
    </row>
    <row r="19" spans="2:16" ht="14.25" customHeight="1" x14ac:dyDescent="0.25">
      <c r="B19" s="7"/>
      <c r="C19" s="7"/>
      <c r="D19" s="7"/>
      <c r="E19" s="7"/>
      <c r="F19" s="7"/>
      <c r="G19" s="7"/>
      <c r="H19" s="74"/>
      <c r="I19" s="74"/>
      <c r="J19" s="74"/>
      <c r="K19" s="74"/>
      <c r="L19" s="74"/>
      <c r="M19" s="74"/>
      <c r="N19" s="74"/>
      <c r="O19" s="74"/>
      <c r="P19" s="74"/>
    </row>
    <row r="20" spans="2:16" ht="14.25" customHeight="1" x14ac:dyDescent="0.25">
      <c r="B20" s="7"/>
      <c r="C20" s="12" t="s">
        <v>297</v>
      </c>
      <c r="D20" s="12"/>
      <c r="E20" s="12"/>
      <c r="F20" s="12"/>
      <c r="G20" s="12"/>
      <c r="H20" s="13">
        <f>(SUM(BS!H25:H29)-SUM(BS!H52:H53,BS!H56))-(SUM(BS!G25:G29)-SUM(BS!G52:G53,BS!G56))</f>
        <v>-15.860000000000042</v>
      </c>
      <c r="I20" s="13">
        <f>(SUM(BS!I25:I29)-SUM(BS!I52:I53,BS!I56))-(SUM(BS!H25:H29)-SUM(BS!H52:H53,BS!H56))</f>
        <v>37.590000000000032</v>
      </c>
      <c r="J20" s="13">
        <f>(SUM(BS!J25:J29)-SUM(BS!J52:J53,BS!J56))-(SUM(BS!I25:I29)-SUM(BS!I52:I53,BS!I56))</f>
        <v>-42.299999999999955</v>
      </c>
      <c r="K20" s="13">
        <f>(SUM(BS!K25:K29)-SUM(BS!K52:K53,BS!K56))-(SUM(BS!J25:J29)-SUM(BS!J52:J53,BS!J56))</f>
        <v>11.079999999999927</v>
      </c>
      <c r="L20" s="13">
        <f>(SUM(BS!L25:L29)-SUM(BS!L52:L53,BS!L56))-(SUM(BS!K25:K29)-SUM(BS!K52:K53,BS!K56))</f>
        <v>48.180982337584624</v>
      </c>
      <c r="M20" s="13">
        <f>(SUM(BS!M25:M29)-SUM(BS!M52:M53,BS!M56))-(SUM(BS!L25:L29)-SUM(BS!L52:L53,BS!L56))</f>
        <v>1.6783579505319608</v>
      </c>
      <c r="N20" s="13">
        <f>(SUM(BS!N25:N29)-SUM(BS!N52:N53,BS!N56))-(SUM(BS!M25:M29)-SUM(BS!M52:M53,BS!M56))</f>
        <v>-6.2022395438334001</v>
      </c>
      <c r="O20" s="13">
        <f>(SUM(BS!O25:O29)-SUM(BS!O52:O53,BS!O56))-(SUM(BS!N25:N29)-SUM(BS!N52:N53,BS!N56))</f>
        <v>2.995578450919254</v>
      </c>
      <c r="P20" s="13">
        <f>(SUM(BS!P25:P29)-SUM(BS!P52:P53,BS!P56))-(SUM(BS!O25:O29)-SUM(BS!O52:O53,BS!O56))</f>
        <v>16.47831876796829</v>
      </c>
    </row>
    <row r="21" spans="2:16" ht="14.25" customHeight="1" x14ac:dyDescent="0.25">
      <c r="C21" s="7"/>
      <c r="E21" s="3"/>
      <c r="H21" s="97"/>
      <c r="I21" s="97"/>
      <c r="J21" s="97"/>
      <c r="K21" s="97"/>
      <c r="L21" s="97"/>
      <c r="M21" s="97"/>
      <c r="N21" s="97"/>
      <c r="O21" s="97"/>
      <c r="P21" s="97"/>
    </row>
    <row r="22" spans="2:16" ht="14.25" customHeight="1" x14ac:dyDescent="0.25">
      <c r="E22" s="3"/>
      <c r="H22" s="97"/>
      <c r="I22" s="97"/>
      <c r="J22" s="97"/>
      <c r="K22" s="97"/>
      <c r="L22" s="15"/>
      <c r="M22" s="15"/>
      <c r="N22" s="15"/>
      <c r="O22" s="15"/>
      <c r="P22" s="15"/>
    </row>
    <row r="23" spans="2:16" ht="14.25" customHeight="1" x14ac:dyDescent="0.25">
      <c r="H23" s="43"/>
      <c r="I23" s="43"/>
      <c r="J23" s="43"/>
      <c r="K23" s="43"/>
      <c r="L23" s="43"/>
      <c r="M23" s="43"/>
      <c r="N23" s="43"/>
      <c r="O23" s="43"/>
      <c r="P23" s="43"/>
    </row>
    <row r="24" spans="2:16" ht="14.25" customHeight="1" x14ac:dyDescent="0.25">
      <c r="H24" s="43"/>
      <c r="I24" s="43"/>
      <c r="J24" s="43"/>
      <c r="K24" s="43"/>
      <c r="L24" s="43"/>
      <c r="M24" s="43"/>
      <c r="N24" s="43"/>
      <c r="O24" s="43"/>
      <c r="P24" s="43"/>
    </row>
    <row r="25" spans="2:16" ht="14.25" customHeight="1" x14ac:dyDescent="0.25">
      <c r="H25" s="43"/>
      <c r="I25" s="43"/>
      <c r="J25" s="43"/>
      <c r="K25" s="43"/>
      <c r="L25" s="43"/>
      <c r="M25" s="43"/>
      <c r="N25" s="43"/>
      <c r="O25" s="43"/>
      <c r="P25" s="43"/>
    </row>
    <row r="26" spans="2:16" ht="14.25" customHeight="1" x14ac:dyDescent="0.25">
      <c r="H26" s="43"/>
      <c r="I26" s="43"/>
      <c r="J26" s="43"/>
      <c r="K26" s="43"/>
      <c r="L26" s="15"/>
      <c r="M26" s="43"/>
      <c r="N26" s="43"/>
      <c r="O26" s="43"/>
      <c r="P26" s="43"/>
    </row>
    <row r="27" spans="2:16" ht="14.25" customHeight="1" x14ac:dyDescent="0.2"/>
    <row r="28" spans="2:16" ht="14.25" customHeight="1" x14ac:dyDescent="0.25">
      <c r="C28" s="7"/>
      <c r="D28" s="99"/>
      <c r="E28" s="7"/>
      <c r="F28" s="7"/>
      <c r="G28" s="14"/>
      <c r="H28" s="14"/>
      <c r="I28" s="14"/>
      <c r="J28" s="14"/>
      <c r="K28" s="14"/>
      <c r="L28" s="7"/>
      <c r="M28" s="14"/>
      <c r="N28" s="14"/>
      <c r="O28" s="14"/>
      <c r="P28" s="14"/>
    </row>
    <row r="29" spans="2:16" ht="14.25" customHeight="1" x14ac:dyDescent="0.25">
      <c r="K29" s="11"/>
    </row>
    <row r="30" spans="2:16" ht="14.25" customHeight="1" x14ac:dyDescent="0.25">
      <c r="H30" s="97"/>
      <c r="I30" s="97"/>
      <c r="J30" s="97"/>
      <c r="K30" s="97"/>
    </row>
    <row r="31" spans="2:16" ht="14.25" customHeight="1" x14ac:dyDescent="0.2"/>
    <row r="32" spans="2:16" ht="14.25" customHeight="1" x14ac:dyDescent="0.2"/>
    <row r="33" spans="2:16" ht="14.25" customHeight="1" x14ac:dyDescent="0.25">
      <c r="B33" s="7"/>
    </row>
    <row r="34" spans="2:16" ht="14.25" customHeight="1" x14ac:dyDescent="0.25">
      <c r="L34" s="11"/>
      <c r="M34" s="11"/>
      <c r="N34" s="11"/>
      <c r="O34" s="11"/>
      <c r="P34" s="11"/>
    </row>
    <row r="35" spans="2:16" ht="14.25" customHeight="1" x14ac:dyDescent="0.25">
      <c r="G35" s="43"/>
      <c r="H35" s="43"/>
      <c r="I35" s="43"/>
      <c r="J35" s="43"/>
      <c r="K35" s="43"/>
      <c r="L35" s="43"/>
      <c r="M35" s="43"/>
      <c r="N35" s="43"/>
      <c r="O35" s="43"/>
      <c r="P35" s="43"/>
    </row>
    <row r="36" spans="2:16" ht="14.25" customHeight="1" x14ac:dyDescent="0.25">
      <c r="H36" s="43"/>
    </row>
    <row r="37" spans="2:16" ht="14.25" customHeight="1" x14ac:dyDescent="0.2"/>
    <row r="38" spans="2:16" ht="14.25" customHeight="1" x14ac:dyDescent="0.2"/>
    <row r="39" spans="2:16" ht="14.25" customHeight="1" x14ac:dyDescent="0.25">
      <c r="G39" s="66"/>
    </row>
    <row r="40" spans="2:16" ht="14.25" customHeight="1" x14ac:dyDescent="0.2"/>
    <row r="41" spans="2:16" ht="14.25" customHeight="1" x14ac:dyDescent="0.2"/>
    <row r="42" spans="2:16" ht="14.25" customHeight="1" x14ac:dyDescent="0.2"/>
    <row r="43" spans="2:16" ht="14.25" customHeight="1" x14ac:dyDescent="0.2"/>
    <row r="44" spans="2:16" ht="14.25" customHeight="1" x14ac:dyDescent="0.2"/>
    <row r="45" spans="2:16" ht="14.25" customHeight="1" x14ac:dyDescent="0.2"/>
    <row r="46" spans="2:16" ht="14.25" customHeight="1" x14ac:dyDescent="0.2"/>
    <row r="47" spans="2:16" ht="14.25" customHeight="1" x14ac:dyDescent="0.2"/>
    <row r="48" spans="2:1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</sheetData>
  <pageMargins left="0.7" right="0.7" top="0.75" bottom="0.75" header="0" footer="0"/>
  <pageSetup paperSize="9" orientation="portrait"/>
  <ignoredErrors>
    <ignoredError sqref="H7:K1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241"/>
  <sheetViews>
    <sheetView showGridLines="0" workbookViewId="0">
      <selection activeCell="M6" sqref="M6"/>
    </sheetView>
  </sheetViews>
  <sheetFormatPr defaultColWidth="12.625" defaultRowHeight="15" customHeight="1" x14ac:dyDescent="0.2"/>
  <cols>
    <col min="1" max="1" width="12" style="120" customWidth="1"/>
    <col min="2" max="4" width="7.625" customWidth="1"/>
    <col min="5" max="5" width="11.125" style="120" customWidth="1"/>
    <col min="6" max="9" width="7.625" customWidth="1"/>
    <col min="10" max="10" width="6.125" customWidth="1"/>
    <col min="11" max="11" width="9" customWidth="1"/>
    <col min="12" max="12" width="7.625" customWidth="1"/>
    <col min="13" max="13" width="9.5" customWidth="1"/>
    <col min="14" max="26" width="7.625" customWidth="1"/>
  </cols>
  <sheetData>
    <row r="1" spans="1:26" ht="14.25" customHeight="1" x14ac:dyDescent="0.25">
      <c r="A1" s="129" t="s">
        <v>286</v>
      </c>
      <c r="B1" s="2"/>
      <c r="C1" s="2"/>
      <c r="D1" s="2"/>
      <c r="E1" s="1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19"/>
      <c r="B2" s="108" t="s">
        <v>287</v>
      </c>
      <c r="C2" s="108"/>
      <c r="D2" s="108"/>
      <c r="E2" s="119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6" ht="14.25" customHeight="1" x14ac:dyDescent="0.25">
      <c r="K3" s="3"/>
      <c r="L3" s="3"/>
      <c r="M3" s="3"/>
    </row>
    <row r="4" spans="1:26" ht="14.25" customHeight="1" x14ac:dyDescent="0.25">
      <c r="A4" s="121"/>
      <c r="B4" s="100" t="s">
        <v>289</v>
      </c>
      <c r="C4" s="12"/>
      <c r="D4" s="12"/>
      <c r="E4" s="124"/>
      <c r="F4" s="101" t="s">
        <v>290</v>
      </c>
      <c r="K4" s="103"/>
      <c r="L4" s="104" t="s">
        <v>288</v>
      </c>
      <c r="M4" s="103"/>
      <c r="N4" s="15"/>
    </row>
    <row r="5" spans="1:26" ht="14.25" customHeight="1" x14ac:dyDescent="0.25">
      <c r="A5" s="122" t="s">
        <v>292</v>
      </c>
      <c r="B5" s="7" t="s">
        <v>293</v>
      </c>
      <c r="C5" s="7" t="s">
        <v>294</v>
      </c>
      <c r="D5" s="7"/>
      <c r="E5" s="125" t="s">
        <v>292</v>
      </c>
      <c r="F5" s="7" t="s">
        <v>293</v>
      </c>
      <c r="G5" s="7" t="s">
        <v>294</v>
      </c>
      <c r="K5" s="103"/>
      <c r="L5" s="104" t="s">
        <v>291</v>
      </c>
      <c r="M5" s="105"/>
    </row>
    <row r="6" spans="1:26" ht="14.25" customHeight="1" x14ac:dyDescent="0.25">
      <c r="A6" s="121">
        <v>42660</v>
      </c>
      <c r="B6" s="9">
        <v>222.02499399999999</v>
      </c>
      <c r="C6" s="39">
        <f t="shared" ref="C6:C657" si="0">B6/B7-1</f>
        <v>1.904759150889257E-2</v>
      </c>
      <c r="E6" s="121">
        <v>42660</v>
      </c>
      <c r="F6" s="9">
        <v>8520.4003909999992</v>
      </c>
      <c r="G6" s="39">
        <f t="shared" ref="G6:G1235" si="1">F6/F7-1</f>
        <v>-1.8149551493278904E-2</v>
      </c>
      <c r="K6" s="106" t="s">
        <v>295</v>
      </c>
      <c r="L6" s="107" t="s">
        <v>296</v>
      </c>
      <c r="M6" s="130">
        <f>SLOPE(C6:C1240,G6:G1240)</f>
        <v>0.5588941728015433</v>
      </c>
    </row>
    <row r="7" spans="1:26" ht="14.25" customHeight="1" x14ac:dyDescent="0.25">
      <c r="A7" s="121">
        <v>42661</v>
      </c>
      <c r="B7" s="9">
        <v>217.875</v>
      </c>
      <c r="C7" s="39">
        <f t="shared" si="0"/>
        <v>4.37937990947046E-3</v>
      </c>
      <c r="E7" s="121">
        <v>42661</v>
      </c>
      <c r="F7" s="9">
        <v>8677.9003909999992</v>
      </c>
      <c r="G7" s="39">
        <f t="shared" si="1"/>
        <v>2.1712167371832347E-3</v>
      </c>
    </row>
    <row r="8" spans="1:26" ht="14.25" customHeight="1" x14ac:dyDescent="0.25">
      <c r="A8" s="121">
        <v>42662</v>
      </c>
      <c r="B8" s="9">
        <v>216.925003</v>
      </c>
      <c r="C8" s="39">
        <f t="shared" si="0"/>
        <v>-4.9311788990825667E-3</v>
      </c>
      <c r="E8" s="121">
        <v>42662</v>
      </c>
      <c r="F8" s="9">
        <v>8659.0996090000008</v>
      </c>
      <c r="G8" s="39">
        <f t="shared" si="1"/>
        <v>-4.6325930740803711E-3</v>
      </c>
    </row>
    <row r="9" spans="1:26" ht="14.25" customHeight="1" x14ac:dyDescent="0.25">
      <c r="A9" s="121">
        <v>42663</v>
      </c>
      <c r="B9" s="9">
        <v>218</v>
      </c>
      <c r="C9" s="39">
        <f t="shared" si="0"/>
        <v>8.3256384133991723E-3</v>
      </c>
      <c r="E9" s="121">
        <v>42663</v>
      </c>
      <c r="F9" s="9">
        <v>8699.4003909999992</v>
      </c>
      <c r="G9" s="39">
        <f t="shared" si="1"/>
        <v>7.3053601928596557E-4</v>
      </c>
    </row>
    <row r="10" spans="1:26" ht="14.25" customHeight="1" x14ac:dyDescent="0.25">
      <c r="A10" s="121">
        <v>42664</v>
      </c>
      <c r="B10" s="9">
        <v>216.199997</v>
      </c>
      <c r="C10" s="39">
        <f t="shared" si="0"/>
        <v>-5.2910465528122064E-3</v>
      </c>
      <c r="E10" s="121">
        <v>42664</v>
      </c>
      <c r="F10" s="9">
        <v>8693.0498050000006</v>
      </c>
      <c r="G10" s="39">
        <f t="shared" si="1"/>
        <v>-1.8257527766236681E-3</v>
      </c>
    </row>
    <row r="11" spans="1:26" ht="14.25" customHeight="1" x14ac:dyDescent="0.25">
      <c r="A11" s="121">
        <v>42667</v>
      </c>
      <c r="B11" s="9">
        <v>217.35000600000001</v>
      </c>
      <c r="C11" s="39">
        <f t="shared" si="0"/>
        <v>7.8831998483617216E-3</v>
      </c>
      <c r="E11" s="121">
        <v>42667</v>
      </c>
      <c r="F11" s="9">
        <v>8708.9501949999994</v>
      </c>
      <c r="G11" s="39">
        <f t="shared" si="1"/>
        <v>2.0308113166047637E-3</v>
      </c>
      <c r="N11" s="20"/>
      <c r="O11" s="20"/>
    </row>
    <row r="12" spans="1:26" ht="14.25" customHeight="1" x14ac:dyDescent="0.25">
      <c r="A12" s="121">
        <v>42668</v>
      </c>
      <c r="B12" s="9">
        <v>215.64999399999999</v>
      </c>
      <c r="C12" s="39">
        <f t="shared" si="0"/>
        <v>9.2827571494469296E-4</v>
      </c>
      <c r="E12" s="121">
        <v>42668</v>
      </c>
      <c r="F12" s="9">
        <v>8691.2998050000006</v>
      </c>
      <c r="G12" s="39">
        <f t="shared" si="1"/>
        <v>8.8273474362323689E-3</v>
      </c>
      <c r="M12" s="20"/>
    </row>
    <row r="13" spans="1:26" ht="14.25" customHeight="1" x14ac:dyDescent="0.25">
      <c r="A13" s="121">
        <v>42669</v>
      </c>
      <c r="B13" s="9">
        <v>215.449997</v>
      </c>
      <c r="C13" s="39">
        <f t="shared" si="0"/>
        <v>-1.5061847250010807E-3</v>
      </c>
      <c r="E13" s="121">
        <v>42669</v>
      </c>
      <c r="F13" s="9">
        <v>8615.25</v>
      </c>
      <c r="G13" s="39">
        <f t="shared" si="1"/>
        <v>0</v>
      </c>
    </row>
    <row r="14" spans="1:26" ht="14.25" customHeight="1" x14ac:dyDescent="0.25">
      <c r="A14" s="121">
        <v>42670</v>
      </c>
      <c r="B14" s="9">
        <v>215.77499399999999</v>
      </c>
      <c r="C14" s="39">
        <f t="shared" si="0"/>
        <v>1.2315271282625551E-2</v>
      </c>
      <c r="E14" s="121">
        <v>42670</v>
      </c>
      <c r="F14" s="9">
        <v>8615.25</v>
      </c>
      <c r="G14" s="39">
        <f t="shared" si="1"/>
        <v>-2.6337115072933015E-3</v>
      </c>
    </row>
    <row r="15" spans="1:26" ht="14.25" customHeight="1" x14ac:dyDescent="0.25">
      <c r="A15" s="121">
        <v>42671</v>
      </c>
      <c r="B15" s="9">
        <v>213.14999399999999</v>
      </c>
      <c r="C15" s="39">
        <f t="shared" si="0"/>
        <v>-8.1433227029312771E-3</v>
      </c>
      <c r="E15" s="121">
        <v>42671</v>
      </c>
      <c r="F15" s="9">
        <v>8638</v>
      </c>
      <c r="G15" s="39">
        <f t="shared" si="1"/>
        <v>1.3621214316765773E-3</v>
      </c>
    </row>
    <row r="16" spans="1:26" ht="14.25" customHeight="1" x14ac:dyDescent="0.25">
      <c r="A16" s="121">
        <v>42675</v>
      </c>
      <c r="B16" s="9">
        <v>214.89999399999999</v>
      </c>
      <c r="C16" s="39">
        <f t="shared" si="0"/>
        <v>1.7398451393581649E-2</v>
      </c>
      <c r="E16" s="121">
        <v>42675</v>
      </c>
      <c r="F16" s="9">
        <v>8626.25</v>
      </c>
      <c r="G16" s="39">
        <f t="shared" si="1"/>
        <v>1.3184167253934787E-2</v>
      </c>
    </row>
    <row r="17" spans="1:7" ht="14.25" customHeight="1" x14ac:dyDescent="0.25">
      <c r="A17" s="121">
        <v>42676</v>
      </c>
      <c r="B17" s="9">
        <v>211.22500600000001</v>
      </c>
      <c r="C17" s="39">
        <f t="shared" si="0"/>
        <v>1.2583892255496831E-2</v>
      </c>
      <c r="E17" s="121">
        <v>42676</v>
      </c>
      <c r="F17" s="9">
        <v>8514</v>
      </c>
      <c r="G17" s="39">
        <f t="shared" si="1"/>
        <v>3.4236859772163175E-3</v>
      </c>
    </row>
    <row r="18" spans="1:7" ht="14.25" customHeight="1" x14ac:dyDescent="0.25">
      <c r="A18" s="121">
        <v>42677</v>
      </c>
      <c r="B18" s="9">
        <v>208.60000600000001</v>
      </c>
      <c r="C18" s="39">
        <f t="shared" si="0"/>
        <v>1.6693081271698551E-2</v>
      </c>
      <c r="E18" s="121">
        <v>42677</v>
      </c>
      <c r="F18" s="9">
        <v>8484.9501949999994</v>
      </c>
      <c r="G18" s="39">
        <f t="shared" si="1"/>
        <v>6.070869423447478E-3</v>
      </c>
    </row>
    <row r="19" spans="1:7" ht="14.25" customHeight="1" x14ac:dyDescent="0.25">
      <c r="A19" s="121">
        <v>42678</v>
      </c>
      <c r="B19" s="9">
        <v>205.175003</v>
      </c>
      <c r="C19" s="39">
        <f t="shared" si="0"/>
        <v>9.5952611264777943E-3</v>
      </c>
      <c r="E19" s="121">
        <v>42678</v>
      </c>
      <c r="F19" s="9">
        <v>8433.75</v>
      </c>
      <c r="G19" s="39">
        <f t="shared" si="1"/>
        <v>-7.4496215101331753E-3</v>
      </c>
    </row>
    <row r="20" spans="1:7" ht="14.25" customHeight="1" x14ac:dyDescent="0.25">
      <c r="A20" s="121">
        <v>42681</v>
      </c>
      <c r="B20" s="9">
        <v>203.22500600000001</v>
      </c>
      <c r="C20" s="39">
        <f t="shared" si="0"/>
        <v>8.936343419093884E-3</v>
      </c>
      <c r="E20" s="121">
        <v>42681</v>
      </c>
      <c r="F20" s="9">
        <v>8497.0498050000006</v>
      </c>
      <c r="G20" s="39">
        <f t="shared" si="1"/>
        <v>-5.442702513747455E-3</v>
      </c>
    </row>
    <row r="21" spans="1:7" ht="14.25" customHeight="1" x14ac:dyDescent="0.25">
      <c r="A21" s="121">
        <v>42682</v>
      </c>
      <c r="B21" s="9">
        <v>201.425003</v>
      </c>
      <c r="C21" s="39">
        <f t="shared" si="0"/>
        <v>-8.6807041067249457E-4</v>
      </c>
      <c r="E21" s="121">
        <v>42682</v>
      </c>
      <c r="F21" s="9">
        <v>8543.5498050000006</v>
      </c>
      <c r="G21" s="39">
        <f t="shared" si="1"/>
        <v>1.3229341200189815E-2</v>
      </c>
    </row>
    <row r="22" spans="1:7" ht="14.25" customHeight="1" x14ac:dyDescent="0.25">
      <c r="A22" s="121">
        <v>42683</v>
      </c>
      <c r="B22" s="9">
        <v>201.60000600000001</v>
      </c>
      <c r="C22" s="39">
        <f t="shared" si="0"/>
        <v>-1.8500428972748617E-2</v>
      </c>
      <c r="E22" s="121">
        <v>42683</v>
      </c>
      <c r="F22" s="9">
        <v>8432</v>
      </c>
      <c r="G22" s="39">
        <f t="shared" si="1"/>
        <v>-1.0996100049848967E-2</v>
      </c>
    </row>
    <row r="23" spans="1:7" ht="14.25" customHeight="1" x14ac:dyDescent="0.25">
      <c r="A23" s="121">
        <v>42684</v>
      </c>
      <c r="B23" s="9">
        <v>205.39999399999999</v>
      </c>
      <c r="C23" s="39">
        <f t="shared" si="0"/>
        <v>2.5589814772382313E-2</v>
      </c>
      <c r="E23" s="121">
        <v>42684</v>
      </c>
      <c r="F23" s="9">
        <v>8525.75</v>
      </c>
      <c r="G23" s="39">
        <f t="shared" si="1"/>
        <v>2.765693145053838E-2</v>
      </c>
    </row>
    <row r="24" spans="1:7" ht="14.25" customHeight="1" x14ac:dyDescent="0.25">
      <c r="A24" s="121">
        <v>42685</v>
      </c>
      <c r="B24" s="9">
        <v>200.27499399999999</v>
      </c>
      <c r="C24" s="39">
        <f t="shared" si="0"/>
        <v>-4.5974304860452175E-3</v>
      </c>
      <c r="E24" s="121">
        <v>42685</v>
      </c>
      <c r="F24" s="9">
        <v>8296.2998050000006</v>
      </c>
      <c r="G24" s="39">
        <f t="shared" si="1"/>
        <v>2.3167141128379365E-2</v>
      </c>
    </row>
    <row r="25" spans="1:7" ht="14.25" customHeight="1" x14ac:dyDescent="0.25">
      <c r="A25" s="121">
        <v>42689</v>
      </c>
      <c r="B25" s="9">
        <v>201.199997</v>
      </c>
      <c r="C25" s="39">
        <f t="shared" si="0"/>
        <v>6.3773614148701085E-3</v>
      </c>
      <c r="E25" s="121">
        <v>42689</v>
      </c>
      <c r="F25" s="9">
        <v>8108.4501950000003</v>
      </c>
      <c r="G25" s="39">
        <f t="shared" si="1"/>
        <v>-3.8832079515060958E-4</v>
      </c>
    </row>
    <row r="26" spans="1:7" ht="14.25" customHeight="1" x14ac:dyDescent="0.25">
      <c r="A26" s="121">
        <v>42690</v>
      </c>
      <c r="B26" s="9">
        <v>199.925003</v>
      </c>
      <c r="C26" s="39">
        <f t="shared" si="0"/>
        <v>-4.4814839459451639E-3</v>
      </c>
      <c r="E26" s="121">
        <v>42690</v>
      </c>
      <c r="F26" s="9">
        <v>8111.6000979999999</v>
      </c>
      <c r="G26" s="39">
        <f t="shared" si="1"/>
        <v>3.9170913478632219E-3</v>
      </c>
    </row>
    <row r="27" spans="1:7" ht="14.25" customHeight="1" x14ac:dyDescent="0.25">
      <c r="A27" s="121">
        <v>42691</v>
      </c>
      <c r="B27" s="9">
        <v>200.824997</v>
      </c>
      <c r="C27" s="39">
        <f t="shared" si="0"/>
        <v>-1.5201696478582383E-2</v>
      </c>
      <c r="E27" s="121">
        <v>42691</v>
      </c>
      <c r="F27" s="9">
        <v>8079.9501950000003</v>
      </c>
      <c r="G27" s="39">
        <f t="shared" si="1"/>
        <v>7.2455096283108311E-4</v>
      </c>
    </row>
    <row r="28" spans="1:7" ht="14.25" customHeight="1" x14ac:dyDescent="0.25">
      <c r="A28" s="121">
        <v>42692</v>
      </c>
      <c r="B28" s="9">
        <v>203.925003</v>
      </c>
      <c r="C28" s="39">
        <f t="shared" si="0"/>
        <v>4.5501152850533355E-2</v>
      </c>
      <c r="E28" s="121">
        <v>42692</v>
      </c>
      <c r="F28" s="9">
        <v>8074.1000979999999</v>
      </c>
      <c r="G28" s="39">
        <f t="shared" si="1"/>
        <v>1.82870689243253E-2</v>
      </c>
    </row>
    <row r="29" spans="1:7" ht="14.25" customHeight="1" x14ac:dyDescent="0.25">
      <c r="A29" s="121">
        <v>42695</v>
      </c>
      <c r="B29" s="9">
        <v>195.050003</v>
      </c>
      <c r="C29" s="39">
        <f t="shared" si="0"/>
        <v>-2.0341551370922639E-2</v>
      </c>
      <c r="E29" s="121">
        <v>42695</v>
      </c>
      <c r="F29" s="9">
        <v>7929.1000979999999</v>
      </c>
      <c r="G29" s="39">
        <f t="shared" si="1"/>
        <v>-9.1473337395161503E-3</v>
      </c>
    </row>
    <row r="30" spans="1:7" ht="14.25" customHeight="1" x14ac:dyDescent="0.25">
      <c r="A30" s="121">
        <v>42696</v>
      </c>
      <c r="B30" s="9">
        <v>199.10000600000001</v>
      </c>
      <c r="C30" s="39">
        <f t="shared" si="0"/>
        <v>-3.7653821448668801E-4</v>
      </c>
      <c r="E30" s="121">
        <v>42696</v>
      </c>
      <c r="F30" s="9">
        <v>8002.2998049999997</v>
      </c>
      <c r="G30" s="39">
        <f t="shared" si="1"/>
        <v>-3.8589372676848255E-3</v>
      </c>
    </row>
    <row r="31" spans="1:7" ht="14.25" customHeight="1" x14ac:dyDescent="0.25">
      <c r="A31" s="121">
        <v>42697</v>
      </c>
      <c r="B31" s="9">
        <v>199.175003</v>
      </c>
      <c r="C31" s="39">
        <f t="shared" si="0"/>
        <v>-3.0306675666212479E-2</v>
      </c>
      <c r="E31" s="121">
        <v>42697</v>
      </c>
      <c r="F31" s="9">
        <v>8033.2998049999997</v>
      </c>
      <c r="G31" s="39">
        <f t="shared" si="1"/>
        <v>8.5116822547235405E-3</v>
      </c>
    </row>
    <row r="32" spans="1:7" ht="14.25" customHeight="1" x14ac:dyDescent="0.25">
      <c r="A32" s="121">
        <v>42698</v>
      </c>
      <c r="B32" s="9">
        <v>205.39999399999999</v>
      </c>
      <c r="C32" s="39">
        <f t="shared" si="0"/>
        <v>-6.4095390569247623E-3</v>
      </c>
      <c r="E32" s="121">
        <v>42698</v>
      </c>
      <c r="F32" s="9">
        <v>7965.5</v>
      </c>
      <c r="G32" s="39">
        <f t="shared" si="1"/>
        <v>-1.8337972292853832E-2</v>
      </c>
    </row>
    <row r="33" spans="1:7" ht="14.25" customHeight="1" x14ac:dyDescent="0.25">
      <c r="A33" s="121">
        <v>42699</v>
      </c>
      <c r="B33" s="9">
        <v>206.72500600000001</v>
      </c>
      <c r="C33" s="39">
        <f t="shared" si="0"/>
        <v>-5.0534858877193667E-3</v>
      </c>
      <c r="E33" s="121">
        <v>42699</v>
      </c>
      <c r="F33" s="9">
        <v>8114.2998049999997</v>
      </c>
      <c r="G33" s="39">
        <f t="shared" si="1"/>
        <v>-1.5504186284981403E-3</v>
      </c>
    </row>
    <row r="34" spans="1:7" ht="14.25" customHeight="1" x14ac:dyDescent="0.25">
      <c r="A34" s="121">
        <v>42702</v>
      </c>
      <c r="B34" s="9">
        <v>207.77499399999999</v>
      </c>
      <c r="C34" s="39">
        <f t="shared" si="0"/>
        <v>-6.693003370006001E-3</v>
      </c>
      <c r="E34" s="121">
        <v>42702</v>
      </c>
      <c r="F34" s="9">
        <v>8126.8999020000001</v>
      </c>
      <c r="G34" s="39">
        <f t="shared" si="1"/>
        <v>-1.8729696927164419E-3</v>
      </c>
    </row>
    <row r="35" spans="1:7" ht="14.25" customHeight="1" x14ac:dyDescent="0.25">
      <c r="A35" s="121">
        <v>42703</v>
      </c>
      <c r="B35" s="9">
        <v>209.175003</v>
      </c>
      <c r="C35" s="39">
        <f t="shared" si="0"/>
        <v>-3.2940360153393078E-2</v>
      </c>
      <c r="E35" s="121">
        <v>42703</v>
      </c>
      <c r="F35" s="9">
        <v>8142.1499020000001</v>
      </c>
      <c r="G35" s="39">
        <f t="shared" si="1"/>
        <v>-1.001277864915795E-2</v>
      </c>
    </row>
    <row r="36" spans="1:7" ht="14.25" customHeight="1" x14ac:dyDescent="0.25">
      <c r="A36" s="121">
        <v>42704</v>
      </c>
      <c r="B36" s="9">
        <v>216.300003</v>
      </c>
      <c r="C36" s="39">
        <f t="shared" si="0"/>
        <v>3.0981887068895819E-2</v>
      </c>
      <c r="E36" s="121">
        <v>42704</v>
      </c>
      <c r="F36" s="9">
        <v>8224.5</v>
      </c>
      <c r="G36" s="39">
        <f t="shared" si="1"/>
        <v>3.8569502242102871E-3</v>
      </c>
    </row>
    <row r="37" spans="1:7" ht="14.25" customHeight="1" x14ac:dyDescent="0.25">
      <c r="A37" s="121">
        <v>42705</v>
      </c>
      <c r="B37" s="9">
        <v>209.800003</v>
      </c>
      <c r="C37" s="39">
        <f t="shared" si="0"/>
        <v>-2.0216576899515504E-3</v>
      </c>
      <c r="E37" s="121">
        <v>42705</v>
      </c>
      <c r="F37" s="9">
        <v>8192.9003909999992</v>
      </c>
      <c r="G37" s="39">
        <f t="shared" si="1"/>
        <v>1.3120219191576687E-2</v>
      </c>
    </row>
    <row r="38" spans="1:7" ht="14.25" customHeight="1" x14ac:dyDescent="0.25">
      <c r="A38" s="121">
        <v>42706</v>
      </c>
      <c r="B38" s="9">
        <v>210.22500600000001</v>
      </c>
      <c r="C38" s="39">
        <f t="shared" si="0"/>
        <v>2.8120796338306553E-2</v>
      </c>
      <c r="E38" s="121">
        <v>42706</v>
      </c>
      <c r="F38" s="9">
        <v>8086.7998049999997</v>
      </c>
      <c r="G38" s="39">
        <f t="shared" si="1"/>
        <v>-5.1607190527449553E-3</v>
      </c>
    </row>
    <row r="39" spans="1:7" ht="14.25" customHeight="1" x14ac:dyDescent="0.25">
      <c r="A39" s="121">
        <v>42709</v>
      </c>
      <c r="B39" s="9">
        <v>204.47500600000001</v>
      </c>
      <c r="C39" s="39">
        <f t="shared" si="0"/>
        <v>-1.0884024354557265E-2</v>
      </c>
      <c r="E39" s="121">
        <v>42709</v>
      </c>
      <c r="F39" s="9">
        <v>8128.75</v>
      </c>
      <c r="G39" s="39">
        <f t="shared" si="1"/>
        <v>-1.7683454404374688E-3</v>
      </c>
    </row>
    <row r="40" spans="1:7" ht="14.25" customHeight="1" x14ac:dyDescent="0.25">
      <c r="A40" s="121">
        <v>42710</v>
      </c>
      <c r="B40" s="9">
        <v>206.72500600000001</v>
      </c>
      <c r="C40" s="39">
        <f t="shared" si="0"/>
        <v>7.8001511273613211E-3</v>
      </c>
      <c r="E40" s="121">
        <v>42710</v>
      </c>
      <c r="F40" s="9">
        <v>8143.1499020000001</v>
      </c>
      <c r="G40" s="39">
        <f t="shared" si="1"/>
        <v>5.0728023141299872E-3</v>
      </c>
    </row>
    <row r="41" spans="1:7" ht="14.25" customHeight="1" x14ac:dyDescent="0.25">
      <c r="A41" s="121">
        <v>42711</v>
      </c>
      <c r="B41" s="9">
        <v>205.125</v>
      </c>
      <c r="C41" s="39">
        <f t="shared" si="0"/>
        <v>-9.8950306278021705E-3</v>
      </c>
      <c r="E41" s="121">
        <v>42711</v>
      </c>
      <c r="F41" s="9">
        <v>8102.0498049999997</v>
      </c>
      <c r="G41" s="39">
        <f t="shared" si="1"/>
        <v>-1.7558196264665371E-2</v>
      </c>
    </row>
    <row r="42" spans="1:7" ht="14.25" customHeight="1" x14ac:dyDescent="0.25">
      <c r="A42" s="121">
        <v>42712</v>
      </c>
      <c r="B42" s="9">
        <v>207.175003</v>
      </c>
      <c r="C42" s="39">
        <f t="shared" si="0"/>
        <v>1.6809830674846538E-2</v>
      </c>
      <c r="E42" s="121">
        <v>42712</v>
      </c>
      <c r="F42" s="9">
        <v>8246.8496090000008</v>
      </c>
      <c r="G42" s="39">
        <f t="shared" si="1"/>
        <v>-1.8035393227826546E-3</v>
      </c>
    </row>
    <row r="43" spans="1:7" ht="14.25" customHeight="1" x14ac:dyDescent="0.25">
      <c r="A43" s="121">
        <v>42713</v>
      </c>
      <c r="B43" s="9">
        <v>203.75</v>
      </c>
      <c r="C43" s="39">
        <f t="shared" si="0"/>
        <v>4.4367462330763274E-3</v>
      </c>
      <c r="E43" s="121">
        <v>42713</v>
      </c>
      <c r="F43" s="9">
        <v>8261.75</v>
      </c>
      <c r="G43" s="39">
        <f t="shared" si="1"/>
        <v>1.113112512490444E-2</v>
      </c>
    </row>
    <row r="44" spans="1:7" ht="14.25" customHeight="1" x14ac:dyDescent="0.25">
      <c r="A44" s="121">
        <v>42716</v>
      </c>
      <c r="B44" s="9">
        <v>202.85000600000001</v>
      </c>
      <c r="C44" s="39">
        <f t="shared" si="0"/>
        <v>-1.7913323390268854E-2</v>
      </c>
      <c r="E44" s="121">
        <v>42716</v>
      </c>
      <c r="F44" s="9">
        <v>8170.7998049999997</v>
      </c>
      <c r="G44" s="39">
        <f t="shared" si="1"/>
        <v>-6.2030213833454972E-3</v>
      </c>
    </row>
    <row r="45" spans="1:7" ht="14.25" customHeight="1" x14ac:dyDescent="0.25">
      <c r="A45" s="121">
        <v>42717</v>
      </c>
      <c r="B45" s="9">
        <v>206.550003</v>
      </c>
      <c r="C45" s="39">
        <f t="shared" si="0"/>
        <v>3.4690058860363138E-2</v>
      </c>
      <c r="E45" s="121">
        <v>42717</v>
      </c>
      <c r="F45" s="9">
        <v>8221.7998050000006</v>
      </c>
      <c r="G45" s="39">
        <f t="shared" si="1"/>
        <v>4.8090252995423022E-3</v>
      </c>
    </row>
    <row r="46" spans="1:7" ht="14.25" customHeight="1" x14ac:dyDescent="0.25">
      <c r="A46" s="121">
        <v>42718</v>
      </c>
      <c r="B46" s="9">
        <v>199.625</v>
      </c>
      <c r="C46" s="39">
        <f t="shared" si="0"/>
        <v>-7.5081468904958371E-4</v>
      </c>
      <c r="E46" s="121">
        <v>42718</v>
      </c>
      <c r="F46" s="9">
        <v>8182.4501950000003</v>
      </c>
      <c r="G46" s="39">
        <f t="shared" si="1"/>
        <v>3.5383262182648867E-3</v>
      </c>
    </row>
    <row r="47" spans="1:7" ht="14.25" customHeight="1" x14ac:dyDescent="0.25">
      <c r="A47" s="121">
        <v>42719</v>
      </c>
      <c r="B47" s="9">
        <v>199.77499399999999</v>
      </c>
      <c r="C47" s="39">
        <f t="shared" si="0"/>
        <v>-5.0034271419641119E-4</v>
      </c>
      <c r="E47" s="121">
        <v>42719</v>
      </c>
      <c r="F47" s="9">
        <v>8153.6000979999999</v>
      </c>
      <c r="G47" s="39">
        <f t="shared" si="1"/>
        <v>1.7384347420286161E-3</v>
      </c>
    </row>
    <row r="48" spans="1:7" ht="14.25" customHeight="1" x14ac:dyDescent="0.25">
      <c r="A48" s="121">
        <v>42720</v>
      </c>
      <c r="B48" s="9">
        <v>199.875</v>
      </c>
      <c r="C48" s="39">
        <f t="shared" si="0"/>
        <v>-3.173066685143755E-2</v>
      </c>
      <c r="E48" s="121">
        <v>42720</v>
      </c>
      <c r="F48" s="9">
        <v>8139.4501950000003</v>
      </c>
      <c r="G48" s="39">
        <f t="shared" si="1"/>
        <v>4.3310193384491491E-3</v>
      </c>
    </row>
    <row r="49" spans="1:7" ht="14.25" customHeight="1" x14ac:dyDescent="0.25">
      <c r="A49" s="121">
        <v>42723</v>
      </c>
      <c r="B49" s="9">
        <v>206.425003</v>
      </c>
      <c r="C49" s="39">
        <f t="shared" si="0"/>
        <v>3.3934431272760301E-2</v>
      </c>
      <c r="E49" s="121">
        <v>42723</v>
      </c>
      <c r="F49" s="9">
        <v>8104.3500979999999</v>
      </c>
      <c r="G49" s="39">
        <f t="shared" si="1"/>
        <v>2.715801774986204E-3</v>
      </c>
    </row>
    <row r="50" spans="1:7" ht="14.25" customHeight="1" x14ac:dyDescent="0.25">
      <c r="A50" s="121">
        <v>42724</v>
      </c>
      <c r="B50" s="9">
        <v>199.64999399999999</v>
      </c>
      <c r="C50" s="39">
        <f t="shared" si="0"/>
        <v>-1.1388972687135013E-2</v>
      </c>
      <c r="E50" s="121">
        <v>42724</v>
      </c>
      <c r="F50" s="9">
        <v>8082.3999020000001</v>
      </c>
      <c r="G50" s="39">
        <f t="shared" si="1"/>
        <v>2.6174559327161173E-3</v>
      </c>
    </row>
    <row r="51" spans="1:7" ht="14.25" customHeight="1" x14ac:dyDescent="0.25">
      <c r="A51" s="121">
        <v>42725</v>
      </c>
      <c r="B51" s="9">
        <v>201.949997</v>
      </c>
      <c r="C51" s="39">
        <f t="shared" si="0"/>
        <v>9.8761892273677709E-3</v>
      </c>
      <c r="E51" s="121">
        <v>42725</v>
      </c>
      <c r="F51" s="9">
        <v>8061.2998049999997</v>
      </c>
      <c r="G51" s="39">
        <f t="shared" si="1"/>
        <v>1.0301876902208962E-2</v>
      </c>
    </row>
    <row r="52" spans="1:7" ht="14.25" customHeight="1" x14ac:dyDescent="0.25">
      <c r="A52" s="121">
        <v>42726</v>
      </c>
      <c r="B52" s="9">
        <v>199.97500600000001</v>
      </c>
      <c r="C52" s="39">
        <f t="shared" si="0"/>
        <v>7.5070187540160482E-4</v>
      </c>
      <c r="E52" s="121">
        <v>42726</v>
      </c>
      <c r="F52" s="9">
        <v>7979.1000979999999</v>
      </c>
      <c r="G52" s="39">
        <f t="shared" si="1"/>
        <v>-8.3272103434239853E-4</v>
      </c>
    </row>
    <row r="53" spans="1:7" ht="14.25" customHeight="1" x14ac:dyDescent="0.25">
      <c r="A53" s="121">
        <v>42727</v>
      </c>
      <c r="B53" s="9">
        <v>199.824997</v>
      </c>
      <c r="C53" s="39">
        <f t="shared" si="0"/>
        <v>-1.374357779879376E-3</v>
      </c>
      <c r="E53" s="121">
        <v>42727</v>
      </c>
      <c r="F53" s="9">
        <v>7985.75</v>
      </c>
      <c r="G53" s="39">
        <f t="shared" si="1"/>
        <v>9.799892517307951E-3</v>
      </c>
    </row>
    <row r="54" spans="1:7" ht="14.25" customHeight="1" x14ac:dyDescent="0.25">
      <c r="A54" s="121">
        <v>42730</v>
      </c>
      <c r="B54" s="9">
        <v>200.10000600000001</v>
      </c>
      <c r="C54" s="39">
        <f t="shared" si="0"/>
        <v>-4.725177745956044E-3</v>
      </c>
      <c r="E54" s="121">
        <v>42730</v>
      </c>
      <c r="F54" s="9">
        <v>7908.25</v>
      </c>
      <c r="G54" s="39">
        <f t="shared" si="1"/>
        <v>-1.551131870754352E-2</v>
      </c>
    </row>
    <row r="55" spans="1:7" ht="14.25" customHeight="1" x14ac:dyDescent="0.25">
      <c r="A55" s="121">
        <v>42731</v>
      </c>
      <c r="B55" s="9">
        <v>201.050003</v>
      </c>
      <c r="C55" s="39">
        <f t="shared" si="0"/>
        <v>5.3756567958298529E-3</v>
      </c>
      <c r="E55" s="121">
        <v>42731</v>
      </c>
      <c r="F55" s="9">
        <v>8032.8500979999999</v>
      </c>
      <c r="G55" s="39">
        <f t="shared" si="1"/>
        <v>-2.4891565811513416E-4</v>
      </c>
    </row>
    <row r="56" spans="1:7" ht="14.25" customHeight="1" x14ac:dyDescent="0.25">
      <c r="A56" s="121">
        <v>42732</v>
      </c>
      <c r="B56" s="9">
        <v>199.97500600000001</v>
      </c>
      <c r="C56" s="39">
        <f t="shared" si="0"/>
        <v>-1.2712895393045209E-2</v>
      </c>
      <c r="E56" s="121">
        <v>42732</v>
      </c>
      <c r="F56" s="9">
        <v>8034.8500979999999</v>
      </c>
      <c r="G56" s="39">
        <f t="shared" si="1"/>
        <v>-8.4838836034082377E-3</v>
      </c>
    </row>
    <row r="57" spans="1:7" ht="14.25" customHeight="1" x14ac:dyDescent="0.25">
      <c r="A57" s="121">
        <v>42733</v>
      </c>
      <c r="B57" s="9">
        <v>202.550003</v>
      </c>
      <c r="C57" s="39">
        <f t="shared" si="0"/>
        <v>7.8367804601533475E-3</v>
      </c>
      <c r="E57" s="121">
        <v>42733</v>
      </c>
      <c r="F57" s="9">
        <v>8103.6000979999999</v>
      </c>
      <c r="G57" s="39">
        <f t="shared" si="1"/>
        <v>-1.004174411274894E-2</v>
      </c>
    </row>
    <row r="58" spans="1:7" ht="14.25" customHeight="1" x14ac:dyDescent="0.25">
      <c r="A58" s="121">
        <v>42734</v>
      </c>
      <c r="B58" s="9">
        <v>200.97500600000001</v>
      </c>
      <c r="C58" s="39">
        <f t="shared" si="0"/>
        <v>-8.754594327990084E-3</v>
      </c>
      <c r="E58" s="121">
        <v>42734</v>
      </c>
      <c r="F58" s="9">
        <v>8185.7998049999997</v>
      </c>
      <c r="G58" s="39">
        <f t="shared" si="1"/>
        <v>7.7019438840997267E-4</v>
      </c>
    </row>
    <row r="59" spans="1:7" ht="14.25" customHeight="1" x14ac:dyDescent="0.25">
      <c r="A59" s="121">
        <v>42737</v>
      </c>
      <c r="B59" s="9">
        <v>202.75</v>
      </c>
      <c r="C59" s="39">
        <f t="shared" si="0"/>
        <v>1.5400009784900304E-2</v>
      </c>
      <c r="E59" s="121">
        <v>42737</v>
      </c>
      <c r="F59" s="9">
        <v>8179.5</v>
      </c>
      <c r="G59" s="39">
        <f t="shared" si="1"/>
        <v>-1.5563489883732018E-3</v>
      </c>
    </row>
    <row r="60" spans="1:7" ht="14.25" customHeight="1" x14ac:dyDescent="0.25">
      <c r="A60" s="121">
        <v>42738</v>
      </c>
      <c r="B60" s="9">
        <v>199.675003</v>
      </c>
      <c r="C60" s="39">
        <f t="shared" si="0"/>
        <v>-3.6177196691931091E-3</v>
      </c>
      <c r="E60" s="121">
        <v>42738</v>
      </c>
      <c r="F60" s="9">
        <v>8192.25</v>
      </c>
      <c r="G60" s="39">
        <f t="shared" si="1"/>
        <v>2.1366216958673689E-4</v>
      </c>
    </row>
    <row r="61" spans="1:7" ht="14.25" customHeight="1" x14ac:dyDescent="0.25">
      <c r="A61" s="121">
        <v>42739</v>
      </c>
      <c r="B61" s="9">
        <v>200.39999399999999</v>
      </c>
      <c r="C61" s="39">
        <f t="shared" si="0"/>
        <v>-3.6047532628962209E-3</v>
      </c>
      <c r="E61" s="121">
        <v>42739</v>
      </c>
      <c r="F61" s="9">
        <v>8190.5</v>
      </c>
      <c r="G61" s="39">
        <f t="shared" si="1"/>
        <v>-1.006790192695517E-2</v>
      </c>
    </row>
    <row r="62" spans="1:7" ht="14.25" customHeight="1" x14ac:dyDescent="0.25">
      <c r="A62" s="121">
        <v>42740</v>
      </c>
      <c r="B62" s="9">
        <v>201.125</v>
      </c>
      <c r="C62" s="39">
        <f t="shared" si="0"/>
        <v>2.6171185657890561E-3</v>
      </c>
      <c r="E62" s="121">
        <v>42740</v>
      </c>
      <c r="F62" s="9">
        <v>8273.7998050000006</v>
      </c>
      <c r="G62" s="39">
        <f t="shared" si="1"/>
        <v>3.6390985600844861E-3</v>
      </c>
    </row>
    <row r="63" spans="1:7" ht="14.25" customHeight="1" x14ac:dyDescent="0.25">
      <c r="A63" s="121">
        <v>42741</v>
      </c>
      <c r="B63" s="9">
        <v>200.60000600000001</v>
      </c>
      <c r="C63" s="39">
        <f t="shared" si="0"/>
        <v>5.3878563203966223E-3</v>
      </c>
      <c r="E63" s="121">
        <v>42741</v>
      </c>
      <c r="F63" s="9">
        <v>8243.7998050000006</v>
      </c>
      <c r="G63" s="39">
        <f t="shared" si="1"/>
        <v>9.4098508186468699E-4</v>
      </c>
    </row>
    <row r="64" spans="1:7" ht="14.25" customHeight="1" x14ac:dyDescent="0.25">
      <c r="A64" s="121">
        <v>42744</v>
      </c>
      <c r="B64" s="9">
        <v>199.52499399999999</v>
      </c>
      <c r="C64" s="39">
        <f t="shared" si="0"/>
        <v>-3.8692410803409238E-3</v>
      </c>
      <c r="E64" s="121">
        <v>42744</v>
      </c>
      <c r="F64" s="9">
        <v>8236.0498050000006</v>
      </c>
      <c r="G64" s="39">
        <f t="shared" si="1"/>
        <v>-6.3400099508896801E-3</v>
      </c>
    </row>
    <row r="65" spans="1:7" ht="14.25" customHeight="1" x14ac:dyDescent="0.25">
      <c r="A65" s="121">
        <v>42745</v>
      </c>
      <c r="B65" s="9">
        <v>200.300003</v>
      </c>
      <c r="C65" s="39">
        <f t="shared" si="0"/>
        <v>-9.8863073175535776E-3</v>
      </c>
      <c r="E65" s="121">
        <v>42745</v>
      </c>
      <c r="F65" s="9">
        <v>8288.5996090000008</v>
      </c>
      <c r="G65" s="39">
        <f t="shared" si="1"/>
        <v>-1.0983727718656744E-2</v>
      </c>
    </row>
    <row r="66" spans="1:7" ht="14.25" customHeight="1" x14ac:dyDescent="0.25">
      <c r="A66" s="121">
        <v>42746</v>
      </c>
      <c r="B66" s="9">
        <v>202.300003</v>
      </c>
      <c r="C66" s="39">
        <f t="shared" si="0"/>
        <v>-4.9453749081927567E-2</v>
      </c>
      <c r="E66" s="121">
        <v>42746</v>
      </c>
      <c r="F66" s="9">
        <v>8380.6503909999992</v>
      </c>
      <c r="G66" s="39">
        <f t="shared" si="1"/>
        <v>-3.1579840356115163E-3</v>
      </c>
    </row>
    <row r="67" spans="1:7" ht="14.25" customHeight="1" x14ac:dyDescent="0.25">
      <c r="A67" s="121">
        <v>42747</v>
      </c>
      <c r="B67" s="9">
        <v>212.824997</v>
      </c>
      <c r="C67" s="39">
        <f t="shared" si="0"/>
        <v>2.5168549368924431E-2</v>
      </c>
      <c r="E67" s="121">
        <v>42747</v>
      </c>
      <c r="F67" s="9">
        <v>8407.2001949999994</v>
      </c>
      <c r="G67" s="39">
        <f t="shared" si="1"/>
        <v>8.1551201067386891E-4</v>
      </c>
    </row>
    <row r="68" spans="1:7" ht="14.25" customHeight="1" x14ac:dyDescent="0.25">
      <c r="A68" s="121">
        <v>42748</v>
      </c>
      <c r="B68" s="9">
        <v>207.60000600000001</v>
      </c>
      <c r="C68" s="39">
        <f t="shared" si="0"/>
        <v>1.2930027025079838E-2</v>
      </c>
      <c r="E68" s="121">
        <v>42748</v>
      </c>
      <c r="F68" s="9">
        <v>8400.3496090000008</v>
      </c>
      <c r="G68" s="39">
        <f t="shared" si="1"/>
        <v>-1.4799111221689421E-3</v>
      </c>
    </row>
    <row r="69" spans="1:7" ht="14.25" customHeight="1" x14ac:dyDescent="0.25">
      <c r="A69" s="121">
        <v>42751</v>
      </c>
      <c r="B69" s="9">
        <v>204.949997</v>
      </c>
      <c r="C69" s="39">
        <f t="shared" si="0"/>
        <v>-1.8263728502574406E-3</v>
      </c>
      <c r="E69" s="121">
        <v>42751</v>
      </c>
      <c r="F69" s="9">
        <v>8412.7998050000006</v>
      </c>
      <c r="G69" s="39">
        <f t="shared" si="1"/>
        <v>1.7623011431293634E-3</v>
      </c>
    </row>
    <row r="70" spans="1:7" ht="14.25" customHeight="1" x14ac:dyDescent="0.25">
      <c r="A70" s="121">
        <v>42752</v>
      </c>
      <c r="B70" s="9">
        <v>205.324997</v>
      </c>
      <c r="C70" s="39">
        <f t="shared" si="0"/>
        <v>-1.4873484252750702E-2</v>
      </c>
      <c r="E70" s="121">
        <v>42752</v>
      </c>
      <c r="F70" s="9">
        <v>8398</v>
      </c>
      <c r="G70" s="39">
        <f t="shared" si="1"/>
        <v>-2.2573363431150906E-3</v>
      </c>
    </row>
    <row r="71" spans="1:7" ht="14.25" customHeight="1" x14ac:dyDescent="0.25">
      <c r="A71" s="121">
        <v>42753</v>
      </c>
      <c r="B71" s="9">
        <v>208.425003</v>
      </c>
      <c r="C71" s="39">
        <f t="shared" si="0"/>
        <v>8.4674003851350488E-3</v>
      </c>
      <c r="E71" s="121">
        <v>42753</v>
      </c>
      <c r="F71" s="9">
        <v>8417</v>
      </c>
      <c r="G71" s="39">
        <f t="shared" si="1"/>
        <v>-2.1457492903449449E-3</v>
      </c>
    </row>
    <row r="72" spans="1:7" ht="14.25" customHeight="1" x14ac:dyDescent="0.25">
      <c r="A72" s="121">
        <v>42754</v>
      </c>
      <c r="B72" s="9">
        <v>206.675003</v>
      </c>
      <c r="C72" s="39">
        <f t="shared" si="0"/>
        <v>-1.2187850050772608E-2</v>
      </c>
      <c r="E72" s="121">
        <v>42754</v>
      </c>
      <c r="F72" s="9">
        <v>8435.0996090000008</v>
      </c>
      <c r="G72" s="39">
        <f t="shared" si="1"/>
        <v>1.0270261040161488E-2</v>
      </c>
    </row>
    <row r="73" spans="1:7" ht="14.25" customHeight="1" x14ac:dyDescent="0.25">
      <c r="A73" s="121">
        <v>42755</v>
      </c>
      <c r="B73" s="9">
        <v>209.22500600000001</v>
      </c>
      <c r="C73" s="39">
        <f t="shared" si="0"/>
        <v>-3.5829465437787977E-2</v>
      </c>
      <c r="E73" s="121">
        <v>42755</v>
      </c>
      <c r="F73" s="9">
        <v>8349.3496090000008</v>
      </c>
      <c r="G73" s="39">
        <f t="shared" si="1"/>
        <v>-5.022986474408575E-3</v>
      </c>
    </row>
    <row r="74" spans="1:7" ht="14.25" customHeight="1" x14ac:dyDescent="0.25">
      <c r="A74" s="121">
        <v>42758</v>
      </c>
      <c r="B74" s="9">
        <v>217</v>
      </c>
      <c r="C74" s="39">
        <f t="shared" si="0"/>
        <v>-8.7929792103280668E-3</v>
      </c>
      <c r="E74" s="121">
        <v>42758</v>
      </c>
      <c r="F74" s="9">
        <v>8391.5</v>
      </c>
      <c r="G74" s="39">
        <f t="shared" si="1"/>
        <v>-9.9459410249721492E-3</v>
      </c>
    </row>
    <row r="75" spans="1:7" ht="14.25" customHeight="1" x14ac:dyDescent="0.25">
      <c r="A75" s="121">
        <v>42759</v>
      </c>
      <c r="B75" s="9">
        <v>218.925003</v>
      </c>
      <c r="C75" s="39">
        <f t="shared" si="0"/>
        <v>7.13054859114437E-3</v>
      </c>
      <c r="E75" s="121">
        <v>42759</v>
      </c>
      <c r="F75" s="9">
        <v>8475.7998050000006</v>
      </c>
      <c r="G75" s="39">
        <f t="shared" si="1"/>
        <v>-1.4756931795065431E-2</v>
      </c>
    </row>
    <row r="76" spans="1:7" ht="14.25" customHeight="1" x14ac:dyDescent="0.25">
      <c r="A76" s="121">
        <v>42760</v>
      </c>
      <c r="B76" s="9">
        <v>217.375</v>
      </c>
      <c r="C76" s="39">
        <f t="shared" si="0"/>
        <v>-5.3763577390570916E-3</v>
      </c>
      <c r="E76" s="121">
        <v>42760</v>
      </c>
      <c r="F76" s="9">
        <v>8602.75</v>
      </c>
      <c r="G76" s="39">
        <f t="shared" si="1"/>
        <v>-4.4553739331694153E-3</v>
      </c>
    </row>
    <row r="77" spans="1:7" ht="14.25" customHeight="1" x14ac:dyDescent="0.25">
      <c r="A77" s="121">
        <v>42762</v>
      </c>
      <c r="B77" s="9">
        <v>218.550003</v>
      </c>
      <c r="C77" s="39">
        <f t="shared" si="0"/>
        <v>-3.3063095192695791E-3</v>
      </c>
      <c r="E77" s="121">
        <v>42762</v>
      </c>
      <c r="F77" s="9">
        <v>8641.25</v>
      </c>
      <c r="G77" s="39">
        <f t="shared" si="1"/>
        <v>9.8462251310427185E-4</v>
      </c>
    </row>
    <row r="78" spans="1:7" ht="14.25" customHeight="1" x14ac:dyDescent="0.25">
      <c r="A78" s="121">
        <v>42765</v>
      </c>
      <c r="B78" s="9">
        <v>219.27499399999999</v>
      </c>
      <c r="C78" s="39">
        <f t="shared" si="0"/>
        <v>3.0877766764560999E-3</v>
      </c>
      <c r="E78" s="121">
        <v>42765</v>
      </c>
      <c r="F78" s="9">
        <v>8632.75</v>
      </c>
      <c r="G78" s="39">
        <f t="shared" si="1"/>
        <v>8.3457181301220817E-3</v>
      </c>
    </row>
    <row r="79" spans="1:7" ht="14.25" customHeight="1" x14ac:dyDescent="0.25">
      <c r="A79" s="121">
        <v>42766</v>
      </c>
      <c r="B79" s="9">
        <v>218.60000600000001</v>
      </c>
      <c r="C79" s="39">
        <f t="shared" si="0"/>
        <v>3.2125379498635365E-3</v>
      </c>
      <c r="E79" s="121">
        <v>42766</v>
      </c>
      <c r="F79" s="9">
        <v>8561.2998050000006</v>
      </c>
      <c r="G79" s="39">
        <f t="shared" si="1"/>
        <v>-1.7794109843800365E-2</v>
      </c>
    </row>
    <row r="80" spans="1:7" ht="14.25" customHeight="1" x14ac:dyDescent="0.25">
      <c r="A80" s="121">
        <v>42767</v>
      </c>
      <c r="B80" s="9">
        <v>217.89999399999999</v>
      </c>
      <c r="C80" s="39">
        <f t="shared" si="0"/>
        <v>-7.9672207958266794E-3</v>
      </c>
      <c r="E80" s="121">
        <v>42767</v>
      </c>
      <c r="F80" s="9">
        <v>8716.4003909999992</v>
      </c>
      <c r="G80" s="39">
        <f t="shared" si="1"/>
        <v>-2.0436338552252131E-3</v>
      </c>
    </row>
    <row r="81" spans="1:7" ht="14.25" customHeight="1" x14ac:dyDescent="0.25">
      <c r="A81" s="121">
        <v>42768</v>
      </c>
      <c r="B81" s="9">
        <v>219.64999399999999</v>
      </c>
      <c r="C81" s="39">
        <f t="shared" si="0"/>
        <v>1.7101813260111953E-3</v>
      </c>
      <c r="E81" s="121">
        <v>42768</v>
      </c>
      <c r="F81" s="9">
        <v>8734.25</v>
      </c>
      <c r="G81" s="39">
        <f t="shared" si="1"/>
        <v>-7.6652936471732769E-4</v>
      </c>
    </row>
    <row r="82" spans="1:7" ht="14.25" customHeight="1" x14ac:dyDescent="0.25">
      <c r="A82" s="121">
        <v>42769</v>
      </c>
      <c r="B82" s="9">
        <v>219.27499399999999</v>
      </c>
      <c r="C82" s="39">
        <f t="shared" si="0"/>
        <v>-7.243943406904374E-3</v>
      </c>
      <c r="E82" s="121">
        <v>42769</v>
      </c>
      <c r="F82" s="9">
        <v>8740.9501949999994</v>
      </c>
      <c r="G82" s="39">
        <f t="shared" si="1"/>
        <v>-6.8286865012237019E-3</v>
      </c>
    </row>
    <row r="83" spans="1:7" ht="14.25" customHeight="1" x14ac:dyDescent="0.25">
      <c r="A83" s="121">
        <v>42772</v>
      </c>
      <c r="B83" s="9">
        <v>220.875</v>
      </c>
      <c r="C83" s="39">
        <f t="shared" si="0"/>
        <v>1.7006802721089009E-3</v>
      </c>
      <c r="E83" s="121">
        <v>42772</v>
      </c>
      <c r="F83" s="9">
        <v>8801.0498050000006</v>
      </c>
      <c r="G83" s="39">
        <f t="shared" si="1"/>
        <v>3.7350456449178893E-3</v>
      </c>
    </row>
    <row r="84" spans="1:7" ht="14.25" customHeight="1" x14ac:dyDescent="0.25">
      <c r="A84" s="121">
        <v>42773</v>
      </c>
      <c r="B84" s="9">
        <v>220.5</v>
      </c>
      <c r="C84" s="39">
        <f t="shared" si="0"/>
        <v>-9.06193940727551E-4</v>
      </c>
      <c r="E84" s="121">
        <v>42773</v>
      </c>
      <c r="F84" s="9">
        <v>8768.2998050000006</v>
      </c>
      <c r="G84" s="39">
        <f t="shared" si="1"/>
        <v>-8.5528080770225223E-5</v>
      </c>
    </row>
    <row r="85" spans="1:7" ht="14.25" customHeight="1" x14ac:dyDescent="0.25">
      <c r="A85" s="121">
        <v>42774</v>
      </c>
      <c r="B85" s="9">
        <v>220.699997</v>
      </c>
      <c r="C85" s="39">
        <f t="shared" si="0"/>
        <v>3.3481591662632759E-2</v>
      </c>
      <c r="E85" s="121">
        <v>42774</v>
      </c>
      <c r="F85" s="9">
        <v>8769.0498050000006</v>
      </c>
      <c r="G85" s="39">
        <f t="shared" si="1"/>
        <v>-1.0651810789565896E-3</v>
      </c>
    </row>
    <row r="86" spans="1:7" ht="14.25" customHeight="1" x14ac:dyDescent="0.25">
      <c r="A86" s="121">
        <v>42775</v>
      </c>
      <c r="B86" s="9">
        <v>213.550003</v>
      </c>
      <c r="C86" s="39">
        <f t="shared" si="0"/>
        <v>-2.7771414371174474E-2</v>
      </c>
      <c r="E86" s="121">
        <v>42775</v>
      </c>
      <c r="F86" s="9">
        <v>8778.4003909999992</v>
      </c>
      <c r="G86" s="39">
        <f t="shared" si="1"/>
        <v>-1.7227870809791712E-3</v>
      </c>
    </row>
    <row r="87" spans="1:7" ht="14.25" customHeight="1" x14ac:dyDescent="0.25">
      <c r="A87" s="121">
        <v>42776</v>
      </c>
      <c r="B87" s="9">
        <v>219.64999399999999</v>
      </c>
      <c r="C87" s="39">
        <f t="shared" si="0"/>
        <v>1.2095381050903242E-2</v>
      </c>
      <c r="E87" s="121">
        <v>42776</v>
      </c>
      <c r="F87" s="9">
        <v>8793.5498050000006</v>
      </c>
      <c r="G87" s="39">
        <f t="shared" si="1"/>
        <v>-1.3060687054228248E-3</v>
      </c>
    </row>
    <row r="88" spans="1:7" ht="14.25" customHeight="1" x14ac:dyDescent="0.25">
      <c r="A88" s="121">
        <v>42779</v>
      </c>
      <c r="B88" s="9">
        <v>217.02499399999999</v>
      </c>
      <c r="C88" s="39">
        <f t="shared" si="0"/>
        <v>-8.5655552827470505E-3</v>
      </c>
      <c r="E88" s="121">
        <v>42779</v>
      </c>
      <c r="F88" s="9">
        <v>8805.0498050000006</v>
      </c>
      <c r="G88" s="39">
        <f t="shared" si="1"/>
        <v>1.4501325344649096E-3</v>
      </c>
    </row>
    <row r="89" spans="1:7" ht="14.25" customHeight="1" x14ac:dyDescent="0.25">
      <c r="A89" s="121">
        <v>42780</v>
      </c>
      <c r="B89" s="9">
        <v>218.89999399999999</v>
      </c>
      <c r="C89" s="39">
        <f t="shared" si="0"/>
        <v>4.1389139506029515E-2</v>
      </c>
      <c r="E89" s="121">
        <v>42780</v>
      </c>
      <c r="F89" s="9">
        <v>8792.2998050000006</v>
      </c>
      <c r="G89" s="39">
        <f t="shared" si="1"/>
        <v>7.7480725399299288E-3</v>
      </c>
    </row>
    <row r="90" spans="1:7" ht="14.25" customHeight="1" x14ac:dyDescent="0.25">
      <c r="A90" s="121">
        <v>42781</v>
      </c>
      <c r="B90" s="9">
        <v>210.199997</v>
      </c>
      <c r="C90" s="39">
        <f t="shared" si="0"/>
        <v>-1.68381943380983E-2</v>
      </c>
      <c r="E90" s="121">
        <v>42781</v>
      </c>
      <c r="F90" s="9">
        <v>8724.7001949999994</v>
      </c>
      <c r="G90" s="39">
        <f t="shared" si="1"/>
        <v>-6.0719759626338687E-3</v>
      </c>
    </row>
    <row r="91" spans="1:7" ht="14.25" customHeight="1" x14ac:dyDescent="0.25">
      <c r="A91" s="121">
        <v>42782</v>
      </c>
      <c r="B91" s="9">
        <v>213.800003</v>
      </c>
      <c r="C91" s="39">
        <f t="shared" si="0"/>
        <v>5.8809691007155607E-3</v>
      </c>
      <c r="E91" s="121">
        <v>42782</v>
      </c>
      <c r="F91" s="9">
        <v>8778</v>
      </c>
      <c r="G91" s="39">
        <f t="shared" si="1"/>
        <v>-4.9537157275836297E-3</v>
      </c>
    </row>
    <row r="92" spans="1:7" ht="14.25" customHeight="1" x14ac:dyDescent="0.25">
      <c r="A92" s="121">
        <v>42783</v>
      </c>
      <c r="B92" s="9">
        <v>212.550003</v>
      </c>
      <c r="C92" s="39">
        <f t="shared" si="0"/>
        <v>8.1821701626776377E-3</v>
      </c>
      <c r="E92" s="121">
        <v>42783</v>
      </c>
      <c r="F92" s="9">
        <v>8821.7001949999994</v>
      </c>
      <c r="G92" s="39">
        <f t="shared" si="1"/>
        <v>-6.4758084891901602E-3</v>
      </c>
    </row>
    <row r="93" spans="1:7" ht="14.25" customHeight="1" x14ac:dyDescent="0.25">
      <c r="A93" s="121">
        <v>42786</v>
      </c>
      <c r="B93" s="9">
        <v>210.824997</v>
      </c>
      <c r="C93" s="39">
        <f t="shared" si="0"/>
        <v>2.9733587484304103E-3</v>
      </c>
      <c r="E93" s="121">
        <v>42786</v>
      </c>
      <c r="F93" s="9">
        <v>8879.2001949999994</v>
      </c>
      <c r="G93" s="39">
        <f t="shared" si="1"/>
        <v>-3.216198662700287E-3</v>
      </c>
    </row>
    <row r="94" spans="1:7" ht="14.25" customHeight="1" x14ac:dyDescent="0.25">
      <c r="A94" s="121">
        <v>42787</v>
      </c>
      <c r="B94" s="9">
        <v>210.199997</v>
      </c>
      <c r="C94" s="39">
        <f t="shared" si="0"/>
        <v>-4.7553969839941868E-4</v>
      </c>
      <c r="E94" s="121">
        <v>42787</v>
      </c>
      <c r="F94" s="9">
        <v>8907.8496090000008</v>
      </c>
      <c r="G94" s="39">
        <f t="shared" si="1"/>
        <v>-2.1340869916287586E-3</v>
      </c>
    </row>
    <row r="95" spans="1:7" ht="14.25" customHeight="1" x14ac:dyDescent="0.25">
      <c r="A95" s="121">
        <v>42788</v>
      </c>
      <c r="B95" s="9">
        <v>210.300003</v>
      </c>
      <c r="C95" s="39">
        <f t="shared" si="0"/>
        <v>1.3094108218376643E-3</v>
      </c>
      <c r="E95" s="121">
        <v>42788</v>
      </c>
      <c r="F95" s="9">
        <v>8926.9003909999992</v>
      </c>
      <c r="G95" s="39">
        <f t="shared" si="1"/>
        <v>-1.4094310643772978E-3</v>
      </c>
    </row>
    <row r="96" spans="1:7" ht="14.25" customHeight="1" x14ac:dyDescent="0.25">
      <c r="A96" s="121">
        <v>42789</v>
      </c>
      <c r="B96" s="9">
        <v>210.02499399999999</v>
      </c>
      <c r="C96" s="39">
        <f t="shared" si="0"/>
        <v>-9.1992543686967299E-3</v>
      </c>
      <c r="E96" s="121">
        <v>42789</v>
      </c>
      <c r="F96" s="9">
        <v>8939.5</v>
      </c>
      <c r="G96" s="39">
        <f t="shared" si="1"/>
        <v>4.8107505099534986E-3</v>
      </c>
    </row>
    <row r="97" spans="1:7" ht="14.25" customHeight="1" x14ac:dyDescent="0.25">
      <c r="A97" s="121">
        <v>42793</v>
      </c>
      <c r="B97" s="9">
        <v>211.97500600000001</v>
      </c>
      <c r="C97" s="39">
        <f t="shared" si="0"/>
        <v>2.8385854523951259E-3</v>
      </c>
      <c r="E97" s="121">
        <v>42793</v>
      </c>
      <c r="F97" s="9">
        <v>8896.7001949999994</v>
      </c>
      <c r="G97" s="39">
        <f t="shared" si="1"/>
        <v>1.9258285004952747E-3</v>
      </c>
    </row>
    <row r="98" spans="1:7" ht="14.25" customHeight="1" x14ac:dyDescent="0.25">
      <c r="A98" s="121">
        <v>42794</v>
      </c>
      <c r="B98" s="9">
        <v>211.375</v>
      </c>
      <c r="C98" s="39">
        <f t="shared" si="0"/>
        <v>-2.4573129089614176E-2</v>
      </c>
      <c r="E98" s="121">
        <v>42794</v>
      </c>
      <c r="F98" s="9">
        <v>8879.5996090000008</v>
      </c>
      <c r="G98" s="39">
        <f t="shared" si="1"/>
        <v>-7.4001427980758816E-3</v>
      </c>
    </row>
    <row r="99" spans="1:7" ht="14.25" customHeight="1" x14ac:dyDescent="0.25">
      <c r="A99" s="121">
        <v>42795</v>
      </c>
      <c r="B99" s="9">
        <v>216.699997</v>
      </c>
      <c r="C99" s="39">
        <f t="shared" si="0"/>
        <v>-1.8124150676812167E-2</v>
      </c>
      <c r="E99" s="121">
        <v>42795</v>
      </c>
      <c r="F99" s="9">
        <v>8945.7998050000006</v>
      </c>
      <c r="G99" s="39">
        <f t="shared" si="1"/>
        <v>5.1742807382231248E-3</v>
      </c>
    </row>
    <row r="100" spans="1:7" ht="14.25" customHeight="1" x14ac:dyDescent="0.25">
      <c r="A100" s="121">
        <v>42796</v>
      </c>
      <c r="B100" s="9">
        <v>220.699997</v>
      </c>
      <c r="C100" s="39">
        <f t="shared" si="0"/>
        <v>2.4983103111053673E-3</v>
      </c>
      <c r="E100" s="121">
        <v>42796</v>
      </c>
      <c r="F100" s="9">
        <v>8899.75</v>
      </c>
      <c r="G100" s="39">
        <f t="shared" si="1"/>
        <v>2.4728099850168661E-4</v>
      </c>
    </row>
    <row r="101" spans="1:7" ht="14.25" customHeight="1" x14ac:dyDescent="0.25">
      <c r="A101" s="121">
        <v>42797</v>
      </c>
      <c r="B101" s="9">
        <v>220.14999399999999</v>
      </c>
      <c r="C101" s="39">
        <f t="shared" si="0"/>
        <v>-1.8064241990154883E-2</v>
      </c>
      <c r="E101" s="121">
        <v>42797</v>
      </c>
      <c r="F101" s="9">
        <v>8897.5498050000006</v>
      </c>
      <c r="G101" s="39">
        <f t="shared" si="1"/>
        <v>-7.3521231854180025E-3</v>
      </c>
    </row>
    <row r="102" spans="1:7" ht="14.25" customHeight="1" x14ac:dyDescent="0.25">
      <c r="A102" s="121">
        <v>42800</v>
      </c>
      <c r="B102" s="9">
        <v>224.199997</v>
      </c>
      <c r="C102" s="39">
        <f t="shared" si="0"/>
        <v>-6.3158027700831454E-3</v>
      </c>
      <c r="E102" s="121">
        <v>42800</v>
      </c>
      <c r="F102" s="9">
        <v>8963.4501949999994</v>
      </c>
      <c r="G102" s="39">
        <f t="shared" si="1"/>
        <v>1.8497807370974062E-3</v>
      </c>
    </row>
    <row r="103" spans="1:7" ht="14.25" customHeight="1" x14ac:dyDescent="0.25">
      <c r="A103" s="121">
        <v>42801</v>
      </c>
      <c r="B103" s="9">
        <v>225.625</v>
      </c>
      <c r="C103" s="39">
        <f t="shared" si="0"/>
        <v>-4.9614112458654658E-3</v>
      </c>
      <c r="E103" s="121">
        <v>42801</v>
      </c>
      <c r="F103" s="9">
        <v>8946.9003909999992</v>
      </c>
      <c r="G103" s="39">
        <f t="shared" si="1"/>
        <v>2.5324772244132987E-3</v>
      </c>
    </row>
    <row r="104" spans="1:7" ht="14.25" customHeight="1" x14ac:dyDescent="0.25">
      <c r="A104" s="121">
        <v>42802</v>
      </c>
      <c r="B104" s="9">
        <v>226.75</v>
      </c>
      <c r="C104" s="39">
        <f t="shared" si="0"/>
        <v>-2.4626329077285902E-2</v>
      </c>
      <c r="E104" s="121">
        <v>42802</v>
      </c>
      <c r="F104" s="9">
        <v>8924.2998050000006</v>
      </c>
      <c r="G104" s="39">
        <f t="shared" si="1"/>
        <v>-3.0247507561320663E-4</v>
      </c>
    </row>
    <row r="105" spans="1:7" ht="14.25" customHeight="1" x14ac:dyDescent="0.25">
      <c r="A105" s="121">
        <v>42803</v>
      </c>
      <c r="B105" s="9">
        <v>232.47500600000001</v>
      </c>
      <c r="C105" s="39">
        <f t="shared" si="0"/>
        <v>4.6713190993790343E-2</v>
      </c>
      <c r="E105" s="121">
        <v>42803</v>
      </c>
      <c r="F105" s="9">
        <v>8927</v>
      </c>
      <c r="G105" s="39">
        <f t="shared" si="1"/>
        <v>-8.4501235818013054E-4</v>
      </c>
    </row>
    <row r="106" spans="1:7" ht="14.25" customHeight="1" x14ac:dyDescent="0.25">
      <c r="A106" s="121">
        <v>42804</v>
      </c>
      <c r="B106" s="9">
        <v>222.10000600000001</v>
      </c>
      <c r="C106" s="39">
        <f t="shared" si="0"/>
        <v>-3.935982317508413E-2</v>
      </c>
      <c r="E106" s="121">
        <v>42804</v>
      </c>
      <c r="F106" s="9">
        <v>8934.5498050000006</v>
      </c>
      <c r="G106" s="39">
        <f t="shared" si="1"/>
        <v>-1.6776735446241808E-2</v>
      </c>
    </row>
    <row r="107" spans="1:7" ht="14.25" customHeight="1" x14ac:dyDescent="0.25">
      <c r="A107" s="121">
        <v>42808</v>
      </c>
      <c r="B107" s="9">
        <v>231.199997</v>
      </c>
      <c r="C107" s="39">
        <f t="shared" si="0"/>
        <v>-1.5960842936295072E-2</v>
      </c>
      <c r="E107" s="121">
        <v>42808</v>
      </c>
      <c r="F107" s="9">
        <v>9087</v>
      </c>
      <c r="G107" s="39">
        <f t="shared" si="1"/>
        <v>2.4218420297916765E-4</v>
      </c>
    </row>
    <row r="108" spans="1:7" ht="14.25" customHeight="1" x14ac:dyDescent="0.25">
      <c r="A108" s="121">
        <v>42809</v>
      </c>
      <c r="B108" s="9">
        <v>234.949997</v>
      </c>
      <c r="C108" s="39">
        <f t="shared" si="0"/>
        <v>-1.1984886308012421E-2</v>
      </c>
      <c r="E108" s="121">
        <v>42809</v>
      </c>
      <c r="F108" s="9">
        <v>9084.7998050000006</v>
      </c>
      <c r="G108" s="39">
        <f t="shared" si="1"/>
        <v>-7.5270533808431406E-3</v>
      </c>
    </row>
    <row r="109" spans="1:7" ht="14.25" customHeight="1" x14ac:dyDescent="0.25">
      <c r="A109" s="121">
        <v>42810</v>
      </c>
      <c r="B109" s="9">
        <v>237.800003</v>
      </c>
      <c r="C109" s="39">
        <f t="shared" si="0"/>
        <v>2.3345897794513126E-2</v>
      </c>
      <c r="E109" s="121">
        <v>42810</v>
      </c>
      <c r="F109" s="9">
        <v>9153.7001949999994</v>
      </c>
      <c r="G109" s="39">
        <f t="shared" si="1"/>
        <v>-6.9318509562421582E-4</v>
      </c>
    </row>
    <row r="110" spans="1:7" ht="14.25" customHeight="1" x14ac:dyDescent="0.25">
      <c r="A110" s="121">
        <v>42811</v>
      </c>
      <c r="B110" s="9">
        <v>232.375</v>
      </c>
      <c r="C110" s="39">
        <f t="shared" si="0"/>
        <v>-3.5087707278161018E-2</v>
      </c>
      <c r="E110" s="121">
        <v>42811</v>
      </c>
      <c r="F110" s="9">
        <v>9160.0498050000006</v>
      </c>
      <c r="G110" s="39">
        <f t="shared" si="1"/>
        <v>3.6376403055071727E-3</v>
      </c>
    </row>
    <row r="111" spans="1:7" ht="14.25" customHeight="1" x14ac:dyDescent="0.25">
      <c r="A111" s="121">
        <v>42814</v>
      </c>
      <c r="B111" s="9">
        <v>240.824997</v>
      </c>
      <c r="C111" s="39">
        <f t="shared" si="0"/>
        <v>3.7511471866065182E-3</v>
      </c>
      <c r="E111" s="121">
        <v>42814</v>
      </c>
      <c r="F111" s="9">
        <v>9126.8496090000008</v>
      </c>
      <c r="G111" s="39">
        <f t="shared" si="1"/>
        <v>5.8648347311307525E-4</v>
      </c>
    </row>
    <row r="112" spans="1:7" ht="14.25" customHeight="1" x14ac:dyDescent="0.25">
      <c r="A112" s="121">
        <v>42815</v>
      </c>
      <c r="B112" s="9">
        <v>239.925003</v>
      </c>
      <c r="C112" s="39">
        <f t="shared" si="0"/>
        <v>1.9006184145332616E-2</v>
      </c>
      <c r="E112" s="121">
        <v>42815</v>
      </c>
      <c r="F112" s="9">
        <v>9121.5</v>
      </c>
      <c r="G112" s="39">
        <f t="shared" si="1"/>
        <v>1.0082532214220397E-2</v>
      </c>
    </row>
    <row r="113" spans="1:7" ht="14.25" customHeight="1" x14ac:dyDescent="0.25">
      <c r="A113" s="121">
        <v>42816</v>
      </c>
      <c r="B113" s="9">
        <v>235.449997</v>
      </c>
      <c r="C113" s="39">
        <f t="shared" si="0"/>
        <v>5.3118028935950079E-4</v>
      </c>
      <c r="E113" s="121">
        <v>42816</v>
      </c>
      <c r="F113" s="9">
        <v>9030.4501949999994</v>
      </c>
      <c r="G113" s="39">
        <f t="shared" si="1"/>
        <v>-6.1465735446312175E-3</v>
      </c>
    </row>
    <row r="114" spans="1:7" ht="14.25" customHeight="1" x14ac:dyDescent="0.25">
      <c r="A114" s="121">
        <v>42817</v>
      </c>
      <c r="B114" s="9">
        <v>235.324997</v>
      </c>
      <c r="C114" s="39">
        <f t="shared" si="0"/>
        <v>4.9108315800896474E-3</v>
      </c>
      <c r="E114" s="121">
        <v>42817</v>
      </c>
      <c r="F114" s="9">
        <v>9086.2998050000006</v>
      </c>
      <c r="G114" s="39">
        <f t="shared" si="1"/>
        <v>-2.3825422705313626E-3</v>
      </c>
    </row>
    <row r="115" spans="1:7" ht="14.25" customHeight="1" x14ac:dyDescent="0.25">
      <c r="A115" s="121">
        <v>42818</v>
      </c>
      <c r="B115" s="9">
        <v>234.175003</v>
      </c>
      <c r="C115" s="39">
        <f t="shared" si="0"/>
        <v>1.4842916576381482E-2</v>
      </c>
      <c r="E115" s="121">
        <v>42818</v>
      </c>
      <c r="F115" s="9">
        <v>9108</v>
      </c>
      <c r="G115" s="39">
        <f t="shared" si="1"/>
        <v>6.9428872381083195E-3</v>
      </c>
    </row>
    <row r="116" spans="1:7" ht="14.25" customHeight="1" x14ac:dyDescent="0.25">
      <c r="A116" s="121">
        <v>42821</v>
      </c>
      <c r="B116" s="9">
        <v>230.75</v>
      </c>
      <c r="C116" s="39">
        <f t="shared" si="0"/>
        <v>-6.5654678264677191E-3</v>
      </c>
      <c r="E116" s="121">
        <v>42821</v>
      </c>
      <c r="F116" s="9">
        <v>9045.2001949999994</v>
      </c>
      <c r="G116" s="39">
        <f t="shared" si="1"/>
        <v>-6.1093103014369099E-3</v>
      </c>
    </row>
    <row r="117" spans="1:7" ht="14.25" customHeight="1" x14ac:dyDescent="0.25">
      <c r="A117" s="121">
        <v>42822</v>
      </c>
      <c r="B117" s="9">
        <v>232.27499399999999</v>
      </c>
      <c r="C117" s="39">
        <f t="shared" si="0"/>
        <v>-3.0065818225723406E-2</v>
      </c>
      <c r="E117" s="121">
        <v>42822</v>
      </c>
      <c r="F117" s="9">
        <v>9100.7998050000006</v>
      </c>
      <c r="G117" s="39">
        <f t="shared" si="1"/>
        <v>-4.702640140534009E-3</v>
      </c>
    </row>
    <row r="118" spans="1:7" ht="14.25" customHeight="1" x14ac:dyDescent="0.25">
      <c r="A118" s="121">
        <v>42823</v>
      </c>
      <c r="B118" s="9">
        <v>239.47500600000001</v>
      </c>
      <c r="C118" s="39">
        <f t="shared" si="0"/>
        <v>-2.2351463837739893E-2</v>
      </c>
      <c r="E118" s="121">
        <v>42823</v>
      </c>
      <c r="F118" s="9">
        <v>9143.7998050000006</v>
      </c>
      <c r="G118" s="39">
        <f t="shared" si="1"/>
        <v>-3.2647712222373393E-3</v>
      </c>
    </row>
    <row r="119" spans="1:7" ht="14.25" customHeight="1" x14ac:dyDescent="0.25">
      <c r="A119" s="121">
        <v>42824</v>
      </c>
      <c r="B119" s="9">
        <v>244.949997</v>
      </c>
      <c r="C119" s="39">
        <f t="shared" si="0"/>
        <v>-1.7842811175047602E-2</v>
      </c>
      <c r="E119" s="121">
        <v>42824</v>
      </c>
      <c r="F119" s="9">
        <v>9173.75</v>
      </c>
      <c r="G119" s="39">
        <f t="shared" si="1"/>
        <v>0</v>
      </c>
    </row>
    <row r="120" spans="1:7" ht="14.25" customHeight="1" x14ac:dyDescent="0.25">
      <c r="A120" s="121">
        <v>42825</v>
      </c>
      <c r="B120" s="9">
        <v>249.39999399999999</v>
      </c>
      <c r="C120" s="39">
        <f t="shared" si="0"/>
        <v>5.3411146468742565E-3</v>
      </c>
      <c r="E120" s="121">
        <v>42825</v>
      </c>
      <c r="F120" s="9">
        <v>9173.75</v>
      </c>
      <c r="G120" s="39">
        <f t="shared" si="1"/>
        <v>-6.9388019629104125E-3</v>
      </c>
    </row>
    <row r="121" spans="1:7" ht="14.25" customHeight="1" x14ac:dyDescent="0.25">
      <c r="A121" s="121">
        <v>42828</v>
      </c>
      <c r="B121" s="9">
        <v>248.074997</v>
      </c>
      <c r="C121" s="39">
        <f t="shared" si="0"/>
        <v>-3.7148714859437382E-3</v>
      </c>
      <c r="E121" s="121">
        <v>42828</v>
      </c>
      <c r="F121" s="9">
        <v>9237.8496090000008</v>
      </c>
      <c r="G121" s="39">
        <f t="shared" si="1"/>
        <v>-2.9466096984802626E-3</v>
      </c>
    </row>
    <row r="122" spans="1:7" ht="14.25" customHeight="1" x14ac:dyDescent="0.25">
      <c r="A122" s="121">
        <v>42830</v>
      </c>
      <c r="B122" s="9">
        <v>249</v>
      </c>
      <c r="C122" s="39">
        <f t="shared" si="0"/>
        <v>1.2915704418782203E-2</v>
      </c>
      <c r="E122" s="121">
        <v>42830</v>
      </c>
      <c r="F122" s="9">
        <v>9265.1503909999992</v>
      </c>
      <c r="G122" s="39">
        <f t="shared" si="1"/>
        <v>3.4552075239258073E-4</v>
      </c>
    </row>
    <row r="123" spans="1:7" ht="14.25" customHeight="1" x14ac:dyDescent="0.25">
      <c r="A123" s="121">
        <v>42831</v>
      </c>
      <c r="B123" s="9">
        <v>245.824997</v>
      </c>
      <c r="C123" s="39">
        <f t="shared" si="0"/>
        <v>-3.344808514367914E-3</v>
      </c>
      <c r="E123" s="121">
        <v>42831</v>
      </c>
      <c r="F123" s="9">
        <v>9261.9501949999994</v>
      </c>
      <c r="G123" s="39">
        <f t="shared" si="1"/>
        <v>6.9197994574388133E-3</v>
      </c>
    </row>
    <row r="124" spans="1:7" ht="14.25" customHeight="1" x14ac:dyDescent="0.25">
      <c r="A124" s="121">
        <v>42832</v>
      </c>
      <c r="B124" s="9">
        <v>246.64999399999999</v>
      </c>
      <c r="C124" s="39">
        <f t="shared" si="0"/>
        <v>3.0415492613800055E-4</v>
      </c>
      <c r="E124" s="121">
        <v>42832</v>
      </c>
      <c r="F124" s="9">
        <v>9198.2998050000006</v>
      </c>
      <c r="G124" s="39">
        <f t="shared" si="1"/>
        <v>1.8351795895137357E-3</v>
      </c>
    </row>
    <row r="125" spans="1:7" ht="14.25" customHeight="1" x14ac:dyDescent="0.25">
      <c r="A125" s="121">
        <v>42835</v>
      </c>
      <c r="B125" s="9">
        <v>246.574997</v>
      </c>
      <c r="C125" s="39">
        <f t="shared" si="0"/>
        <v>2.9489159337259263E-3</v>
      </c>
      <c r="E125" s="121">
        <v>42835</v>
      </c>
      <c r="F125" s="9">
        <v>9181.4501949999994</v>
      </c>
      <c r="G125" s="39">
        <f t="shared" si="1"/>
        <v>-6.0138362022301717E-3</v>
      </c>
    </row>
    <row r="126" spans="1:7" ht="14.25" customHeight="1" x14ac:dyDescent="0.25">
      <c r="A126" s="121">
        <v>42836</v>
      </c>
      <c r="B126" s="9">
        <v>245.85000600000001</v>
      </c>
      <c r="C126" s="39">
        <f t="shared" si="0"/>
        <v>2.650933963918467E-3</v>
      </c>
      <c r="E126" s="121">
        <v>42836</v>
      </c>
      <c r="F126" s="9">
        <v>9237</v>
      </c>
      <c r="G126" s="39">
        <f t="shared" si="1"/>
        <v>3.6453508509479704E-3</v>
      </c>
    </row>
    <row r="127" spans="1:7" ht="14.25" customHeight="1" x14ac:dyDescent="0.25">
      <c r="A127" s="121">
        <v>42837</v>
      </c>
      <c r="B127" s="9">
        <v>245.199997</v>
      </c>
      <c r="C127" s="39">
        <f t="shared" si="0"/>
        <v>-8.4917346321261578E-3</v>
      </c>
      <c r="E127" s="121">
        <v>42837</v>
      </c>
      <c r="F127" s="9">
        <v>9203.4501949999994</v>
      </c>
      <c r="G127" s="39">
        <f t="shared" si="1"/>
        <v>5.7536380559031208E-3</v>
      </c>
    </row>
    <row r="128" spans="1:7" ht="14.25" customHeight="1" x14ac:dyDescent="0.25">
      <c r="A128" s="121">
        <v>42838</v>
      </c>
      <c r="B128" s="9">
        <v>247.300003</v>
      </c>
      <c r="C128" s="39">
        <f t="shared" si="0"/>
        <v>1.1969321739130345E-2</v>
      </c>
      <c r="E128" s="121">
        <v>42838</v>
      </c>
      <c r="F128" s="9">
        <v>9150.7998050000006</v>
      </c>
      <c r="G128" s="39">
        <f t="shared" si="1"/>
        <v>1.2583020849921134E-3</v>
      </c>
    </row>
    <row r="129" spans="1:7" ht="14.25" customHeight="1" x14ac:dyDescent="0.25">
      <c r="A129" s="121">
        <v>42842</v>
      </c>
      <c r="B129" s="9">
        <v>244.375</v>
      </c>
      <c r="C129" s="39">
        <f t="shared" si="0"/>
        <v>-3.9739391732479534E-3</v>
      </c>
      <c r="E129" s="121">
        <v>42842</v>
      </c>
      <c r="F129" s="9">
        <v>9139.2998050000006</v>
      </c>
      <c r="G129" s="39">
        <f t="shared" si="1"/>
        <v>3.750560126250857E-3</v>
      </c>
    </row>
    <row r="130" spans="1:7" ht="14.25" customHeight="1" x14ac:dyDescent="0.25">
      <c r="A130" s="121">
        <v>42843</v>
      </c>
      <c r="B130" s="9">
        <v>245.35000600000001</v>
      </c>
      <c r="C130" s="39">
        <f t="shared" si="0"/>
        <v>-1.3470008204302442E-2</v>
      </c>
      <c r="E130" s="121">
        <v>42843</v>
      </c>
      <c r="F130" s="9">
        <v>9105.1503909999992</v>
      </c>
      <c r="G130" s="39">
        <f t="shared" si="1"/>
        <v>1.8129192068983002E-4</v>
      </c>
    </row>
    <row r="131" spans="1:7" ht="14.25" customHeight="1" x14ac:dyDescent="0.25">
      <c r="A131" s="121">
        <v>42844</v>
      </c>
      <c r="B131" s="9">
        <v>248.699997</v>
      </c>
      <c r="C131" s="39">
        <f t="shared" si="0"/>
        <v>2.0307679999999939E-2</v>
      </c>
      <c r="E131" s="121">
        <v>42844</v>
      </c>
      <c r="F131" s="9">
        <v>9103.5</v>
      </c>
      <c r="G131" s="39">
        <f t="shared" si="1"/>
        <v>-3.6010233343547471E-3</v>
      </c>
    </row>
    <row r="132" spans="1:7" ht="14.25" customHeight="1" x14ac:dyDescent="0.25">
      <c r="A132" s="121">
        <v>42845</v>
      </c>
      <c r="B132" s="9">
        <v>243.75</v>
      </c>
      <c r="C132" s="39">
        <f t="shared" si="0"/>
        <v>-5.2035262982191854E-3</v>
      </c>
      <c r="E132" s="121">
        <v>42845</v>
      </c>
      <c r="F132" s="9">
        <v>9136.4003909999992</v>
      </c>
      <c r="G132" s="39">
        <f t="shared" si="1"/>
        <v>1.8641576497482326E-3</v>
      </c>
    </row>
    <row r="133" spans="1:7" ht="14.25" customHeight="1" x14ac:dyDescent="0.25">
      <c r="A133" s="121">
        <v>42846</v>
      </c>
      <c r="B133" s="9">
        <v>245.02499399999999</v>
      </c>
      <c r="C133" s="39">
        <f t="shared" si="0"/>
        <v>-1.3487694011071971E-2</v>
      </c>
      <c r="E133" s="121">
        <v>42846</v>
      </c>
      <c r="F133" s="9">
        <v>9119.4003909999992</v>
      </c>
      <c r="G133" s="39">
        <f t="shared" si="1"/>
        <v>-1.0691075772296443E-2</v>
      </c>
    </row>
    <row r="134" spans="1:7" ht="14.25" customHeight="1" x14ac:dyDescent="0.25">
      <c r="A134" s="121">
        <v>42849</v>
      </c>
      <c r="B134" s="9">
        <v>248.375</v>
      </c>
      <c r="C134" s="39">
        <f t="shared" si="0"/>
        <v>1.9161194493615419E-3</v>
      </c>
      <c r="E134" s="121">
        <v>42849</v>
      </c>
      <c r="F134" s="9">
        <v>9217.9501949999994</v>
      </c>
      <c r="G134" s="39">
        <f t="shared" si="1"/>
        <v>-9.5254354677806186E-3</v>
      </c>
    </row>
    <row r="135" spans="1:7" ht="14.25" customHeight="1" x14ac:dyDescent="0.25">
      <c r="A135" s="121">
        <v>42850</v>
      </c>
      <c r="B135" s="9">
        <v>247.89999399999999</v>
      </c>
      <c r="C135" s="39">
        <f t="shared" si="0"/>
        <v>2.3956992384378539E-2</v>
      </c>
      <c r="E135" s="121">
        <v>42850</v>
      </c>
      <c r="F135" s="9">
        <v>9306.5996090000008</v>
      </c>
      <c r="G135" s="39">
        <f t="shared" si="1"/>
        <v>-4.8386150218296953E-3</v>
      </c>
    </row>
    <row r="136" spans="1:7" ht="14.25" customHeight="1" x14ac:dyDescent="0.25">
      <c r="A136" s="121">
        <v>42851</v>
      </c>
      <c r="B136" s="9">
        <v>242.10000600000001</v>
      </c>
      <c r="C136" s="39">
        <f t="shared" si="0"/>
        <v>-4.1284476151326466E-4</v>
      </c>
      <c r="E136" s="121">
        <v>42851</v>
      </c>
      <c r="F136" s="9">
        <v>9351.8496090000008</v>
      </c>
      <c r="G136" s="39">
        <f t="shared" si="1"/>
        <v>1.0382211368964445E-3</v>
      </c>
    </row>
    <row r="137" spans="1:7" ht="14.25" customHeight="1" x14ac:dyDescent="0.25">
      <c r="A137" s="121">
        <v>42852</v>
      </c>
      <c r="B137" s="9">
        <v>242.199997</v>
      </c>
      <c r="C137" s="39">
        <f t="shared" si="0"/>
        <v>-2.022653746229619E-2</v>
      </c>
      <c r="E137" s="121">
        <v>42852</v>
      </c>
      <c r="F137" s="9">
        <v>9342.1503909999992</v>
      </c>
      <c r="G137" s="39">
        <f t="shared" si="1"/>
        <v>4.0950539602144786E-3</v>
      </c>
    </row>
    <row r="138" spans="1:7" ht="14.25" customHeight="1" x14ac:dyDescent="0.25">
      <c r="A138" s="121">
        <v>42853</v>
      </c>
      <c r="B138" s="9">
        <v>247.199997</v>
      </c>
      <c r="C138" s="39">
        <f t="shared" si="0"/>
        <v>1.0111863941197896E-4</v>
      </c>
      <c r="E138" s="121">
        <v>42853</v>
      </c>
      <c r="F138" s="9">
        <v>9304.0498050000006</v>
      </c>
      <c r="G138" s="39">
        <f t="shared" si="1"/>
        <v>-1.0468337525105786E-3</v>
      </c>
    </row>
    <row r="139" spans="1:7" ht="14.25" customHeight="1" x14ac:dyDescent="0.25">
      <c r="A139" s="121">
        <v>42857</v>
      </c>
      <c r="B139" s="9">
        <v>247.175003</v>
      </c>
      <c r="C139" s="39">
        <f t="shared" si="0"/>
        <v>1.5194489280456747E-3</v>
      </c>
      <c r="E139" s="121">
        <v>42857</v>
      </c>
      <c r="F139" s="9">
        <v>9313.7998050000006</v>
      </c>
      <c r="G139" s="39">
        <f t="shared" si="1"/>
        <v>1.9862756579103191E-4</v>
      </c>
    </row>
    <row r="140" spans="1:7" ht="14.25" customHeight="1" x14ac:dyDescent="0.25">
      <c r="A140" s="121">
        <v>42858</v>
      </c>
      <c r="B140" s="9">
        <v>246.800003</v>
      </c>
      <c r="C140" s="39">
        <f t="shared" si="0"/>
        <v>1.2201398694162702E-2</v>
      </c>
      <c r="E140" s="121">
        <v>42858</v>
      </c>
      <c r="F140" s="9">
        <v>9311.9501949999994</v>
      </c>
      <c r="G140" s="39">
        <f t="shared" si="1"/>
        <v>-5.1229387062822207E-3</v>
      </c>
    </row>
    <row r="141" spans="1:7" ht="14.25" customHeight="1" x14ac:dyDescent="0.25">
      <c r="A141" s="121">
        <v>42859</v>
      </c>
      <c r="B141" s="9">
        <v>243.824997</v>
      </c>
      <c r="C141" s="39">
        <f t="shared" si="0"/>
        <v>-2.7607484662577342E-3</v>
      </c>
      <c r="E141" s="121">
        <v>42859</v>
      </c>
      <c r="F141" s="9">
        <v>9359.9003909999992</v>
      </c>
      <c r="G141" s="39">
        <f t="shared" si="1"/>
        <v>8.0342678822096225E-3</v>
      </c>
    </row>
    <row r="142" spans="1:7" ht="14.25" customHeight="1" x14ac:dyDescent="0.25">
      <c r="A142" s="121">
        <v>42860</v>
      </c>
      <c r="B142" s="9">
        <v>244.5</v>
      </c>
      <c r="C142" s="39">
        <f t="shared" si="0"/>
        <v>1.0235414534287557E-3</v>
      </c>
      <c r="E142" s="121">
        <v>42860</v>
      </c>
      <c r="F142" s="9">
        <v>9285.2998050000006</v>
      </c>
      <c r="G142" s="39">
        <f t="shared" si="1"/>
        <v>-3.0867346215570635E-3</v>
      </c>
    </row>
    <row r="143" spans="1:7" ht="14.25" customHeight="1" x14ac:dyDescent="0.25">
      <c r="A143" s="121">
        <v>42863</v>
      </c>
      <c r="B143" s="9">
        <v>244.25</v>
      </c>
      <c r="C143" s="39">
        <f t="shared" si="0"/>
        <v>4.833911403894886E-3</v>
      </c>
      <c r="E143" s="121">
        <v>42863</v>
      </c>
      <c r="F143" s="9">
        <v>9314.0498050000006</v>
      </c>
      <c r="G143" s="39">
        <f t="shared" si="1"/>
        <v>-3.0050973424489147E-4</v>
      </c>
    </row>
    <row r="144" spans="1:7" ht="14.25" customHeight="1" x14ac:dyDescent="0.25">
      <c r="A144" s="121">
        <v>42864</v>
      </c>
      <c r="B144" s="9">
        <v>243.074997</v>
      </c>
      <c r="C144" s="39">
        <f t="shared" si="0"/>
        <v>-1.3794538664094858E-2</v>
      </c>
      <c r="E144" s="121">
        <v>42864</v>
      </c>
      <c r="F144" s="9">
        <v>9316.8496090000008</v>
      </c>
      <c r="G144" s="39">
        <f t="shared" si="1"/>
        <v>-9.61489458982967E-3</v>
      </c>
    </row>
    <row r="145" spans="1:7" ht="14.25" customHeight="1" x14ac:dyDescent="0.25">
      <c r="A145" s="121">
        <v>42865</v>
      </c>
      <c r="B145" s="9">
        <v>246.47500600000001</v>
      </c>
      <c r="C145" s="39">
        <f t="shared" si="0"/>
        <v>1.6182242636377131E-2</v>
      </c>
      <c r="E145" s="121">
        <v>42865</v>
      </c>
      <c r="F145" s="9">
        <v>9407.2998050000006</v>
      </c>
      <c r="G145" s="39">
        <f t="shared" si="1"/>
        <v>-1.6026262282827775E-3</v>
      </c>
    </row>
    <row r="146" spans="1:7" ht="14.25" customHeight="1" x14ac:dyDescent="0.25">
      <c r="A146" s="121">
        <v>42866</v>
      </c>
      <c r="B146" s="9">
        <v>242.550003</v>
      </c>
      <c r="C146" s="39">
        <f t="shared" si="0"/>
        <v>8.4191208835453502E-3</v>
      </c>
      <c r="E146" s="121">
        <v>42866</v>
      </c>
      <c r="F146" s="9">
        <v>9422.4003909999992</v>
      </c>
      <c r="G146" s="39">
        <f t="shared" si="1"/>
        <v>2.2870149779039561E-3</v>
      </c>
    </row>
    <row r="147" spans="1:7" ht="14.25" customHeight="1" x14ac:dyDescent="0.25">
      <c r="A147" s="121">
        <v>42867</v>
      </c>
      <c r="B147" s="9">
        <v>240.52499399999999</v>
      </c>
      <c r="C147" s="39">
        <f t="shared" si="0"/>
        <v>2.2640293656126076E-2</v>
      </c>
      <c r="E147" s="121">
        <v>42867</v>
      </c>
      <c r="F147" s="9">
        <v>9400.9003909999992</v>
      </c>
      <c r="G147" s="39">
        <f t="shared" si="1"/>
        <v>-4.7112878393594793E-3</v>
      </c>
    </row>
    <row r="148" spans="1:7" ht="14.25" customHeight="1" x14ac:dyDescent="0.25">
      <c r="A148" s="121">
        <v>42870</v>
      </c>
      <c r="B148" s="9">
        <v>235.199997</v>
      </c>
      <c r="C148" s="39">
        <f t="shared" si="0"/>
        <v>1.0309252444468342E-2</v>
      </c>
      <c r="E148" s="121">
        <v>42870</v>
      </c>
      <c r="F148" s="9">
        <v>9445.4003909999992</v>
      </c>
      <c r="G148" s="39">
        <f t="shared" si="1"/>
        <v>-7.0277388630450854E-3</v>
      </c>
    </row>
    <row r="149" spans="1:7" ht="14.25" customHeight="1" x14ac:dyDescent="0.25">
      <c r="A149" s="121">
        <v>42871</v>
      </c>
      <c r="B149" s="9">
        <v>232.800003</v>
      </c>
      <c r="C149" s="39">
        <f t="shared" si="0"/>
        <v>1.2903354838709191E-3</v>
      </c>
      <c r="E149" s="121">
        <v>42871</v>
      </c>
      <c r="F149" s="9">
        <v>9512.25</v>
      </c>
      <c r="G149" s="39">
        <f t="shared" si="1"/>
        <v>-1.4172112432091488E-3</v>
      </c>
    </row>
    <row r="150" spans="1:7" ht="14.25" customHeight="1" x14ac:dyDescent="0.25">
      <c r="A150" s="121">
        <v>42872</v>
      </c>
      <c r="B150" s="9">
        <v>232.5</v>
      </c>
      <c r="C150" s="39">
        <f t="shared" si="0"/>
        <v>2.0520149507562646E-2</v>
      </c>
      <c r="E150" s="121">
        <v>42872</v>
      </c>
      <c r="F150" s="9">
        <v>9525.75</v>
      </c>
      <c r="G150" s="39">
        <f t="shared" si="1"/>
        <v>1.0212663836017155E-2</v>
      </c>
    </row>
    <row r="151" spans="1:7" ht="14.25" customHeight="1" x14ac:dyDescent="0.25">
      <c r="A151" s="121">
        <v>42873</v>
      </c>
      <c r="B151" s="9">
        <v>227.824997</v>
      </c>
      <c r="C151" s="39">
        <f t="shared" si="0"/>
        <v>-5.3482033789801209E-3</v>
      </c>
      <c r="E151" s="121">
        <v>42873</v>
      </c>
      <c r="F151" s="9">
        <v>9429.4501949999994</v>
      </c>
      <c r="G151" s="39">
        <f t="shared" si="1"/>
        <v>1.6438485089209642E-4</v>
      </c>
    </row>
    <row r="152" spans="1:7" ht="14.25" customHeight="1" x14ac:dyDescent="0.25">
      <c r="A152" s="121">
        <v>42874</v>
      </c>
      <c r="B152" s="9">
        <v>229.050003</v>
      </c>
      <c r="C152" s="39">
        <f t="shared" si="0"/>
        <v>-3.942123765260519E-2</v>
      </c>
      <c r="E152" s="121">
        <v>42874</v>
      </c>
      <c r="F152" s="9">
        <v>9427.9003909999992</v>
      </c>
      <c r="G152" s="39">
        <f t="shared" si="1"/>
        <v>-1.0965601674040037E-3</v>
      </c>
    </row>
    <row r="153" spans="1:7" ht="14.25" customHeight="1" x14ac:dyDescent="0.25">
      <c r="A153" s="121">
        <v>42877</v>
      </c>
      <c r="B153" s="9">
        <v>238.449997</v>
      </c>
      <c r="C153" s="39">
        <f t="shared" si="0"/>
        <v>1.1774664112341071E-2</v>
      </c>
      <c r="E153" s="121">
        <v>42877</v>
      </c>
      <c r="F153" s="9">
        <v>9438.25</v>
      </c>
      <c r="G153" s="39">
        <f t="shared" si="1"/>
        <v>5.5506897747938932E-3</v>
      </c>
    </row>
    <row r="154" spans="1:7" ht="14.25" customHeight="1" x14ac:dyDescent="0.25">
      <c r="A154" s="121">
        <v>42878</v>
      </c>
      <c r="B154" s="9">
        <v>235.675003</v>
      </c>
      <c r="C154" s="39">
        <f t="shared" si="0"/>
        <v>-1.5886464530144861E-3</v>
      </c>
      <c r="E154" s="121">
        <v>42878</v>
      </c>
      <c r="F154" s="9">
        <v>9386.1503909999992</v>
      </c>
      <c r="G154" s="39">
        <f t="shared" si="1"/>
        <v>2.7349446916380415E-3</v>
      </c>
    </row>
    <row r="155" spans="1:7" ht="14.25" customHeight="1" x14ac:dyDescent="0.25">
      <c r="A155" s="121">
        <v>42879</v>
      </c>
      <c r="B155" s="9">
        <v>236.050003</v>
      </c>
      <c r="C155" s="39">
        <f t="shared" si="0"/>
        <v>8.4798386649187485E-4</v>
      </c>
      <c r="E155" s="121">
        <v>42879</v>
      </c>
      <c r="F155" s="9">
        <v>9360.5498050000006</v>
      </c>
      <c r="G155" s="39">
        <f t="shared" si="1"/>
        <v>-1.5689181629380267E-2</v>
      </c>
    </row>
    <row r="156" spans="1:7" ht="14.25" customHeight="1" x14ac:dyDescent="0.25">
      <c r="A156" s="121">
        <v>42880</v>
      </c>
      <c r="B156" s="9">
        <v>235.85000600000001</v>
      </c>
      <c r="C156" s="39">
        <f t="shared" si="0"/>
        <v>-5.2720369817282897E-3</v>
      </c>
      <c r="E156" s="121">
        <v>42880</v>
      </c>
      <c r="F156" s="9">
        <v>9509.75</v>
      </c>
      <c r="G156" s="39">
        <f t="shared" si="1"/>
        <v>-8.8951248531015104E-3</v>
      </c>
    </row>
    <row r="157" spans="1:7" ht="14.25" customHeight="1" x14ac:dyDescent="0.25">
      <c r="A157" s="121">
        <v>42881</v>
      </c>
      <c r="B157" s="9">
        <v>237.10000600000001</v>
      </c>
      <c r="C157" s="39">
        <f t="shared" si="0"/>
        <v>1.1087445628997994E-2</v>
      </c>
      <c r="E157" s="121">
        <v>42881</v>
      </c>
      <c r="F157" s="9">
        <v>9595.0996090000008</v>
      </c>
      <c r="G157" s="39">
        <f t="shared" si="1"/>
        <v>-1.0203939240412963E-3</v>
      </c>
    </row>
    <row r="158" spans="1:7" ht="14.25" customHeight="1" x14ac:dyDescent="0.25">
      <c r="A158" s="121">
        <v>42884</v>
      </c>
      <c r="B158" s="9">
        <v>234.5</v>
      </c>
      <c r="C158" s="39">
        <f t="shared" si="0"/>
        <v>1.3068339654778827E-2</v>
      </c>
      <c r="E158" s="121">
        <v>42884</v>
      </c>
      <c r="F158" s="9">
        <v>9604.9003909999992</v>
      </c>
      <c r="G158" s="39">
        <f t="shared" si="1"/>
        <v>-2.0415930509075642E-3</v>
      </c>
    </row>
    <row r="159" spans="1:7" ht="14.25" customHeight="1" x14ac:dyDescent="0.25">
      <c r="A159" s="121">
        <v>42885</v>
      </c>
      <c r="B159" s="9">
        <v>231.47500600000001</v>
      </c>
      <c r="C159" s="39">
        <f t="shared" si="0"/>
        <v>-6.864704582619785E-3</v>
      </c>
      <c r="E159" s="121">
        <v>42885</v>
      </c>
      <c r="F159" s="9">
        <v>9624.5498050000006</v>
      </c>
      <c r="G159" s="39">
        <f t="shared" si="1"/>
        <v>3.4297050799025897E-4</v>
      </c>
    </row>
    <row r="160" spans="1:7" ht="14.25" customHeight="1" x14ac:dyDescent="0.25">
      <c r="A160" s="121">
        <v>42886</v>
      </c>
      <c r="B160" s="9">
        <v>233.074997</v>
      </c>
      <c r="C160" s="39">
        <f t="shared" si="0"/>
        <v>1.0724737042799859E-4</v>
      </c>
      <c r="E160" s="121">
        <v>42886</v>
      </c>
      <c r="F160" s="9">
        <v>9621.25</v>
      </c>
      <c r="G160" s="39">
        <f t="shared" si="1"/>
        <v>5.3560083707737682E-4</v>
      </c>
    </row>
    <row r="161" spans="1:7" ht="14.25" customHeight="1" x14ac:dyDescent="0.25">
      <c r="A161" s="121">
        <v>42887</v>
      </c>
      <c r="B161" s="9">
        <v>233.050003</v>
      </c>
      <c r="C161" s="39">
        <f t="shared" si="0"/>
        <v>-1.4483572948931434E-2</v>
      </c>
      <c r="E161" s="121">
        <v>42887</v>
      </c>
      <c r="F161" s="9">
        <v>9616.0996090000008</v>
      </c>
      <c r="G161" s="39">
        <f t="shared" si="1"/>
        <v>-3.874283006163437E-3</v>
      </c>
    </row>
    <row r="162" spans="1:7" ht="14.25" customHeight="1" x14ac:dyDescent="0.25">
      <c r="A162" s="121">
        <v>42888</v>
      </c>
      <c r="B162" s="9">
        <v>236.47500600000001</v>
      </c>
      <c r="C162" s="39">
        <f t="shared" si="0"/>
        <v>-3.4303191424196022E-2</v>
      </c>
      <c r="E162" s="121">
        <v>42888</v>
      </c>
      <c r="F162" s="9">
        <v>9653.5</v>
      </c>
      <c r="G162" s="39">
        <f t="shared" si="1"/>
        <v>-2.2324947414400498E-3</v>
      </c>
    </row>
    <row r="163" spans="1:7" ht="14.25" customHeight="1" x14ac:dyDescent="0.25">
      <c r="A163" s="121">
        <v>42891</v>
      </c>
      <c r="B163" s="9">
        <v>244.875</v>
      </c>
      <c r="C163" s="39">
        <f t="shared" si="0"/>
        <v>-2.5458248472505218E-3</v>
      </c>
      <c r="E163" s="121">
        <v>42891</v>
      </c>
      <c r="F163" s="9">
        <v>9675.0996090000008</v>
      </c>
      <c r="G163" s="39">
        <f t="shared" si="1"/>
        <v>3.9378048967091406E-3</v>
      </c>
    </row>
    <row r="164" spans="1:7" ht="14.25" customHeight="1" x14ac:dyDescent="0.25">
      <c r="A164" s="121">
        <v>42892</v>
      </c>
      <c r="B164" s="9">
        <v>245.5</v>
      </c>
      <c r="C164" s="39">
        <f t="shared" si="0"/>
        <v>-2.8432047462616516E-3</v>
      </c>
      <c r="E164" s="121">
        <v>42892</v>
      </c>
      <c r="F164" s="9">
        <v>9637.1503909999992</v>
      </c>
      <c r="G164" s="39">
        <f t="shared" si="1"/>
        <v>-2.7680334976251109E-3</v>
      </c>
    </row>
    <row r="165" spans="1:7" ht="14.25" customHeight="1" x14ac:dyDescent="0.25">
      <c r="A165" s="121">
        <v>42893</v>
      </c>
      <c r="B165" s="9">
        <v>246.199997</v>
      </c>
      <c r="C165" s="39">
        <f t="shared" si="0"/>
        <v>-5.6543173104770528E-3</v>
      </c>
      <c r="E165" s="121">
        <v>42893</v>
      </c>
      <c r="F165" s="9">
        <v>9663.9003909999992</v>
      </c>
      <c r="G165" s="39">
        <f t="shared" si="1"/>
        <v>1.7259209619320259E-3</v>
      </c>
    </row>
    <row r="166" spans="1:7" ht="14.25" customHeight="1" x14ac:dyDescent="0.25">
      <c r="A166" s="121">
        <v>42894</v>
      </c>
      <c r="B166" s="9">
        <v>247.60000600000001</v>
      </c>
      <c r="C166" s="39">
        <f t="shared" si="0"/>
        <v>9.6849829417477995E-3</v>
      </c>
      <c r="E166" s="121">
        <v>42894</v>
      </c>
      <c r="F166" s="9">
        <v>9647.25</v>
      </c>
      <c r="G166" s="39">
        <f t="shared" si="1"/>
        <v>-2.1720580249786625E-3</v>
      </c>
    </row>
    <row r="167" spans="1:7" ht="14.25" customHeight="1" x14ac:dyDescent="0.25">
      <c r="A167" s="121">
        <v>42895</v>
      </c>
      <c r="B167" s="9">
        <v>245.22500600000001</v>
      </c>
      <c r="C167" s="39">
        <f t="shared" si="0"/>
        <v>-1.7331183923087301E-2</v>
      </c>
      <c r="E167" s="121">
        <v>42895</v>
      </c>
      <c r="F167" s="9">
        <v>9668.25</v>
      </c>
      <c r="G167" s="39">
        <f t="shared" si="1"/>
        <v>5.3917897437514295E-3</v>
      </c>
    </row>
    <row r="168" spans="1:7" ht="14.25" customHeight="1" x14ac:dyDescent="0.25">
      <c r="A168" s="121">
        <v>42898</v>
      </c>
      <c r="B168" s="9">
        <v>249.550003</v>
      </c>
      <c r="C168" s="39">
        <f t="shared" si="0"/>
        <v>3.5262393255394375E-2</v>
      </c>
      <c r="E168" s="121">
        <v>42898</v>
      </c>
      <c r="F168" s="9">
        <v>9616.4003909999992</v>
      </c>
      <c r="G168" s="39">
        <f t="shared" si="1"/>
        <v>9.888725409186172E-4</v>
      </c>
    </row>
    <row r="169" spans="1:7" ht="14.25" customHeight="1" x14ac:dyDescent="0.25">
      <c r="A169" s="121">
        <v>42899</v>
      </c>
      <c r="B169" s="9">
        <v>241.050003</v>
      </c>
      <c r="C169" s="39">
        <f t="shared" si="0"/>
        <v>5.1883365546756544E-4</v>
      </c>
      <c r="E169" s="121">
        <v>42899</v>
      </c>
      <c r="F169" s="9">
        <v>9606.9003909999992</v>
      </c>
      <c r="G169" s="39">
        <f t="shared" si="1"/>
        <v>-1.1696635571977199E-3</v>
      </c>
    </row>
    <row r="170" spans="1:7" ht="14.25" customHeight="1" x14ac:dyDescent="0.25">
      <c r="A170" s="121">
        <v>42900</v>
      </c>
      <c r="B170" s="9">
        <v>240.925003</v>
      </c>
      <c r="C170" s="39">
        <f t="shared" si="0"/>
        <v>-4.0305540478847712E-3</v>
      </c>
      <c r="E170" s="121">
        <v>42900</v>
      </c>
      <c r="F170" s="9">
        <v>9618.1503909999992</v>
      </c>
      <c r="G170" s="39">
        <f t="shared" si="1"/>
        <v>4.1867172145069187E-3</v>
      </c>
    </row>
    <row r="171" spans="1:7" ht="14.25" customHeight="1" x14ac:dyDescent="0.25">
      <c r="A171" s="121">
        <v>42901</v>
      </c>
      <c r="B171" s="9">
        <v>241.89999399999999</v>
      </c>
      <c r="C171" s="39">
        <f t="shared" si="0"/>
        <v>-1.3417772399602068E-3</v>
      </c>
      <c r="E171" s="121">
        <v>42901</v>
      </c>
      <c r="F171" s="9">
        <v>9578.0498050000006</v>
      </c>
      <c r="G171" s="39">
        <f t="shared" si="1"/>
        <v>-1.0429649619451142E-3</v>
      </c>
    </row>
    <row r="172" spans="1:7" ht="14.25" customHeight="1" x14ac:dyDescent="0.25">
      <c r="A172" s="121">
        <v>42902</v>
      </c>
      <c r="B172" s="9">
        <v>242.22500600000001</v>
      </c>
      <c r="C172" s="39">
        <f t="shared" si="0"/>
        <v>2.4832115882049699E-3</v>
      </c>
      <c r="E172" s="121">
        <v>42902</v>
      </c>
      <c r="F172" s="9">
        <v>9588.0498050000006</v>
      </c>
      <c r="G172" s="39">
        <f t="shared" si="1"/>
        <v>-7.1964423071385619E-3</v>
      </c>
    </row>
    <row r="173" spans="1:7" ht="14.25" customHeight="1" x14ac:dyDescent="0.25">
      <c r="A173" s="121">
        <v>42905</v>
      </c>
      <c r="B173" s="9">
        <v>241.625</v>
      </c>
      <c r="C173" s="39">
        <f t="shared" si="0"/>
        <v>-2.4770605228099374E-3</v>
      </c>
      <c r="E173" s="121">
        <v>42905</v>
      </c>
      <c r="F173" s="9">
        <v>9657.5498050000006</v>
      </c>
      <c r="G173" s="39">
        <f t="shared" si="1"/>
        <v>4.1951675558093982E-4</v>
      </c>
    </row>
    <row r="174" spans="1:7" ht="14.25" customHeight="1" x14ac:dyDescent="0.25">
      <c r="A174" s="121">
        <v>42906</v>
      </c>
      <c r="B174" s="9">
        <v>242.22500600000001</v>
      </c>
      <c r="C174" s="39">
        <f t="shared" si="0"/>
        <v>-1.8437800063324072E-2</v>
      </c>
      <c r="E174" s="121">
        <v>42906</v>
      </c>
      <c r="F174" s="9">
        <v>9653.5</v>
      </c>
      <c r="G174" s="39">
        <f t="shared" si="1"/>
        <v>2.0657274339497267E-3</v>
      </c>
    </row>
    <row r="175" spans="1:7" ht="14.25" customHeight="1" x14ac:dyDescent="0.25">
      <c r="A175" s="121">
        <v>42907</v>
      </c>
      <c r="B175" s="9">
        <v>246.77499399999999</v>
      </c>
      <c r="C175" s="39">
        <f t="shared" si="0"/>
        <v>7.3476393750959712E-3</v>
      </c>
      <c r="E175" s="121">
        <v>42907</v>
      </c>
      <c r="F175" s="9">
        <v>9633.5996090000008</v>
      </c>
      <c r="G175" s="39">
        <f t="shared" si="1"/>
        <v>3.7379117341651558E-4</v>
      </c>
    </row>
    <row r="176" spans="1:7" ht="14.25" customHeight="1" x14ac:dyDescent="0.25">
      <c r="A176" s="121">
        <v>42908</v>
      </c>
      <c r="B176" s="9">
        <v>244.97500600000001</v>
      </c>
      <c r="C176" s="39">
        <f t="shared" si="0"/>
        <v>-3.6603721403151157E-3</v>
      </c>
      <c r="E176" s="121">
        <v>42908</v>
      </c>
      <c r="F176" s="9">
        <v>9630</v>
      </c>
      <c r="G176" s="39">
        <f t="shared" si="1"/>
        <v>5.7493567986126592E-3</v>
      </c>
    </row>
    <row r="177" spans="1:7" ht="14.25" customHeight="1" x14ac:dyDescent="0.25">
      <c r="A177" s="121">
        <v>42909</v>
      </c>
      <c r="B177" s="9">
        <v>245.875</v>
      </c>
      <c r="C177" s="39">
        <f t="shared" si="0"/>
        <v>1.0791366906474753E-2</v>
      </c>
      <c r="E177" s="121">
        <v>42909</v>
      </c>
      <c r="F177" s="9">
        <v>9574.9501949999994</v>
      </c>
      <c r="G177" s="39">
        <f t="shared" si="1"/>
        <v>6.6814350555710611E-3</v>
      </c>
    </row>
    <row r="178" spans="1:7" ht="14.25" customHeight="1" x14ac:dyDescent="0.25">
      <c r="A178" s="121">
        <v>42913</v>
      </c>
      <c r="B178" s="9">
        <v>243.25</v>
      </c>
      <c r="C178" s="39">
        <f t="shared" si="0"/>
        <v>2.3887206447065656E-2</v>
      </c>
      <c r="E178" s="121">
        <v>42913</v>
      </c>
      <c r="F178" s="9">
        <v>9511.4003909999992</v>
      </c>
      <c r="G178" s="39">
        <f t="shared" si="1"/>
        <v>2.1230492295534198E-3</v>
      </c>
    </row>
    <row r="179" spans="1:7" ht="14.25" customHeight="1" x14ac:dyDescent="0.25">
      <c r="A179" s="121">
        <v>42914</v>
      </c>
      <c r="B179" s="9">
        <v>237.574997</v>
      </c>
      <c r="C179" s="39">
        <f t="shared" si="0"/>
        <v>5.5020761105173399E-3</v>
      </c>
      <c r="E179" s="121">
        <v>42914</v>
      </c>
      <c r="F179" s="9">
        <v>9491.25</v>
      </c>
      <c r="G179" s="39">
        <f t="shared" si="1"/>
        <v>-1.3520069789496603E-3</v>
      </c>
    </row>
    <row r="180" spans="1:7" ht="14.25" customHeight="1" x14ac:dyDescent="0.25">
      <c r="A180" s="121">
        <v>42915</v>
      </c>
      <c r="B180" s="9">
        <v>236.27499399999999</v>
      </c>
      <c r="C180" s="39">
        <f t="shared" si="0"/>
        <v>-1.6135748893668533E-2</v>
      </c>
      <c r="E180" s="121">
        <v>42915</v>
      </c>
      <c r="F180" s="9">
        <v>9504.0996090000008</v>
      </c>
      <c r="G180" s="39">
        <f t="shared" si="1"/>
        <v>-1.7646211293083081E-3</v>
      </c>
    </row>
    <row r="181" spans="1:7" ht="14.25" customHeight="1" x14ac:dyDescent="0.25">
      <c r="A181" s="121">
        <v>42916</v>
      </c>
      <c r="B181" s="9">
        <v>240.14999399999999</v>
      </c>
      <c r="C181" s="39">
        <f t="shared" si="0"/>
        <v>2.7139624217118463E-3</v>
      </c>
      <c r="E181" s="121">
        <v>42916</v>
      </c>
      <c r="F181" s="9">
        <v>9520.9003909999992</v>
      </c>
      <c r="G181" s="39">
        <f t="shared" si="1"/>
        <v>-9.7867508060323072E-3</v>
      </c>
    </row>
    <row r="182" spans="1:7" ht="14.25" customHeight="1" x14ac:dyDescent="0.25">
      <c r="A182" s="121">
        <v>42919</v>
      </c>
      <c r="B182" s="9">
        <v>239.5</v>
      </c>
      <c r="C182" s="39">
        <f t="shared" si="0"/>
        <v>-0.11296296296296293</v>
      </c>
      <c r="E182" s="121">
        <v>42919</v>
      </c>
      <c r="F182" s="9">
        <v>9615</v>
      </c>
      <c r="G182" s="39">
        <f t="shared" si="1"/>
        <v>1.768586265369354E-4</v>
      </c>
    </row>
    <row r="183" spans="1:7" ht="14.25" customHeight="1" x14ac:dyDescent="0.25">
      <c r="A183" s="121">
        <v>42920</v>
      </c>
      <c r="B183" s="9">
        <v>270</v>
      </c>
      <c r="C183" s="39">
        <f t="shared" si="0"/>
        <v>4.1867668343453568E-2</v>
      </c>
      <c r="E183" s="121">
        <v>42920</v>
      </c>
      <c r="F183" s="9">
        <v>9613.2998050000006</v>
      </c>
      <c r="G183" s="39">
        <f t="shared" si="1"/>
        <v>-2.5213543813656925E-3</v>
      </c>
    </row>
    <row r="184" spans="1:7" ht="14.25" customHeight="1" x14ac:dyDescent="0.25">
      <c r="A184" s="121">
        <v>42921</v>
      </c>
      <c r="B184" s="9">
        <v>259.14999399999999</v>
      </c>
      <c r="C184" s="39">
        <f t="shared" si="0"/>
        <v>1.5776556589906843E-2</v>
      </c>
      <c r="E184" s="121">
        <v>42921</v>
      </c>
      <c r="F184" s="9">
        <v>9637.5996090000008</v>
      </c>
      <c r="G184" s="39">
        <f t="shared" si="1"/>
        <v>-3.8193194251687768E-3</v>
      </c>
    </row>
    <row r="185" spans="1:7" ht="14.25" customHeight="1" x14ac:dyDescent="0.25">
      <c r="A185" s="121">
        <v>42922</v>
      </c>
      <c r="B185" s="9">
        <v>255.125</v>
      </c>
      <c r="C185" s="39">
        <f t="shared" si="0"/>
        <v>-7.392253844386798E-3</v>
      </c>
      <c r="E185" s="121">
        <v>42922</v>
      </c>
      <c r="F185" s="9">
        <v>9674.5498050000006</v>
      </c>
      <c r="G185" s="39">
        <f t="shared" si="1"/>
        <v>9.0525359272120021E-4</v>
      </c>
    </row>
    <row r="186" spans="1:7" ht="14.25" customHeight="1" x14ac:dyDescent="0.25">
      <c r="A186" s="121">
        <v>42923</v>
      </c>
      <c r="B186" s="9">
        <v>257.02499399999999</v>
      </c>
      <c r="C186" s="39">
        <f t="shared" si="0"/>
        <v>5.8391824817505267E-4</v>
      </c>
      <c r="E186" s="121">
        <v>42923</v>
      </c>
      <c r="F186" s="9">
        <v>9665.7998050000006</v>
      </c>
      <c r="G186" s="39">
        <f t="shared" si="1"/>
        <v>-1.0771616366763603E-2</v>
      </c>
    </row>
    <row r="187" spans="1:7" ht="14.25" customHeight="1" x14ac:dyDescent="0.25">
      <c r="A187" s="121">
        <v>42926</v>
      </c>
      <c r="B187" s="9">
        <v>256.875</v>
      </c>
      <c r="C187" s="39">
        <f t="shared" si="0"/>
        <v>3.41796875E-3</v>
      </c>
      <c r="E187" s="121">
        <v>42926</v>
      </c>
      <c r="F187" s="9">
        <v>9771.0498050000006</v>
      </c>
      <c r="G187" s="39">
        <f t="shared" si="1"/>
        <v>-1.5327941609633022E-3</v>
      </c>
    </row>
    <row r="188" spans="1:7" ht="14.25" customHeight="1" x14ac:dyDescent="0.25">
      <c r="A188" s="121">
        <v>42927</v>
      </c>
      <c r="B188" s="9">
        <v>256</v>
      </c>
      <c r="C188" s="39">
        <f t="shared" si="0"/>
        <v>-8.3284681385659143E-3</v>
      </c>
      <c r="E188" s="121">
        <v>42927</v>
      </c>
      <c r="F188" s="9">
        <v>9786.0498050000006</v>
      </c>
      <c r="G188" s="39">
        <f t="shared" si="1"/>
        <v>-3.0612774112895869E-3</v>
      </c>
    </row>
    <row r="189" spans="1:7" ht="14.25" customHeight="1" x14ac:dyDescent="0.25">
      <c r="A189" s="121">
        <v>42928</v>
      </c>
      <c r="B189" s="9">
        <v>258.14999399999999</v>
      </c>
      <c r="C189" s="39">
        <f t="shared" si="0"/>
        <v>6.0404831011577897E-3</v>
      </c>
      <c r="E189" s="121">
        <v>42928</v>
      </c>
      <c r="F189" s="9">
        <v>9816.0996090000008</v>
      </c>
      <c r="G189" s="39">
        <f t="shared" si="1"/>
        <v>-7.6428303031477185E-3</v>
      </c>
    </row>
    <row r="190" spans="1:7" ht="14.25" customHeight="1" x14ac:dyDescent="0.25">
      <c r="A190" s="121">
        <v>42929</v>
      </c>
      <c r="B190" s="9">
        <v>256.60000600000001</v>
      </c>
      <c r="C190" s="39">
        <f t="shared" si="0"/>
        <v>5.6829787736543125E-3</v>
      </c>
      <c r="E190" s="121">
        <v>42929</v>
      </c>
      <c r="F190" s="9">
        <v>9891.7001949999994</v>
      </c>
      <c r="G190" s="39">
        <f t="shared" si="1"/>
        <v>5.4120946675073611E-4</v>
      </c>
    </row>
    <row r="191" spans="1:7" ht="14.25" customHeight="1" x14ac:dyDescent="0.25">
      <c r="A191" s="121">
        <v>42930</v>
      </c>
      <c r="B191" s="9">
        <v>255.14999399999999</v>
      </c>
      <c r="C191" s="39">
        <f t="shared" si="0"/>
        <v>3.8359043513023217E-3</v>
      </c>
      <c r="E191" s="121">
        <v>42930</v>
      </c>
      <c r="F191" s="9">
        <v>9886.3496090000008</v>
      </c>
      <c r="G191" s="39">
        <f t="shared" si="1"/>
        <v>-2.985148716753816E-3</v>
      </c>
    </row>
    <row r="192" spans="1:7" ht="14.25" customHeight="1" x14ac:dyDescent="0.25">
      <c r="A192" s="121">
        <v>42933</v>
      </c>
      <c r="B192" s="9">
        <v>254.175003</v>
      </c>
      <c r="C192" s="39">
        <f t="shared" si="0"/>
        <v>1.6598376560704953E-2</v>
      </c>
      <c r="E192" s="121">
        <v>42933</v>
      </c>
      <c r="F192" s="9">
        <v>9915.9501949999994</v>
      </c>
      <c r="G192" s="39">
        <f t="shared" si="1"/>
        <v>9.0361702494474727E-3</v>
      </c>
    </row>
    <row r="193" spans="1:7" ht="14.25" customHeight="1" x14ac:dyDescent="0.25">
      <c r="A193" s="121">
        <v>42934</v>
      </c>
      <c r="B193" s="9">
        <v>250.02499399999999</v>
      </c>
      <c r="C193" s="39">
        <f t="shared" si="0"/>
        <v>-5.5682966423192815E-3</v>
      </c>
      <c r="E193" s="121">
        <v>42934</v>
      </c>
      <c r="F193" s="9">
        <v>9827.1503909999992</v>
      </c>
      <c r="G193" s="39">
        <f t="shared" si="1"/>
        <v>-7.3183988102040187E-3</v>
      </c>
    </row>
    <row r="194" spans="1:7" ht="14.25" customHeight="1" x14ac:dyDescent="0.25">
      <c r="A194" s="121">
        <v>42935</v>
      </c>
      <c r="B194" s="9">
        <v>251.425003</v>
      </c>
      <c r="C194" s="39">
        <f t="shared" si="0"/>
        <v>2.853346731683537E-2</v>
      </c>
      <c r="E194" s="121">
        <v>42935</v>
      </c>
      <c r="F194" s="9">
        <v>9899.5996090000008</v>
      </c>
      <c r="G194" s="39">
        <f t="shared" si="1"/>
        <v>2.663729909901269E-3</v>
      </c>
    </row>
    <row r="195" spans="1:7" ht="14.25" customHeight="1" x14ac:dyDescent="0.25">
      <c r="A195" s="121">
        <v>42936</v>
      </c>
      <c r="B195" s="9">
        <v>244.449997</v>
      </c>
      <c r="C195" s="39">
        <f t="shared" si="0"/>
        <v>5.0364517207577286E-3</v>
      </c>
      <c r="E195" s="121">
        <v>42936</v>
      </c>
      <c r="F195" s="9">
        <v>9873.2998050000006</v>
      </c>
      <c r="G195" s="39">
        <f t="shared" si="1"/>
        <v>-4.2308761755880386E-3</v>
      </c>
    </row>
    <row r="196" spans="1:7" ht="14.25" customHeight="1" x14ac:dyDescent="0.25">
      <c r="A196" s="121">
        <v>42937</v>
      </c>
      <c r="B196" s="9">
        <v>243.22500600000001</v>
      </c>
      <c r="C196" s="39">
        <f t="shared" si="0"/>
        <v>8.604652919875333E-3</v>
      </c>
      <c r="E196" s="121">
        <v>42937</v>
      </c>
      <c r="F196" s="9">
        <v>9915.25</v>
      </c>
      <c r="G196" s="39">
        <f t="shared" si="1"/>
        <v>-5.1322833714557703E-3</v>
      </c>
    </row>
    <row r="197" spans="1:7" ht="14.25" customHeight="1" x14ac:dyDescent="0.25">
      <c r="A197" s="121">
        <v>42940</v>
      </c>
      <c r="B197" s="9">
        <v>241.14999399999999</v>
      </c>
      <c r="C197" s="39">
        <f t="shared" si="0"/>
        <v>-7.4089443186945436E-3</v>
      </c>
      <c r="E197" s="121">
        <v>42940</v>
      </c>
      <c r="F197" s="9">
        <v>9966.4003909999992</v>
      </c>
      <c r="G197" s="39">
        <f t="shared" si="1"/>
        <v>1.8571697028102463E-4</v>
      </c>
    </row>
    <row r="198" spans="1:7" ht="14.25" customHeight="1" x14ac:dyDescent="0.25">
      <c r="A198" s="121">
        <v>42941</v>
      </c>
      <c r="B198" s="9">
        <v>242.949997</v>
      </c>
      <c r="C198" s="39">
        <f t="shared" si="0"/>
        <v>1.2363610443772988E-3</v>
      </c>
      <c r="E198" s="121">
        <v>42941</v>
      </c>
      <c r="F198" s="9">
        <v>9964.5498050000006</v>
      </c>
      <c r="G198" s="39">
        <f t="shared" si="1"/>
        <v>-5.5984974837945956E-3</v>
      </c>
    </row>
    <row r="199" spans="1:7" ht="14.25" customHeight="1" x14ac:dyDescent="0.25">
      <c r="A199" s="121">
        <v>42942</v>
      </c>
      <c r="B199" s="9">
        <v>242.64999399999999</v>
      </c>
      <c r="C199" s="39">
        <f t="shared" si="0"/>
        <v>6.9508785487901736E-3</v>
      </c>
      <c r="E199" s="121">
        <v>42942</v>
      </c>
      <c r="F199" s="9">
        <v>10020.650390999999</v>
      </c>
      <c r="G199" s="39">
        <f t="shared" si="1"/>
        <v>1.0037972162812991E-5</v>
      </c>
    </row>
    <row r="200" spans="1:7" ht="14.25" customHeight="1" x14ac:dyDescent="0.25">
      <c r="A200" s="121">
        <v>42943</v>
      </c>
      <c r="B200" s="9">
        <v>240.97500600000001</v>
      </c>
      <c r="C200" s="39">
        <f t="shared" si="0"/>
        <v>5.9486661747192304E-3</v>
      </c>
      <c r="E200" s="121">
        <v>42943</v>
      </c>
      <c r="F200" s="9">
        <v>10020.549805000001</v>
      </c>
      <c r="G200" s="39">
        <f t="shared" si="1"/>
        <v>6.0410454840487127E-4</v>
      </c>
    </row>
    <row r="201" spans="1:7" ht="14.25" customHeight="1" x14ac:dyDescent="0.25">
      <c r="A201" s="121">
        <v>42944</v>
      </c>
      <c r="B201" s="9">
        <v>239.550003</v>
      </c>
      <c r="C201" s="39">
        <f t="shared" si="0"/>
        <v>7.7829449867430345E-3</v>
      </c>
      <c r="E201" s="121">
        <v>42944</v>
      </c>
      <c r="F201" s="9">
        <v>10014.5</v>
      </c>
      <c r="G201" s="39">
        <f t="shared" si="1"/>
        <v>-6.2120661131593868E-3</v>
      </c>
    </row>
    <row r="202" spans="1:7" ht="14.25" customHeight="1" x14ac:dyDescent="0.25">
      <c r="A202" s="121">
        <v>42947</v>
      </c>
      <c r="B202" s="9">
        <v>237.699997</v>
      </c>
      <c r="C202" s="39">
        <f t="shared" si="0"/>
        <v>6.3505504616920838E-3</v>
      </c>
      <c r="E202" s="121">
        <v>42947</v>
      </c>
      <c r="F202" s="9">
        <v>10077.099609000001</v>
      </c>
      <c r="G202" s="39">
        <f t="shared" si="1"/>
        <v>-3.7125140809030066E-3</v>
      </c>
    </row>
    <row r="203" spans="1:7" ht="14.25" customHeight="1" x14ac:dyDescent="0.25">
      <c r="A203" s="121">
        <v>42948</v>
      </c>
      <c r="B203" s="9">
        <v>236.199997</v>
      </c>
      <c r="C203" s="39">
        <f t="shared" si="0"/>
        <v>1.8981854801787934E-2</v>
      </c>
      <c r="E203" s="121">
        <v>42948</v>
      </c>
      <c r="F203" s="9">
        <v>10114.650390999999</v>
      </c>
      <c r="G203" s="39">
        <f t="shared" si="1"/>
        <v>3.2882399444527088E-3</v>
      </c>
    </row>
    <row r="204" spans="1:7" ht="14.25" customHeight="1" x14ac:dyDescent="0.25">
      <c r="A204" s="121">
        <v>42949</v>
      </c>
      <c r="B204" s="9">
        <v>231.800003</v>
      </c>
      <c r="C204" s="39">
        <f t="shared" si="0"/>
        <v>9.5818682165016433E-3</v>
      </c>
      <c r="E204" s="121">
        <v>42949</v>
      </c>
      <c r="F204" s="9">
        <v>10081.5</v>
      </c>
      <c r="G204" s="39">
        <f t="shared" si="1"/>
        <v>6.7757117884785778E-3</v>
      </c>
    </row>
    <row r="205" spans="1:7" ht="14.25" customHeight="1" x14ac:dyDescent="0.25">
      <c r="A205" s="121">
        <v>42950</v>
      </c>
      <c r="B205" s="9">
        <v>229.60000600000001</v>
      </c>
      <c r="C205" s="39">
        <f t="shared" si="0"/>
        <v>4.9239521630650707E-3</v>
      </c>
      <c r="E205" s="121">
        <v>42950</v>
      </c>
      <c r="F205" s="9">
        <v>10013.650390999999</v>
      </c>
      <c r="G205" s="39">
        <f t="shared" si="1"/>
        <v>-5.2402048350035368E-3</v>
      </c>
    </row>
    <row r="206" spans="1:7" ht="14.25" customHeight="1" x14ac:dyDescent="0.25">
      <c r="A206" s="121">
        <v>42951</v>
      </c>
      <c r="B206" s="9">
        <v>228.47500600000001</v>
      </c>
      <c r="C206" s="39">
        <f t="shared" si="0"/>
        <v>-6.2570518512983453E-2</v>
      </c>
      <c r="E206" s="121">
        <v>42951</v>
      </c>
      <c r="F206" s="9">
        <v>10066.400390999999</v>
      </c>
      <c r="G206" s="39">
        <f t="shared" si="1"/>
        <v>8.948634488146201E-4</v>
      </c>
    </row>
    <row r="207" spans="1:7" ht="14.25" customHeight="1" x14ac:dyDescent="0.25">
      <c r="A207" s="121">
        <v>42954</v>
      </c>
      <c r="B207" s="9">
        <v>243.72500600000001</v>
      </c>
      <c r="C207" s="39">
        <f t="shared" si="0"/>
        <v>-2.0693094927172195E-2</v>
      </c>
      <c r="E207" s="121">
        <v>42954</v>
      </c>
      <c r="F207" s="9">
        <v>10057.400390999999</v>
      </c>
      <c r="G207" s="39">
        <f t="shared" si="1"/>
        <v>7.902008562455487E-3</v>
      </c>
    </row>
    <row r="208" spans="1:7" ht="14.25" customHeight="1" x14ac:dyDescent="0.25">
      <c r="A208" s="121">
        <v>42955</v>
      </c>
      <c r="B208" s="9">
        <v>248.875</v>
      </c>
      <c r="C208" s="39">
        <f t="shared" si="0"/>
        <v>1.4263881813550761E-2</v>
      </c>
      <c r="E208" s="121">
        <v>42955</v>
      </c>
      <c r="F208" s="9">
        <v>9978.5498050000006</v>
      </c>
      <c r="G208" s="39">
        <f t="shared" si="1"/>
        <v>7.1154264852830718E-3</v>
      </c>
    </row>
    <row r="209" spans="1:7" ht="14.25" customHeight="1" x14ac:dyDescent="0.25">
      <c r="A209" s="121">
        <v>42956</v>
      </c>
      <c r="B209" s="9">
        <v>245.375</v>
      </c>
      <c r="C209" s="39">
        <f t="shared" si="0"/>
        <v>1.018940329821505E-2</v>
      </c>
      <c r="E209" s="121">
        <v>42956</v>
      </c>
      <c r="F209" s="9">
        <v>9908.0498050000006</v>
      </c>
      <c r="G209" s="39">
        <f t="shared" si="1"/>
        <v>8.9406893918180241E-3</v>
      </c>
    </row>
    <row r="210" spans="1:7" ht="14.25" customHeight="1" x14ac:dyDescent="0.25">
      <c r="A210" s="121">
        <v>42957</v>
      </c>
      <c r="B210" s="9">
        <v>242.89999399999999</v>
      </c>
      <c r="C210" s="39">
        <f t="shared" si="0"/>
        <v>1.0290890375697082E-4</v>
      </c>
      <c r="E210" s="121">
        <v>42957</v>
      </c>
      <c r="F210" s="9">
        <v>9820.25</v>
      </c>
      <c r="G210" s="39">
        <f t="shared" si="1"/>
        <v>1.1270976355999496E-2</v>
      </c>
    </row>
    <row r="211" spans="1:7" ht="14.25" customHeight="1" x14ac:dyDescent="0.25">
      <c r="A211" s="121">
        <v>42958</v>
      </c>
      <c r="B211" s="9">
        <v>242.875</v>
      </c>
      <c r="C211" s="39">
        <f t="shared" si="0"/>
        <v>-1.1698880976602211E-2</v>
      </c>
      <c r="E211" s="121">
        <v>42958</v>
      </c>
      <c r="F211" s="9">
        <v>9710.7998050000006</v>
      </c>
      <c r="G211" s="39">
        <f t="shared" si="1"/>
        <v>-8.5102415903876016E-3</v>
      </c>
    </row>
    <row r="212" spans="1:7" ht="14.25" customHeight="1" x14ac:dyDescent="0.25">
      <c r="A212" s="121">
        <v>42961</v>
      </c>
      <c r="B212" s="9">
        <v>245.75</v>
      </c>
      <c r="C212" s="39">
        <f t="shared" si="0"/>
        <v>-2.9414990662379736E-3</v>
      </c>
      <c r="E212" s="121">
        <v>42961</v>
      </c>
      <c r="F212" s="9">
        <v>9794.1503909999992</v>
      </c>
      <c r="G212" s="39">
        <f t="shared" si="1"/>
        <v>-1.0421975289451324E-2</v>
      </c>
    </row>
    <row r="213" spans="1:7" ht="14.25" customHeight="1" x14ac:dyDescent="0.25">
      <c r="A213" s="121">
        <v>42963</v>
      </c>
      <c r="B213" s="9">
        <v>246.47500600000001</v>
      </c>
      <c r="C213" s="39">
        <f t="shared" si="0"/>
        <v>3.1542898228038574E-3</v>
      </c>
      <c r="E213" s="121">
        <v>42963</v>
      </c>
      <c r="F213" s="9">
        <v>9897.2998050000006</v>
      </c>
      <c r="G213" s="39">
        <f t="shared" si="1"/>
        <v>-6.9168840632949369E-4</v>
      </c>
    </row>
    <row r="214" spans="1:7" ht="14.25" customHeight="1" x14ac:dyDescent="0.25">
      <c r="A214" s="121">
        <v>42964</v>
      </c>
      <c r="B214" s="9">
        <v>245.699997</v>
      </c>
      <c r="C214" s="39">
        <f t="shared" si="0"/>
        <v>2.3457297297297952E-3</v>
      </c>
      <c r="E214" s="121">
        <v>42964</v>
      </c>
      <c r="F214" s="9">
        <v>9904.1503909999992</v>
      </c>
      <c r="G214" s="39">
        <f t="shared" si="1"/>
        <v>6.7853291872788102E-3</v>
      </c>
    </row>
    <row r="215" spans="1:7" ht="14.25" customHeight="1" x14ac:dyDescent="0.25">
      <c r="A215" s="121">
        <v>42965</v>
      </c>
      <c r="B215" s="9">
        <v>245.125</v>
      </c>
      <c r="C215" s="39">
        <f t="shared" si="0"/>
        <v>-3.4556600437688489E-3</v>
      </c>
      <c r="E215" s="121">
        <v>42965</v>
      </c>
      <c r="F215" s="9">
        <v>9837.4003909999992</v>
      </c>
      <c r="G215" s="39">
        <f t="shared" si="1"/>
        <v>8.5142306077865548E-3</v>
      </c>
    </row>
    <row r="216" spans="1:7" ht="14.25" customHeight="1" x14ac:dyDescent="0.25">
      <c r="A216" s="121">
        <v>42968</v>
      </c>
      <c r="B216" s="9">
        <v>245.97500600000001</v>
      </c>
      <c r="C216" s="39">
        <f t="shared" si="0"/>
        <v>-5.5589244659246528E-3</v>
      </c>
      <c r="E216" s="121">
        <v>42968</v>
      </c>
      <c r="F216" s="9">
        <v>9754.3496090000008</v>
      </c>
      <c r="G216" s="39">
        <f t="shared" si="1"/>
        <v>-1.1469089015617717E-3</v>
      </c>
    </row>
    <row r="217" spans="1:7" ht="14.25" customHeight="1" x14ac:dyDescent="0.25">
      <c r="A217" s="121">
        <v>42969</v>
      </c>
      <c r="B217" s="9">
        <v>247.35000600000001</v>
      </c>
      <c r="C217" s="39">
        <f t="shared" si="0"/>
        <v>-1.0501049852960076E-2</v>
      </c>
      <c r="E217" s="121">
        <v>42969</v>
      </c>
      <c r="F217" s="9">
        <v>9765.5498050000006</v>
      </c>
      <c r="G217" s="39">
        <f t="shared" si="1"/>
        <v>-8.8251910682567436E-3</v>
      </c>
    </row>
    <row r="218" spans="1:7" ht="14.25" customHeight="1" x14ac:dyDescent="0.25">
      <c r="A218" s="121">
        <v>42970</v>
      </c>
      <c r="B218" s="9">
        <v>249.97500600000001</v>
      </c>
      <c r="C218" s="39">
        <f t="shared" si="0"/>
        <v>4.117328830496092E-3</v>
      </c>
      <c r="E218" s="121">
        <v>42970</v>
      </c>
      <c r="F218" s="9">
        <v>9852.5</v>
      </c>
      <c r="G218" s="39">
        <f t="shared" si="1"/>
        <v>-4.6157877762698085E-4</v>
      </c>
    </row>
    <row r="219" spans="1:7" ht="14.25" customHeight="1" x14ac:dyDescent="0.25">
      <c r="A219" s="121">
        <v>42971</v>
      </c>
      <c r="B219" s="9">
        <v>248.949997</v>
      </c>
      <c r="C219" s="39">
        <f t="shared" si="0"/>
        <v>-6.9804548102966324E-3</v>
      </c>
      <c r="E219" s="121">
        <v>42971</v>
      </c>
      <c r="F219" s="9">
        <v>9857.0498050000006</v>
      </c>
      <c r="G219" s="39">
        <f t="shared" si="1"/>
        <v>-5.6240417537616327E-3</v>
      </c>
    </row>
    <row r="220" spans="1:7" ht="14.25" customHeight="1" x14ac:dyDescent="0.25">
      <c r="A220" s="121">
        <v>42975</v>
      </c>
      <c r="B220" s="9">
        <v>250.699997</v>
      </c>
      <c r="C220" s="39">
        <f t="shared" si="0"/>
        <v>-8.2088697428670532E-3</v>
      </c>
      <c r="E220" s="121">
        <v>42975</v>
      </c>
      <c r="F220" s="9">
        <v>9912.7998050000006</v>
      </c>
      <c r="G220" s="39">
        <f t="shared" si="1"/>
        <v>1.1918069254855057E-2</v>
      </c>
    </row>
    <row r="221" spans="1:7" ht="14.25" customHeight="1" x14ac:dyDescent="0.25">
      <c r="A221" s="121">
        <v>42976</v>
      </c>
      <c r="B221" s="9">
        <v>252.77499399999999</v>
      </c>
      <c r="C221" s="39">
        <f t="shared" si="0"/>
        <v>0</v>
      </c>
      <c r="E221" s="121">
        <v>42976</v>
      </c>
      <c r="F221" s="9">
        <v>9796.0498050000006</v>
      </c>
      <c r="G221" s="39">
        <f t="shared" si="1"/>
        <v>-8.938385992583231E-3</v>
      </c>
    </row>
    <row r="222" spans="1:7" ht="14.25" customHeight="1" x14ac:dyDescent="0.25">
      <c r="A222" s="121">
        <v>42977</v>
      </c>
      <c r="B222" s="9">
        <v>252.77499399999999</v>
      </c>
      <c r="C222" s="39">
        <f t="shared" si="0"/>
        <v>-8.4338882992972541E-3</v>
      </c>
      <c r="E222" s="121">
        <v>42977</v>
      </c>
      <c r="F222" s="9">
        <v>9884.4003909999992</v>
      </c>
      <c r="G222" s="39">
        <f t="shared" si="1"/>
        <v>-3.37773103976724E-3</v>
      </c>
    </row>
    <row r="223" spans="1:7" ht="14.25" customHeight="1" x14ac:dyDescent="0.25">
      <c r="A223" s="121">
        <v>42978</v>
      </c>
      <c r="B223" s="9">
        <v>254.925003</v>
      </c>
      <c r="C223" s="39">
        <f t="shared" si="0"/>
        <v>2.9427898071143765E-4</v>
      </c>
      <c r="E223" s="121">
        <v>42978</v>
      </c>
      <c r="F223" s="9">
        <v>9917.9003909999992</v>
      </c>
      <c r="G223" s="39">
        <f t="shared" si="1"/>
        <v>-5.6645009008241543E-3</v>
      </c>
    </row>
    <row r="224" spans="1:7" ht="14.25" customHeight="1" x14ac:dyDescent="0.25">
      <c r="A224" s="121">
        <v>42979</v>
      </c>
      <c r="B224" s="9">
        <v>254.85000600000001</v>
      </c>
      <c r="C224" s="39">
        <f t="shared" si="0"/>
        <v>-6.7232034271521579E-3</v>
      </c>
      <c r="E224" s="121">
        <v>42979</v>
      </c>
      <c r="F224" s="9">
        <v>9974.4003909999992</v>
      </c>
      <c r="G224" s="39">
        <f t="shared" si="1"/>
        <v>6.2091915471123027E-3</v>
      </c>
    </row>
    <row r="225" spans="1:7" ht="14.25" customHeight="1" x14ac:dyDescent="0.25">
      <c r="A225" s="121">
        <v>42982</v>
      </c>
      <c r="B225" s="9">
        <v>256.57501200000002</v>
      </c>
      <c r="C225" s="39">
        <f t="shared" si="0"/>
        <v>3.0297458596981741E-3</v>
      </c>
      <c r="E225" s="121">
        <v>42982</v>
      </c>
      <c r="F225" s="9">
        <v>9912.8496090000008</v>
      </c>
      <c r="G225" s="39">
        <f t="shared" si="1"/>
        <v>-3.9539584442612741E-3</v>
      </c>
    </row>
    <row r="226" spans="1:7" ht="14.25" customHeight="1" x14ac:dyDescent="0.25">
      <c r="A226" s="121">
        <v>42983</v>
      </c>
      <c r="B226" s="9">
        <v>255.800003</v>
      </c>
      <c r="C226" s="39">
        <f t="shared" si="0"/>
        <v>1.3872373992797726E-2</v>
      </c>
      <c r="E226" s="121">
        <v>42983</v>
      </c>
      <c r="F226" s="9">
        <v>9952.2001949999994</v>
      </c>
      <c r="G226" s="39">
        <f t="shared" si="1"/>
        <v>3.6304228728814003E-3</v>
      </c>
    </row>
    <row r="227" spans="1:7" ht="14.25" customHeight="1" x14ac:dyDescent="0.25">
      <c r="A227" s="121">
        <v>42984</v>
      </c>
      <c r="B227" s="9">
        <v>252.300003</v>
      </c>
      <c r="C227" s="39">
        <f t="shared" si="0"/>
        <v>-8.5470201344646224E-3</v>
      </c>
      <c r="E227" s="121">
        <v>42984</v>
      </c>
      <c r="F227" s="9">
        <v>9916.2001949999994</v>
      </c>
      <c r="G227" s="39">
        <f t="shared" si="1"/>
        <v>-1.3796911812344881E-3</v>
      </c>
    </row>
    <row r="228" spans="1:7" ht="14.25" customHeight="1" x14ac:dyDescent="0.25">
      <c r="A228" s="121">
        <v>42985</v>
      </c>
      <c r="B228" s="9">
        <v>254.47500600000001</v>
      </c>
      <c r="C228" s="39">
        <f t="shared" si="0"/>
        <v>3.054824632102715E-3</v>
      </c>
      <c r="E228" s="121">
        <v>42985</v>
      </c>
      <c r="F228" s="9">
        <v>9929.9003909999992</v>
      </c>
      <c r="G228" s="39">
        <f t="shared" si="1"/>
        <v>-4.931567918998736E-4</v>
      </c>
    </row>
    <row r="229" spans="1:7" ht="14.25" customHeight="1" x14ac:dyDescent="0.25">
      <c r="A229" s="121">
        <v>42986</v>
      </c>
      <c r="B229" s="9">
        <v>253.699997</v>
      </c>
      <c r="C229" s="39">
        <f t="shared" si="0"/>
        <v>-1.8568676982591903E-2</v>
      </c>
      <c r="E229" s="121">
        <v>42986</v>
      </c>
      <c r="F229" s="9">
        <v>9934.7998050000006</v>
      </c>
      <c r="G229" s="39">
        <f t="shared" si="1"/>
        <v>-7.1206921201207862E-3</v>
      </c>
    </row>
    <row r="230" spans="1:7" ht="14.25" customHeight="1" x14ac:dyDescent="0.25">
      <c r="A230" s="121">
        <v>42989</v>
      </c>
      <c r="B230" s="9">
        <v>258.5</v>
      </c>
      <c r="C230" s="39">
        <f t="shared" si="0"/>
        <v>-1.5449749295860515E-3</v>
      </c>
      <c r="E230" s="121">
        <v>42989</v>
      </c>
      <c r="F230" s="9">
        <v>10006.049805000001</v>
      </c>
      <c r="G230" s="39">
        <f t="shared" si="1"/>
        <v>-8.619792994274289E-3</v>
      </c>
    </row>
    <row r="231" spans="1:7" ht="14.25" customHeight="1" x14ac:dyDescent="0.25">
      <c r="A231" s="121">
        <v>42990</v>
      </c>
      <c r="B231" s="9">
        <v>258.89999399999999</v>
      </c>
      <c r="C231" s="39">
        <f t="shared" si="0"/>
        <v>4.6565073501043663E-3</v>
      </c>
      <c r="E231" s="121">
        <v>42990</v>
      </c>
      <c r="F231" s="9">
        <v>10093.049805000001</v>
      </c>
      <c r="G231" s="39">
        <f t="shared" si="1"/>
        <v>1.3641820628431667E-3</v>
      </c>
    </row>
    <row r="232" spans="1:7" ht="14.25" customHeight="1" x14ac:dyDescent="0.25">
      <c r="A232" s="121">
        <v>42991</v>
      </c>
      <c r="B232" s="9">
        <v>257.70001200000002</v>
      </c>
      <c r="C232" s="39">
        <f t="shared" si="0"/>
        <v>-1.2927319141519344E-2</v>
      </c>
      <c r="E232" s="121">
        <v>42991</v>
      </c>
      <c r="F232" s="9">
        <v>10079.299805000001</v>
      </c>
      <c r="G232" s="39">
        <f t="shared" si="1"/>
        <v>-7.2371307308427557E-4</v>
      </c>
    </row>
    <row r="233" spans="1:7" ht="14.25" customHeight="1" x14ac:dyDescent="0.25">
      <c r="A233" s="121">
        <v>42992</v>
      </c>
      <c r="B233" s="9">
        <v>261.07501200000002</v>
      </c>
      <c r="C233" s="39">
        <f t="shared" si="0"/>
        <v>-1.638872071833708E-2</v>
      </c>
      <c r="E233" s="121">
        <v>42992</v>
      </c>
      <c r="F233" s="9">
        <v>10086.599609000001</v>
      </c>
      <c r="G233" s="39">
        <f t="shared" si="1"/>
        <v>1.189063352478037E-4</v>
      </c>
    </row>
    <row r="234" spans="1:7" ht="14.25" customHeight="1" x14ac:dyDescent="0.25">
      <c r="A234" s="121">
        <v>42993</v>
      </c>
      <c r="B234" s="9">
        <v>265.42498799999998</v>
      </c>
      <c r="C234" s="39">
        <f t="shared" si="0"/>
        <v>-8.9611645382845495E-3</v>
      </c>
      <c r="E234" s="121">
        <v>42993</v>
      </c>
      <c r="F234" s="9">
        <v>10085.400390999999</v>
      </c>
      <c r="G234" s="39">
        <f t="shared" si="1"/>
        <v>-6.6678374690612996E-3</v>
      </c>
    </row>
    <row r="235" spans="1:7" ht="14.25" customHeight="1" x14ac:dyDescent="0.25">
      <c r="A235" s="121">
        <v>42996</v>
      </c>
      <c r="B235" s="9">
        <v>267.82501200000002</v>
      </c>
      <c r="C235" s="39">
        <f t="shared" si="0"/>
        <v>1.6896106312292325E-2</v>
      </c>
      <c r="E235" s="121">
        <v>42996</v>
      </c>
      <c r="F235" s="9">
        <v>10153.099609000001</v>
      </c>
      <c r="G235" s="39">
        <f t="shared" si="1"/>
        <v>5.4691074265678097E-4</v>
      </c>
    </row>
    <row r="236" spans="1:7" ht="14.25" customHeight="1" x14ac:dyDescent="0.25">
      <c r="A236" s="121">
        <v>42997</v>
      </c>
      <c r="B236" s="9">
        <v>263.375</v>
      </c>
      <c r="C236" s="39">
        <f t="shared" si="0"/>
        <v>1.2591287675710383E-2</v>
      </c>
      <c r="E236" s="121">
        <v>42997</v>
      </c>
      <c r="F236" s="9">
        <v>10147.549805000001</v>
      </c>
      <c r="G236" s="39">
        <f t="shared" si="1"/>
        <v>6.3103432581779195E-4</v>
      </c>
    </row>
    <row r="237" spans="1:7" ht="14.25" customHeight="1" x14ac:dyDescent="0.25">
      <c r="A237" s="121">
        <v>42998</v>
      </c>
      <c r="B237" s="9">
        <v>260.10000600000001</v>
      </c>
      <c r="C237" s="39">
        <f t="shared" si="0"/>
        <v>-4.1159454365514714E-3</v>
      </c>
      <c r="E237" s="121">
        <v>42998</v>
      </c>
      <c r="F237" s="9">
        <v>10141.150390999999</v>
      </c>
      <c r="G237" s="39">
        <f t="shared" si="1"/>
        <v>1.9018167791016172E-3</v>
      </c>
    </row>
    <row r="238" spans="1:7" ht="14.25" customHeight="1" x14ac:dyDescent="0.25">
      <c r="A238" s="121">
        <v>42999</v>
      </c>
      <c r="B238" s="9">
        <v>261.17498799999998</v>
      </c>
      <c r="C238" s="39">
        <f t="shared" si="0"/>
        <v>4.2718761328226051E-2</v>
      </c>
      <c r="E238" s="121">
        <v>42999</v>
      </c>
      <c r="F238" s="9">
        <v>10121.900390999999</v>
      </c>
      <c r="G238" s="39">
        <f t="shared" si="1"/>
        <v>1.5806269702114406E-2</v>
      </c>
    </row>
    <row r="239" spans="1:7" ht="14.25" customHeight="1" x14ac:dyDescent="0.25">
      <c r="A239" s="121">
        <v>43000</v>
      </c>
      <c r="B239" s="9">
        <v>250.47500600000001</v>
      </c>
      <c r="C239" s="39">
        <f t="shared" si="0"/>
        <v>-2.8601899664101649E-2</v>
      </c>
      <c r="E239" s="121">
        <v>43000</v>
      </c>
      <c r="F239" s="9">
        <v>9964.4003909999992</v>
      </c>
      <c r="G239" s="39">
        <f t="shared" si="1"/>
        <v>9.2985419885063259E-3</v>
      </c>
    </row>
    <row r="240" spans="1:7" ht="14.25" customHeight="1" x14ac:dyDescent="0.25">
      <c r="A240" s="121">
        <v>43003</v>
      </c>
      <c r="B240" s="9">
        <v>257.85000600000001</v>
      </c>
      <c r="C240" s="39">
        <f t="shared" si="0"/>
        <v>2.5860353470610331E-2</v>
      </c>
      <c r="E240" s="121">
        <v>43003</v>
      </c>
      <c r="F240" s="9">
        <v>9872.5996090000008</v>
      </c>
      <c r="G240" s="39">
        <f t="shared" si="1"/>
        <v>1.1139229093859448E-4</v>
      </c>
    </row>
    <row r="241" spans="1:7" ht="14.25" customHeight="1" x14ac:dyDescent="0.25">
      <c r="A241" s="121">
        <v>43004</v>
      </c>
      <c r="B241" s="9">
        <v>251.35000600000001</v>
      </c>
      <c r="C241" s="39">
        <f t="shared" si="0"/>
        <v>7.2129953049930862E-3</v>
      </c>
      <c r="E241" s="121">
        <v>43004</v>
      </c>
      <c r="F241" s="9">
        <v>9871.5</v>
      </c>
      <c r="G241" s="39">
        <f t="shared" si="1"/>
        <v>1.3943455820044637E-2</v>
      </c>
    </row>
    <row r="242" spans="1:7" ht="14.25" customHeight="1" x14ac:dyDescent="0.25">
      <c r="A242" s="121">
        <v>43005</v>
      </c>
      <c r="B242" s="9">
        <v>249.550003</v>
      </c>
      <c r="C242" s="39">
        <f t="shared" si="0"/>
        <v>-3.1156007477930348E-2</v>
      </c>
      <c r="E242" s="121">
        <v>43005</v>
      </c>
      <c r="F242" s="9">
        <v>9735.75</v>
      </c>
      <c r="G242" s="39">
        <f t="shared" si="1"/>
        <v>-3.3985427642974075E-3</v>
      </c>
    </row>
    <row r="243" spans="1:7" ht="14.25" customHeight="1" x14ac:dyDescent="0.25">
      <c r="A243" s="121">
        <v>43006</v>
      </c>
      <c r="B243" s="9">
        <v>257.57501200000002</v>
      </c>
      <c r="C243" s="39">
        <f t="shared" si="0"/>
        <v>-1.8668421327705409E-2</v>
      </c>
      <c r="E243" s="121">
        <v>43006</v>
      </c>
      <c r="F243" s="9">
        <v>9768.9501949999994</v>
      </c>
      <c r="G243" s="39">
        <f t="shared" si="1"/>
        <v>-2.0073774375176656E-3</v>
      </c>
    </row>
    <row r="244" spans="1:7" ht="14.25" customHeight="1" x14ac:dyDescent="0.25">
      <c r="A244" s="121">
        <v>43007</v>
      </c>
      <c r="B244" s="9">
        <v>262.47500600000001</v>
      </c>
      <c r="C244" s="39">
        <f t="shared" si="0"/>
        <v>9.7133828945543677E-3</v>
      </c>
      <c r="E244" s="121">
        <v>43007</v>
      </c>
      <c r="F244" s="9">
        <v>9788.5996090000008</v>
      </c>
      <c r="G244" s="39">
        <f t="shared" si="1"/>
        <v>-7.1910736852780488E-3</v>
      </c>
    </row>
    <row r="245" spans="1:7" ht="14.25" customHeight="1" x14ac:dyDescent="0.25">
      <c r="A245" s="121">
        <v>43011</v>
      </c>
      <c r="B245" s="9">
        <v>259.95001200000002</v>
      </c>
      <c r="C245" s="39">
        <f t="shared" si="0"/>
        <v>-4.7856046806000752E-3</v>
      </c>
      <c r="E245" s="121">
        <v>43011</v>
      </c>
      <c r="F245" s="9">
        <v>9859.5</v>
      </c>
      <c r="G245" s="39">
        <f t="shared" si="1"/>
        <v>-5.587589266180415E-3</v>
      </c>
    </row>
    <row r="246" spans="1:7" ht="14.25" customHeight="1" x14ac:dyDescent="0.25">
      <c r="A246" s="121">
        <v>43012</v>
      </c>
      <c r="B246" s="9">
        <v>261.20001200000002</v>
      </c>
      <c r="C246" s="39">
        <f t="shared" si="0"/>
        <v>7.618886890873533E-3</v>
      </c>
      <c r="E246" s="121">
        <v>43012</v>
      </c>
      <c r="F246" s="9">
        <v>9914.9003909999992</v>
      </c>
      <c r="G246" s="39">
        <f t="shared" si="1"/>
        <v>2.6495085788167394E-3</v>
      </c>
    </row>
    <row r="247" spans="1:7" ht="14.25" customHeight="1" x14ac:dyDescent="0.25">
      <c r="A247" s="121">
        <v>43013</v>
      </c>
      <c r="B247" s="9">
        <v>259.22500600000001</v>
      </c>
      <c r="C247" s="39">
        <f t="shared" si="0"/>
        <v>1.9298930188438312E-4</v>
      </c>
      <c r="E247" s="121">
        <v>43013</v>
      </c>
      <c r="F247" s="9">
        <v>9888.7001949999994</v>
      </c>
      <c r="G247" s="39">
        <f t="shared" si="1"/>
        <v>-9.1185103982975857E-3</v>
      </c>
    </row>
    <row r="248" spans="1:7" ht="14.25" customHeight="1" x14ac:dyDescent="0.25">
      <c r="A248" s="121">
        <v>43014</v>
      </c>
      <c r="B248" s="9">
        <v>259.17498799999998</v>
      </c>
      <c r="C248" s="39">
        <f t="shared" si="0"/>
        <v>-1.5292643679666762E-2</v>
      </c>
      <c r="E248" s="121">
        <v>43014</v>
      </c>
      <c r="F248" s="9">
        <v>9979.7001949999994</v>
      </c>
      <c r="G248" s="39">
        <f t="shared" si="1"/>
        <v>-9.0599974971850017E-4</v>
      </c>
    </row>
    <row r="249" spans="1:7" ht="14.25" customHeight="1" x14ac:dyDescent="0.25">
      <c r="A249" s="121">
        <v>43017</v>
      </c>
      <c r="B249" s="9">
        <v>263.20001200000002</v>
      </c>
      <c r="C249" s="39">
        <f t="shared" si="0"/>
        <v>1.3087082975538955E-2</v>
      </c>
      <c r="E249" s="121">
        <v>43017</v>
      </c>
      <c r="F249" s="9">
        <v>9988.75</v>
      </c>
      <c r="G249" s="39">
        <f t="shared" si="1"/>
        <v>-2.8152476004199567E-3</v>
      </c>
    </row>
    <row r="250" spans="1:7" ht="14.25" customHeight="1" x14ac:dyDescent="0.25">
      <c r="A250" s="121">
        <v>43018</v>
      </c>
      <c r="B250" s="9">
        <v>259.79998799999998</v>
      </c>
      <c r="C250" s="39">
        <f t="shared" si="0"/>
        <v>1.0993216982355003E-2</v>
      </c>
      <c r="E250" s="121">
        <v>43018</v>
      </c>
      <c r="F250" s="9">
        <v>10016.950194999999</v>
      </c>
      <c r="G250" s="39">
        <f t="shared" si="1"/>
        <v>3.2199333614981729E-3</v>
      </c>
    </row>
    <row r="251" spans="1:7" ht="14.25" customHeight="1" x14ac:dyDescent="0.25">
      <c r="A251" s="121">
        <v>43019</v>
      </c>
      <c r="B251" s="9">
        <v>256.97500600000001</v>
      </c>
      <c r="C251" s="39">
        <f t="shared" si="0"/>
        <v>8.932112394174796E-3</v>
      </c>
      <c r="E251" s="121">
        <v>43019</v>
      </c>
      <c r="F251" s="9">
        <v>9984.7998050000006</v>
      </c>
      <c r="G251" s="39">
        <f t="shared" si="1"/>
        <v>-1.1053502404627324E-2</v>
      </c>
    </row>
    <row r="252" spans="1:7" ht="14.25" customHeight="1" x14ac:dyDescent="0.25">
      <c r="A252" s="121">
        <v>43020</v>
      </c>
      <c r="B252" s="9">
        <v>254.699997</v>
      </c>
      <c r="C252" s="39">
        <f t="shared" si="0"/>
        <v>-1.4223523947750394E-2</v>
      </c>
      <c r="E252" s="121">
        <v>43020</v>
      </c>
      <c r="F252" s="9">
        <v>10096.400390999999</v>
      </c>
      <c r="G252" s="39">
        <f t="shared" si="1"/>
        <v>-6.9879667603328643E-3</v>
      </c>
    </row>
    <row r="253" spans="1:7" ht="14.25" customHeight="1" x14ac:dyDescent="0.25">
      <c r="A253" s="121">
        <v>43021</v>
      </c>
      <c r="B253" s="9">
        <v>258.375</v>
      </c>
      <c r="C253" s="39">
        <f t="shared" si="0"/>
        <v>5.2524308200159187E-3</v>
      </c>
      <c r="E253" s="121">
        <v>43021</v>
      </c>
      <c r="F253" s="9">
        <v>10167.450194999999</v>
      </c>
      <c r="G253" s="39">
        <f t="shared" si="1"/>
        <v>-6.1968865170521914E-3</v>
      </c>
    </row>
    <row r="254" spans="1:7" ht="14.25" customHeight="1" x14ac:dyDescent="0.25">
      <c r="A254" s="121">
        <v>43024</v>
      </c>
      <c r="B254" s="9">
        <v>257.02499399999999</v>
      </c>
      <c r="C254" s="39">
        <f t="shared" si="0"/>
        <v>-3.4893633493160436E-3</v>
      </c>
      <c r="E254" s="121">
        <v>43024</v>
      </c>
      <c r="F254" s="9">
        <v>10230.849609000001</v>
      </c>
      <c r="G254" s="39">
        <f t="shared" si="1"/>
        <v>-3.5181039835019412E-4</v>
      </c>
    </row>
    <row r="255" spans="1:7" ht="14.25" customHeight="1" x14ac:dyDescent="0.25">
      <c r="A255" s="121">
        <v>43025</v>
      </c>
      <c r="B255" s="9">
        <v>257.92498799999998</v>
      </c>
      <c r="C255" s="39">
        <f t="shared" si="0"/>
        <v>-1.1402859595313064E-2</v>
      </c>
      <c r="E255" s="121">
        <v>43025</v>
      </c>
      <c r="F255" s="9">
        <v>10234.450194999999</v>
      </c>
      <c r="G255" s="39">
        <f t="shared" si="1"/>
        <v>2.311324415080751E-3</v>
      </c>
    </row>
    <row r="256" spans="1:7" ht="14.25" customHeight="1" x14ac:dyDescent="0.25">
      <c r="A256" s="121">
        <v>43026</v>
      </c>
      <c r="B256" s="9">
        <v>260.89999399999999</v>
      </c>
      <c r="C256" s="39">
        <f t="shared" si="0"/>
        <v>-8.2676723397812069E-3</v>
      </c>
      <c r="E256" s="121">
        <v>43026</v>
      </c>
      <c r="F256" s="9">
        <v>10210.849609000001</v>
      </c>
      <c r="G256" s="39">
        <f t="shared" si="1"/>
        <v>6.337110173973981E-3</v>
      </c>
    </row>
    <row r="257" spans="1:7" ht="14.25" customHeight="1" x14ac:dyDescent="0.25">
      <c r="A257" s="121">
        <v>43027</v>
      </c>
      <c r="B257" s="9">
        <v>263.07501200000002</v>
      </c>
      <c r="C257" s="39">
        <f t="shared" si="0"/>
        <v>1.4558519763603117E-2</v>
      </c>
      <c r="E257" s="121">
        <v>43027</v>
      </c>
      <c r="F257" s="9">
        <v>10146.549805000001</v>
      </c>
      <c r="G257" s="39">
        <f t="shared" si="1"/>
        <v>-3.7604682906811071E-3</v>
      </c>
    </row>
    <row r="258" spans="1:7" ht="14.25" customHeight="1" x14ac:dyDescent="0.25">
      <c r="A258" s="121">
        <v>43031</v>
      </c>
      <c r="B258" s="9">
        <v>259.29998799999998</v>
      </c>
      <c r="C258" s="39">
        <f t="shared" si="0"/>
        <v>1.4475672586643062E-2</v>
      </c>
      <c r="E258" s="121">
        <v>43031</v>
      </c>
      <c r="F258" s="9">
        <v>10184.849609000001</v>
      </c>
      <c r="G258" s="39">
        <f t="shared" si="1"/>
        <v>-2.2385635905717294E-3</v>
      </c>
    </row>
    <row r="259" spans="1:7" ht="14.25" customHeight="1" x14ac:dyDescent="0.25">
      <c r="A259" s="121">
        <v>43032</v>
      </c>
      <c r="B259" s="9">
        <v>255.60000600000001</v>
      </c>
      <c r="C259" s="39">
        <f t="shared" si="0"/>
        <v>-1.8338911185789675E-2</v>
      </c>
      <c r="E259" s="121">
        <v>43032</v>
      </c>
      <c r="F259" s="9">
        <v>10207.700194999999</v>
      </c>
      <c r="G259" s="39">
        <f t="shared" si="1"/>
        <v>-8.5134956391748062E-3</v>
      </c>
    </row>
    <row r="260" spans="1:7" ht="14.25" customHeight="1" x14ac:dyDescent="0.25">
      <c r="A260" s="121">
        <v>43033</v>
      </c>
      <c r="B260" s="9">
        <v>260.375</v>
      </c>
      <c r="C260" s="39">
        <f t="shared" si="0"/>
        <v>-4.798464491362342E-4</v>
      </c>
      <c r="E260" s="121">
        <v>43033</v>
      </c>
      <c r="F260" s="9">
        <v>10295.349609000001</v>
      </c>
      <c r="G260" s="39">
        <f t="shared" si="1"/>
        <v>-4.6839843107345791E-3</v>
      </c>
    </row>
    <row r="261" spans="1:7" ht="14.25" customHeight="1" x14ac:dyDescent="0.25">
      <c r="A261" s="121">
        <v>43034</v>
      </c>
      <c r="B261" s="9">
        <v>260.5</v>
      </c>
      <c r="C261" s="39">
        <f t="shared" si="0"/>
        <v>-1.9017089919808217E-2</v>
      </c>
      <c r="E261" s="121">
        <v>43034</v>
      </c>
      <c r="F261" s="9">
        <v>10343.799805000001</v>
      </c>
      <c r="G261" s="39">
        <f t="shared" si="1"/>
        <v>2.0100648928333964E-3</v>
      </c>
    </row>
    <row r="262" spans="1:7" ht="14.25" customHeight="1" x14ac:dyDescent="0.25">
      <c r="A262" s="121">
        <v>43035</v>
      </c>
      <c r="B262" s="9">
        <v>265.54998799999998</v>
      </c>
      <c r="C262" s="39">
        <f t="shared" si="0"/>
        <v>-3.7164613654733003E-2</v>
      </c>
      <c r="E262" s="121">
        <v>43035</v>
      </c>
      <c r="F262" s="9">
        <v>10323.049805000001</v>
      </c>
      <c r="G262" s="39">
        <f t="shared" si="1"/>
        <v>-3.9175951009748911E-3</v>
      </c>
    </row>
    <row r="263" spans="1:7" ht="14.25" customHeight="1" x14ac:dyDescent="0.25">
      <c r="A263" s="121">
        <v>43038</v>
      </c>
      <c r="B263" s="9">
        <v>275.79998799999998</v>
      </c>
      <c r="C263" s="39">
        <f t="shared" si="0"/>
        <v>2.9090472727271166E-3</v>
      </c>
      <c r="E263" s="121">
        <v>43038</v>
      </c>
      <c r="F263" s="9">
        <v>10363.650390999999</v>
      </c>
      <c r="G263" s="39">
        <f t="shared" si="1"/>
        <v>2.7430830778882864E-3</v>
      </c>
    </row>
    <row r="264" spans="1:7" ht="14.25" customHeight="1" x14ac:dyDescent="0.25">
      <c r="A264" s="121">
        <v>43039</v>
      </c>
      <c r="B264" s="9">
        <v>275</v>
      </c>
      <c r="C264" s="39">
        <f t="shared" si="0"/>
        <v>-8.026755852842804E-2</v>
      </c>
      <c r="E264" s="121">
        <v>43039</v>
      </c>
      <c r="F264" s="9">
        <v>10335.299805000001</v>
      </c>
      <c r="G264" s="39">
        <f t="shared" si="1"/>
        <v>-1.0076164455725234E-2</v>
      </c>
    </row>
    <row r="265" spans="1:7" ht="14.25" customHeight="1" x14ac:dyDescent="0.25">
      <c r="A265" s="121">
        <v>43040</v>
      </c>
      <c r="B265" s="9">
        <v>299</v>
      </c>
      <c r="C265" s="39">
        <f t="shared" si="0"/>
        <v>2.2746686723173815E-2</v>
      </c>
      <c r="E265" s="121">
        <v>43040</v>
      </c>
      <c r="F265" s="9">
        <v>10440.5</v>
      </c>
      <c r="G265" s="39">
        <f t="shared" si="1"/>
        <v>1.6021216171082653E-3</v>
      </c>
    </row>
    <row r="266" spans="1:7" ht="14.25" customHeight="1" x14ac:dyDescent="0.25">
      <c r="A266" s="121">
        <v>43041</v>
      </c>
      <c r="B266" s="9">
        <v>292.35000600000001</v>
      </c>
      <c r="C266" s="39">
        <f t="shared" si="0"/>
        <v>-1.5573701175377708E-2</v>
      </c>
      <c r="E266" s="121">
        <v>43041</v>
      </c>
      <c r="F266" s="9">
        <v>10423.799805000001</v>
      </c>
      <c r="G266" s="39">
        <f t="shared" si="1"/>
        <v>-2.7457732599855955E-3</v>
      </c>
    </row>
    <row r="267" spans="1:7" ht="14.25" customHeight="1" x14ac:dyDescent="0.25">
      <c r="A267" s="121">
        <v>43042</v>
      </c>
      <c r="B267" s="9">
        <v>296.97500600000001</v>
      </c>
      <c r="C267" s="39">
        <f t="shared" si="0"/>
        <v>3.7014425141859375E-2</v>
      </c>
      <c r="E267" s="121">
        <v>43042</v>
      </c>
      <c r="F267" s="9">
        <v>10452.5</v>
      </c>
      <c r="G267" s="39">
        <f t="shared" si="1"/>
        <v>6.6992768045892603E-5</v>
      </c>
    </row>
    <row r="268" spans="1:7" ht="14.25" customHeight="1" x14ac:dyDescent="0.25">
      <c r="A268" s="121">
        <v>43045</v>
      </c>
      <c r="B268" s="9">
        <v>286.375</v>
      </c>
      <c r="C268" s="39">
        <f t="shared" si="0"/>
        <v>1.2551888444717774E-2</v>
      </c>
      <c r="E268" s="121">
        <v>43045</v>
      </c>
      <c r="F268" s="9">
        <v>10451.799805000001</v>
      </c>
      <c r="G268" s="39">
        <f t="shared" si="1"/>
        <v>9.8210567151169048E-3</v>
      </c>
    </row>
    <row r="269" spans="1:7" ht="14.25" customHeight="1" x14ac:dyDescent="0.25">
      <c r="A269" s="121">
        <v>43046</v>
      </c>
      <c r="B269" s="9">
        <v>282.82501200000002</v>
      </c>
      <c r="C269" s="39">
        <f t="shared" si="0"/>
        <v>1.0992000000000113E-2</v>
      </c>
      <c r="E269" s="121">
        <v>43046</v>
      </c>
      <c r="F269" s="9">
        <v>10350.150390999999</v>
      </c>
      <c r="G269" s="39">
        <f t="shared" si="1"/>
        <v>4.5617115364107175E-3</v>
      </c>
    </row>
    <row r="270" spans="1:7" ht="14.25" customHeight="1" x14ac:dyDescent="0.25">
      <c r="A270" s="121">
        <v>43047</v>
      </c>
      <c r="B270" s="9">
        <v>279.75</v>
      </c>
      <c r="C270" s="39">
        <f t="shared" si="0"/>
        <v>-2.6279110042984E-2</v>
      </c>
      <c r="E270" s="121">
        <v>43047</v>
      </c>
      <c r="F270" s="9">
        <v>10303.150390999999</v>
      </c>
      <c r="G270" s="39">
        <f t="shared" si="1"/>
        <v>-5.6259889613330394E-4</v>
      </c>
    </row>
    <row r="271" spans="1:7" ht="14.25" customHeight="1" x14ac:dyDescent="0.25">
      <c r="A271" s="121">
        <v>43048</v>
      </c>
      <c r="B271" s="9">
        <v>287.29998799999998</v>
      </c>
      <c r="C271" s="39">
        <f t="shared" si="0"/>
        <v>6.2165976264760836E-3</v>
      </c>
      <c r="E271" s="121">
        <v>43048</v>
      </c>
      <c r="F271" s="9">
        <v>10308.950194999999</v>
      </c>
      <c r="G271" s="39">
        <f t="shared" si="1"/>
        <v>-1.2400808971347876E-3</v>
      </c>
    </row>
    <row r="272" spans="1:7" ht="14.25" customHeight="1" x14ac:dyDescent="0.25">
      <c r="A272" s="121">
        <v>43049</v>
      </c>
      <c r="B272" s="9">
        <v>285.52499399999999</v>
      </c>
      <c r="C272" s="39">
        <f t="shared" si="0"/>
        <v>1.4839125327759772E-2</v>
      </c>
      <c r="E272" s="121">
        <v>43049</v>
      </c>
      <c r="F272" s="9">
        <v>10321.75</v>
      </c>
      <c r="G272" s="39">
        <f t="shared" si="1"/>
        <v>9.4670197070823026E-3</v>
      </c>
    </row>
    <row r="273" spans="1:7" ht="14.25" customHeight="1" x14ac:dyDescent="0.25">
      <c r="A273" s="121">
        <v>43052</v>
      </c>
      <c r="B273" s="9">
        <v>281.35000600000001</v>
      </c>
      <c r="C273" s="39">
        <f t="shared" si="0"/>
        <v>-6.795474506302468E-3</v>
      </c>
      <c r="E273" s="121">
        <v>43052</v>
      </c>
      <c r="F273" s="9">
        <v>10224.950194999999</v>
      </c>
      <c r="G273" s="39">
        <f t="shared" si="1"/>
        <v>3.7648074403666687E-3</v>
      </c>
    </row>
    <row r="274" spans="1:7" ht="14.25" customHeight="1" x14ac:dyDescent="0.25">
      <c r="A274" s="121">
        <v>43053</v>
      </c>
      <c r="B274" s="9">
        <v>283.27499399999999</v>
      </c>
      <c r="C274" s="39">
        <f t="shared" si="0"/>
        <v>1.241960739469361E-2</v>
      </c>
      <c r="E274" s="121">
        <v>43053</v>
      </c>
      <c r="F274" s="9">
        <v>10186.599609000001</v>
      </c>
      <c r="G274" s="39">
        <f t="shared" si="1"/>
        <v>6.7750016377785549E-3</v>
      </c>
    </row>
    <row r="275" spans="1:7" ht="14.25" customHeight="1" x14ac:dyDescent="0.25">
      <c r="A275" s="121">
        <v>43054</v>
      </c>
      <c r="B275" s="9">
        <v>279.79998799999998</v>
      </c>
      <c r="C275" s="39">
        <f t="shared" si="0"/>
        <v>-2.5341892174161162E-2</v>
      </c>
      <c r="E275" s="121">
        <v>43054</v>
      </c>
      <c r="F275" s="9">
        <v>10118.049805000001</v>
      </c>
      <c r="G275" s="39">
        <f t="shared" si="1"/>
        <v>-9.4667216525122777E-3</v>
      </c>
    </row>
    <row r="276" spans="1:7" ht="14.25" customHeight="1" x14ac:dyDescent="0.25">
      <c r="A276" s="121">
        <v>43055</v>
      </c>
      <c r="B276" s="9">
        <v>287.07501200000002</v>
      </c>
      <c r="C276" s="39">
        <f t="shared" si="0"/>
        <v>-3.5577715329863091E-3</v>
      </c>
      <c r="E276" s="121">
        <v>43055</v>
      </c>
      <c r="F276" s="9">
        <v>10214.75</v>
      </c>
      <c r="G276" s="39">
        <f t="shared" si="1"/>
        <v>-6.6950884532440691E-3</v>
      </c>
    </row>
    <row r="277" spans="1:7" ht="14.25" customHeight="1" x14ac:dyDescent="0.25">
      <c r="A277" s="121">
        <v>43056</v>
      </c>
      <c r="B277" s="9">
        <v>288.10000600000001</v>
      </c>
      <c r="C277" s="39">
        <f t="shared" si="0"/>
        <v>8.6850788531855905E-4</v>
      </c>
      <c r="E277" s="121">
        <v>43056</v>
      </c>
      <c r="F277" s="9">
        <v>10283.599609000001</v>
      </c>
      <c r="G277" s="39">
        <f t="shared" si="1"/>
        <v>-1.4710902779462298E-3</v>
      </c>
    </row>
    <row r="278" spans="1:7" ht="14.25" customHeight="1" x14ac:dyDescent="0.25">
      <c r="A278" s="121">
        <v>43059</v>
      </c>
      <c r="B278" s="9">
        <v>287.85000600000001</v>
      </c>
      <c r="C278" s="39">
        <f t="shared" si="0"/>
        <v>8.5844851138994205E-3</v>
      </c>
      <c r="E278" s="121">
        <v>43059</v>
      </c>
      <c r="F278" s="9">
        <v>10298.75</v>
      </c>
      <c r="G278" s="39">
        <f t="shared" si="1"/>
        <v>-2.7259283942093759E-3</v>
      </c>
    </row>
    <row r="279" spans="1:7" ht="14.25" customHeight="1" x14ac:dyDescent="0.25">
      <c r="A279" s="121">
        <v>43060</v>
      </c>
      <c r="B279" s="9">
        <v>285.39999399999999</v>
      </c>
      <c r="C279" s="39">
        <f t="shared" si="0"/>
        <v>-6.9297245771346772E-2</v>
      </c>
      <c r="E279" s="121">
        <v>43060</v>
      </c>
      <c r="F279" s="9">
        <v>10326.900390999999</v>
      </c>
      <c r="G279" s="39">
        <f t="shared" si="1"/>
        <v>-1.4889738540122543E-3</v>
      </c>
    </row>
    <row r="280" spans="1:7" ht="14.25" customHeight="1" x14ac:dyDescent="0.25">
      <c r="A280" s="121">
        <v>43061</v>
      </c>
      <c r="B280" s="9">
        <v>306.64999399999999</v>
      </c>
      <c r="C280" s="39">
        <f t="shared" si="0"/>
        <v>-2.4398178745572707E-3</v>
      </c>
      <c r="E280" s="121">
        <v>43061</v>
      </c>
      <c r="F280" s="9">
        <v>10342.299805000001</v>
      </c>
      <c r="G280" s="39">
        <f t="shared" si="1"/>
        <v>-6.2328252204368884E-4</v>
      </c>
    </row>
    <row r="281" spans="1:7" ht="14.25" customHeight="1" x14ac:dyDescent="0.25">
      <c r="A281" s="121">
        <v>43062</v>
      </c>
      <c r="B281" s="9">
        <v>307.39999399999999</v>
      </c>
      <c r="C281" s="39">
        <f t="shared" si="0"/>
        <v>2.5008336612370785E-2</v>
      </c>
      <c r="E281" s="121">
        <v>43062</v>
      </c>
      <c r="F281" s="9">
        <v>10348.75</v>
      </c>
      <c r="G281" s="39">
        <f t="shared" si="1"/>
        <v>-3.9414222000079269E-3</v>
      </c>
    </row>
    <row r="282" spans="1:7" ht="14.25" customHeight="1" x14ac:dyDescent="0.25">
      <c r="A282" s="121">
        <v>43063</v>
      </c>
      <c r="B282" s="9">
        <v>299.89999399999999</v>
      </c>
      <c r="C282" s="39">
        <f t="shared" si="0"/>
        <v>-2.8742612492771991E-2</v>
      </c>
      <c r="E282" s="121">
        <v>43063</v>
      </c>
      <c r="F282" s="9">
        <v>10389.700194999999</v>
      </c>
      <c r="G282" s="39">
        <f t="shared" si="1"/>
        <v>-9.4711888347953632E-4</v>
      </c>
    </row>
    <row r="283" spans="1:7" ht="14.25" customHeight="1" x14ac:dyDescent="0.25">
      <c r="A283" s="121">
        <v>43066</v>
      </c>
      <c r="B283" s="9">
        <v>308.77499399999999</v>
      </c>
      <c r="C283" s="39">
        <f t="shared" si="0"/>
        <v>-2.7633425701782732E-2</v>
      </c>
      <c r="E283" s="121">
        <v>43066</v>
      </c>
      <c r="F283" s="9">
        <v>10399.549805000001</v>
      </c>
      <c r="G283" s="39">
        <f t="shared" si="1"/>
        <v>2.8253711337722365E-3</v>
      </c>
    </row>
    <row r="284" spans="1:7" ht="14.25" customHeight="1" x14ac:dyDescent="0.25">
      <c r="A284" s="121">
        <v>43067</v>
      </c>
      <c r="B284" s="9">
        <v>317.54998799999998</v>
      </c>
      <c r="C284" s="39">
        <f t="shared" si="0"/>
        <v>4.1916148803205378E-2</v>
      </c>
      <c r="E284" s="121">
        <v>43067</v>
      </c>
      <c r="F284" s="9">
        <v>10370.25</v>
      </c>
      <c r="G284" s="39">
        <f t="shared" si="1"/>
        <v>8.6381005939828448E-4</v>
      </c>
    </row>
    <row r="285" spans="1:7" ht="14.25" customHeight="1" x14ac:dyDescent="0.25">
      <c r="A285" s="121">
        <v>43068</v>
      </c>
      <c r="B285" s="9">
        <v>304.77499399999999</v>
      </c>
      <c r="C285" s="39">
        <f t="shared" si="0"/>
        <v>4.4492248608081209E-3</v>
      </c>
      <c r="E285" s="121">
        <v>43068</v>
      </c>
      <c r="F285" s="9">
        <v>10361.299805000001</v>
      </c>
      <c r="G285" s="39">
        <f t="shared" si="1"/>
        <v>1.3176486945198018E-2</v>
      </c>
    </row>
    <row r="286" spans="1:7" ht="14.25" customHeight="1" x14ac:dyDescent="0.25">
      <c r="A286" s="121">
        <v>43069</v>
      </c>
      <c r="B286" s="9">
        <v>303.42498799999998</v>
      </c>
      <c r="C286" s="39">
        <f t="shared" si="0"/>
        <v>6.7186265438345938E-3</v>
      </c>
      <c r="E286" s="121">
        <v>43069</v>
      </c>
      <c r="F286" s="9">
        <v>10226.549805000001</v>
      </c>
      <c r="G286" s="39">
        <f t="shared" si="1"/>
        <v>1.0348949990915068E-2</v>
      </c>
    </row>
    <row r="287" spans="1:7" ht="14.25" customHeight="1" x14ac:dyDescent="0.25">
      <c r="A287" s="121">
        <v>43070</v>
      </c>
      <c r="B287" s="9">
        <v>301.39999399999999</v>
      </c>
      <c r="C287" s="39">
        <f t="shared" si="0"/>
        <v>-1.3420641571194825E-2</v>
      </c>
      <c r="E287" s="121">
        <v>43070</v>
      </c>
      <c r="F287" s="9">
        <v>10121.799805000001</v>
      </c>
      <c r="G287" s="39">
        <f t="shared" si="1"/>
        <v>-5.875140085408459E-4</v>
      </c>
    </row>
    <row r="288" spans="1:7" ht="14.25" customHeight="1" x14ac:dyDescent="0.25">
      <c r="A288" s="121">
        <v>43073</v>
      </c>
      <c r="B288" s="9">
        <v>305.5</v>
      </c>
      <c r="C288" s="39">
        <f t="shared" si="0"/>
        <v>1.2290045063498845E-3</v>
      </c>
      <c r="E288" s="121">
        <v>43073</v>
      </c>
      <c r="F288" s="9">
        <v>10127.75</v>
      </c>
      <c r="G288" s="39">
        <f t="shared" si="1"/>
        <v>9.3889753662934616E-4</v>
      </c>
    </row>
    <row r="289" spans="1:7" ht="14.25" customHeight="1" x14ac:dyDescent="0.25">
      <c r="A289" s="121">
        <v>43074</v>
      </c>
      <c r="B289" s="9">
        <v>305.125</v>
      </c>
      <c r="C289" s="39">
        <f t="shared" si="0"/>
        <v>4.1135335252981964E-3</v>
      </c>
      <c r="E289" s="121">
        <v>43074</v>
      </c>
      <c r="F289" s="9">
        <v>10118.25</v>
      </c>
      <c r="G289" s="39">
        <f t="shared" si="1"/>
        <v>7.382482640211574E-3</v>
      </c>
    </row>
    <row r="290" spans="1:7" ht="14.25" customHeight="1" x14ac:dyDescent="0.25">
      <c r="A290" s="121">
        <v>43075</v>
      </c>
      <c r="B290" s="9">
        <v>303.875</v>
      </c>
      <c r="C290" s="39">
        <f t="shared" si="0"/>
        <v>-2.3302531137002758E-2</v>
      </c>
      <c r="E290" s="121">
        <v>43075</v>
      </c>
      <c r="F290" s="9">
        <v>10044.099609000001</v>
      </c>
      <c r="G290" s="39">
        <f t="shared" si="1"/>
        <v>-1.2059034263673274E-2</v>
      </c>
    </row>
    <row r="291" spans="1:7" ht="14.25" customHeight="1" x14ac:dyDescent="0.25">
      <c r="A291" s="121">
        <v>43076</v>
      </c>
      <c r="B291" s="9">
        <v>311.125</v>
      </c>
      <c r="C291" s="39">
        <f t="shared" si="0"/>
        <v>-2.1003738993218501E-2</v>
      </c>
      <c r="E291" s="121">
        <v>43076</v>
      </c>
      <c r="F291" s="9">
        <v>10166.700194999999</v>
      </c>
      <c r="G291" s="39">
        <f t="shared" si="1"/>
        <v>-9.6389602442287226E-3</v>
      </c>
    </row>
    <row r="292" spans="1:7" ht="14.25" customHeight="1" x14ac:dyDescent="0.25">
      <c r="A292" s="121">
        <v>43077</v>
      </c>
      <c r="B292" s="9">
        <v>317.79998799999998</v>
      </c>
      <c r="C292" s="39">
        <f t="shared" si="0"/>
        <v>-1.7391977146799853E-2</v>
      </c>
      <c r="E292" s="121">
        <v>43077</v>
      </c>
      <c r="F292" s="9">
        <v>10265.650390999999</v>
      </c>
      <c r="G292" s="39">
        <f t="shared" si="1"/>
        <v>-5.4832627576353321E-3</v>
      </c>
    </row>
    <row r="293" spans="1:7" ht="14.25" customHeight="1" x14ac:dyDescent="0.25">
      <c r="A293" s="121">
        <v>43080</v>
      </c>
      <c r="B293" s="9">
        <v>323.42498799999998</v>
      </c>
      <c r="C293" s="39">
        <f t="shared" si="0"/>
        <v>5.4402737709902116E-3</v>
      </c>
      <c r="E293" s="121">
        <v>43080</v>
      </c>
      <c r="F293" s="9">
        <v>10322.25</v>
      </c>
      <c r="G293" s="39">
        <f t="shared" si="1"/>
        <v>8.0174221925644051E-3</v>
      </c>
    </row>
    <row r="294" spans="1:7" ht="14.25" customHeight="1" x14ac:dyDescent="0.25">
      <c r="A294" s="121">
        <v>43081</v>
      </c>
      <c r="B294" s="9">
        <v>321.67498799999998</v>
      </c>
      <c r="C294" s="39">
        <f t="shared" si="0"/>
        <v>-1.3039810252290285E-2</v>
      </c>
      <c r="E294" s="121">
        <v>43081</v>
      </c>
      <c r="F294" s="9">
        <v>10240.150390999999</v>
      </c>
      <c r="G294" s="39">
        <f t="shared" si="1"/>
        <v>4.6306707181942297E-3</v>
      </c>
    </row>
    <row r="295" spans="1:7" ht="14.25" customHeight="1" x14ac:dyDescent="0.25">
      <c r="A295" s="121">
        <v>43082</v>
      </c>
      <c r="B295" s="9">
        <v>325.92498799999998</v>
      </c>
      <c r="C295" s="39">
        <f t="shared" si="0"/>
        <v>-8.6685607239339602E-3</v>
      </c>
      <c r="E295" s="121">
        <v>43082</v>
      </c>
      <c r="F295" s="9">
        <v>10192.950194999999</v>
      </c>
      <c r="G295" s="39">
        <f t="shared" si="1"/>
        <v>-5.7694927142607488E-3</v>
      </c>
    </row>
    <row r="296" spans="1:7" ht="14.25" customHeight="1" x14ac:dyDescent="0.25">
      <c r="A296" s="121">
        <v>43083</v>
      </c>
      <c r="B296" s="9">
        <v>328.77499399999999</v>
      </c>
      <c r="C296" s="39">
        <f t="shared" si="0"/>
        <v>-4.5576636117396596E-2</v>
      </c>
      <c r="E296" s="121">
        <v>43083</v>
      </c>
      <c r="F296" s="9">
        <v>10252.099609000001</v>
      </c>
      <c r="G296" s="39">
        <f t="shared" si="1"/>
        <v>-7.8533269784433202E-3</v>
      </c>
    </row>
    <row r="297" spans="1:7" ht="14.25" customHeight="1" x14ac:dyDescent="0.25">
      <c r="A297" s="121">
        <v>43084</v>
      </c>
      <c r="B297" s="9">
        <v>344.47500600000001</v>
      </c>
      <c r="C297" s="39">
        <f t="shared" si="0"/>
        <v>-1.4095558341652326E-2</v>
      </c>
      <c r="E297" s="121">
        <v>43084</v>
      </c>
      <c r="F297" s="9">
        <v>10333.25</v>
      </c>
      <c r="G297" s="39">
        <f t="shared" si="1"/>
        <v>-5.342317410660602E-3</v>
      </c>
    </row>
    <row r="298" spans="1:7" ht="14.25" customHeight="1" x14ac:dyDescent="0.25">
      <c r="A298" s="121">
        <v>43087</v>
      </c>
      <c r="B298" s="9">
        <v>349.39999399999999</v>
      </c>
      <c r="C298" s="39">
        <f t="shared" si="0"/>
        <v>-4.6292999865417128E-3</v>
      </c>
      <c r="E298" s="121">
        <v>43087</v>
      </c>
      <c r="F298" s="9">
        <v>10388.75</v>
      </c>
      <c r="G298" s="39">
        <f t="shared" si="1"/>
        <v>-7.1154325266161722E-3</v>
      </c>
    </row>
    <row r="299" spans="1:7" ht="14.25" customHeight="1" x14ac:dyDescent="0.25">
      <c r="A299" s="121">
        <v>43088</v>
      </c>
      <c r="B299" s="9">
        <v>351.02499399999999</v>
      </c>
      <c r="C299" s="39">
        <f t="shared" si="0"/>
        <v>1.5256671005061451E-2</v>
      </c>
      <c r="E299" s="121">
        <v>43088</v>
      </c>
      <c r="F299" s="9">
        <v>10463.200194999999</v>
      </c>
      <c r="G299" s="39">
        <f t="shared" si="1"/>
        <v>1.8191914790273156E-3</v>
      </c>
    </row>
    <row r="300" spans="1:7" ht="14.25" customHeight="1" x14ac:dyDescent="0.25">
      <c r="A300" s="121">
        <v>43089</v>
      </c>
      <c r="B300" s="9">
        <v>345.75</v>
      </c>
      <c r="C300" s="39">
        <f t="shared" si="0"/>
        <v>-2.3084346492604491E-3</v>
      </c>
      <c r="E300" s="121">
        <v>43089</v>
      </c>
      <c r="F300" s="9">
        <v>10444.200194999999</v>
      </c>
      <c r="G300" s="39">
        <f t="shared" si="1"/>
        <v>3.7358984635016412E-4</v>
      </c>
    </row>
    <row r="301" spans="1:7" ht="14.25" customHeight="1" x14ac:dyDescent="0.25">
      <c r="A301" s="121">
        <v>43090</v>
      </c>
      <c r="B301" s="9">
        <v>346.54998799999998</v>
      </c>
      <c r="C301" s="39">
        <f t="shared" si="0"/>
        <v>9.7610019897085287E-3</v>
      </c>
      <c r="E301" s="121">
        <v>43090</v>
      </c>
      <c r="F301" s="9">
        <v>10440.299805000001</v>
      </c>
      <c r="G301" s="39">
        <f t="shared" si="1"/>
        <v>-5.0224144667873061E-3</v>
      </c>
    </row>
    <row r="302" spans="1:7" ht="14.25" customHeight="1" x14ac:dyDescent="0.25">
      <c r="A302" s="121">
        <v>43091</v>
      </c>
      <c r="B302" s="9">
        <v>343.20001200000002</v>
      </c>
      <c r="C302" s="39">
        <f t="shared" si="0"/>
        <v>1.8926741699336835E-2</v>
      </c>
      <c r="E302" s="121">
        <v>43091</v>
      </c>
      <c r="F302" s="9">
        <v>10493</v>
      </c>
      <c r="G302" s="39">
        <f t="shared" si="1"/>
        <v>-3.6556995679627446E-3</v>
      </c>
    </row>
    <row r="303" spans="1:7" ht="14.25" customHeight="1" x14ac:dyDescent="0.25">
      <c r="A303" s="121">
        <v>43095</v>
      </c>
      <c r="B303" s="9">
        <v>336.82501200000002</v>
      </c>
      <c r="C303" s="39">
        <f t="shared" si="0"/>
        <v>-9.6390925636491431E-4</v>
      </c>
      <c r="E303" s="121">
        <v>43095</v>
      </c>
      <c r="F303" s="9">
        <v>10531.5</v>
      </c>
      <c r="G303" s="39">
        <f t="shared" si="1"/>
        <v>3.8843743297667377E-3</v>
      </c>
    </row>
    <row r="304" spans="1:7" ht="14.25" customHeight="1" x14ac:dyDescent="0.25">
      <c r="A304" s="121">
        <v>43096</v>
      </c>
      <c r="B304" s="9">
        <v>337.14999399999999</v>
      </c>
      <c r="C304" s="39">
        <f t="shared" si="0"/>
        <v>-1.3099175997072887E-2</v>
      </c>
      <c r="E304" s="121">
        <v>43096</v>
      </c>
      <c r="F304" s="9">
        <v>10490.75</v>
      </c>
      <c r="G304" s="39">
        <f t="shared" si="1"/>
        <v>1.2263534220118277E-3</v>
      </c>
    </row>
    <row r="305" spans="1:7" ht="14.25" customHeight="1" x14ac:dyDescent="0.25">
      <c r="A305" s="121">
        <v>43097</v>
      </c>
      <c r="B305" s="9">
        <v>341.625</v>
      </c>
      <c r="C305" s="39">
        <f t="shared" si="0"/>
        <v>8.0407378230877846E-3</v>
      </c>
      <c r="E305" s="121">
        <v>43097</v>
      </c>
      <c r="F305" s="9">
        <v>10477.900390999999</v>
      </c>
      <c r="G305" s="39">
        <f t="shared" si="1"/>
        <v>-5.0138930006828897E-3</v>
      </c>
    </row>
    <row r="306" spans="1:7" ht="14.25" customHeight="1" x14ac:dyDescent="0.25">
      <c r="A306" s="121">
        <v>43098</v>
      </c>
      <c r="B306" s="9">
        <v>338.89999399999999</v>
      </c>
      <c r="C306" s="39">
        <f t="shared" si="0"/>
        <v>-1.3176076750710974E-2</v>
      </c>
      <c r="E306" s="121">
        <v>43098</v>
      </c>
      <c r="F306" s="9">
        <v>10530.700194999999</v>
      </c>
      <c r="G306" s="39">
        <f t="shared" si="1"/>
        <v>5.2998415607738547E-2</v>
      </c>
    </row>
    <row r="307" spans="1:7" ht="14.25" customHeight="1" x14ac:dyDescent="0.25">
      <c r="A307" s="121">
        <v>43101</v>
      </c>
      <c r="B307" s="9">
        <v>343.42498799999998</v>
      </c>
      <c r="C307" s="39">
        <f t="shared" si="0"/>
        <v>2.3773962482374289E-2</v>
      </c>
      <c r="E307" s="121">
        <v>43101</v>
      </c>
      <c r="F307" s="9">
        <v>10000.68</v>
      </c>
      <c r="G307" s="39">
        <f t="shared" si="1"/>
        <v>-4.2282295565584938E-2</v>
      </c>
    </row>
    <row r="308" spans="1:7" ht="14.25" customHeight="1" x14ac:dyDescent="0.25">
      <c r="A308" s="121">
        <v>43102</v>
      </c>
      <c r="B308" s="9">
        <v>335.45001200000002</v>
      </c>
      <c r="C308" s="39">
        <f t="shared" si="0"/>
        <v>-2.2011626822157404E-2</v>
      </c>
      <c r="E308" s="121">
        <v>43102</v>
      </c>
      <c r="F308" s="9">
        <v>10442.200194999999</v>
      </c>
      <c r="G308" s="39">
        <f t="shared" si="1"/>
        <v>-9.5756088299370212E-5</v>
      </c>
    </row>
    <row r="309" spans="1:7" ht="14.25" customHeight="1" x14ac:dyDescent="0.25">
      <c r="A309" s="121">
        <v>43103</v>
      </c>
      <c r="B309" s="9">
        <v>343</v>
      </c>
      <c r="C309" s="39">
        <f t="shared" si="0"/>
        <v>8.2304171112139723E-3</v>
      </c>
      <c r="E309" s="121">
        <v>43103</v>
      </c>
      <c r="F309" s="9">
        <v>10443.200194999999</v>
      </c>
      <c r="G309" s="39">
        <f t="shared" si="1"/>
        <v>-5.8639489703250502E-3</v>
      </c>
    </row>
    <row r="310" spans="1:7" ht="14.25" customHeight="1" x14ac:dyDescent="0.25">
      <c r="A310" s="121">
        <v>43104</v>
      </c>
      <c r="B310" s="9">
        <v>340.20001200000002</v>
      </c>
      <c r="C310" s="39">
        <f t="shared" si="0"/>
        <v>1.2508807519837628E-3</v>
      </c>
      <c r="E310" s="121">
        <v>43104</v>
      </c>
      <c r="F310" s="9">
        <v>10504.799805000001</v>
      </c>
      <c r="G310" s="39">
        <f t="shared" si="1"/>
        <v>-5.1189102981379353E-3</v>
      </c>
    </row>
    <row r="311" spans="1:7" ht="14.25" customHeight="1" x14ac:dyDescent="0.25">
      <c r="A311" s="121">
        <v>43105</v>
      </c>
      <c r="B311" s="9">
        <v>339.77499399999999</v>
      </c>
      <c r="C311" s="39">
        <f t="shared" si="0"/>
        <v>8.6085165120592944E-3</v>
      </c>
      <c r="E311" s="121">
        <v>43105</v>
      </c>
      <c r="F311" s="9">
        <v>10558.849609000001</v>
      </c>
      <c r="G311" s="39">
        <f t="shared" si="1"/>
        <v>-6.0949209668205162E-3</v>
      </c>
    </row>
    <row r="312" spans="1:7" ht="14.25" customHeight="1" x14ac:dyDescent="0.25">
      <c r="A312" s="121">
        <v>43108</v>
      </c>
      <c r="B312" s="9">
        <v>336.875</v>
      </c>
      <c r="C312" s="39">
        <f t="shared" si="0"/>
        <v>-1.1859580672025638E-3</v>
      </c>
      <c r="E312" s="121">
        <v>43108</v>
      </c>
      <c r="F312" s="9">
        <v>10623.599609000001</v>
      </c>
      <c r="G312" s="39">
        <f t="shared" si="1"/>
        <v>-1.2597904484346056E-3</v>
      </c>
    </row>
    <row r="313" spans="1:7" ht="14.25" customHeight="1" x14ac:dyDescent="0.25">
      <c r="A313" s="121">
        <v>43109</v>
      </c>
      <c r="B313" s="9">
        <v>337.27499399999999</v>
      </c>
      <c r="C313" s="39">
        <f t="shared" si="0"/>
        <v>-7.8688569071150294E-3</v>
      </c>
      <c r="E313" s="121">
        <v>43109</v>
      </c>
      <c r="F313" s="9">
        <v>10637</v>
      </c>
      <c r="G313" s="39">
        <f t="shared" si="1"/>
        <v>4.5144042737810253E-4</v>
      </c>
    </row>
    <row r="314" spans="1:7" ht="14.25" customHeight="1" x14ac:dyDescent="0.25">
      <c r="A314" s="121">
        <v>43110</v>
      </c>
      <c r="B314" s="9">
        <v>339.95001200000002</v>
      </c>
      <c r="C314" s="39">
        <f t="shared" si="0"/>
        <v>6.9609181227325845E-3</v>
      </c>
      <c r="E314" s="121">
        <v>43110</v>
      </c>
      <c r="F314" s="9">
        <v>10632.200194999999</v>
      </c>
      <c r="G314" s="39">
        <f t="shared" si="1"/>
        <v>-1.7838365303582959E-3</v>
      </c>
    </row>
    <row r="315" spans="1:7" ht="14.25" customHeight="1" x14ac:dyDescent="0.25">
      <c r="A315" s="121">
        <v>43111</v>
      </c>
      <c r="B315" s="9">
        <v>337.60000600000001</v>
      </c>
      <c r="C315" s="39">
        <f t="shared" si="0"/>
        <v>-4.2031945290734729E-3</v>
      </c>
      <c r="E315" s="121">
        <v>43111</v>
      </c>
      <c r="F315" s="9">
        <v>10651.200194999999</v>
      </c>
      <c r="G315" s="39">
        <f t="shared" si="1"/>
        <v>-2.8133228788765896E-3</v>
      </c>
    </row>
    <row r="316" spans="1:7" ht="14.25" customHeight="1" x14ac:dyDescent="0.25">
      <c r="A316" s="121">
        <v>43112</v>
      </c>
      <c r="B316" s="9">
        <v>339.02499399999999</v>
      </c>
      <c r="C316" s="39">
        <f t="shared" si="0"/>
        <v>-2.7943583593906807E-3</v>
      </c>
      <c r="E316" s="121">
        <v>43112</v>
      </c>
      <c r="F316" s="9">
        <v>10681.25</v>
      </c>
      <c r="G316" s="39">
        <f t="shared" si="1"/>
        <v>-5.613696914753552E-3</v>
      </c>
    </row>
    <row r="317" spans="1:7" ht="14.25" customHeight="1" x14ac:dyDescent="0.25">
      <c r="A317" s="121">
        <v>43115</v>
      </c>
      <c r="B317" s="9">
        <v>339.97500600000001</v>
      </c>
      <c r="C317" s="39">
        <f t="shared" si="0"/>
        <v>2.3558669701496449E-2</v>
      </c>
      <c r="E317" s="121">
        <v>43115</v>
      </c>
      <c r="F317" s="9">
        <v>10741.549805000001</v>
      </c>
      <c r="G317" s="39">
        <f t="shared" si="1"/>
        <v>3.8409234425673677E-3</v>
      </c>
    </row>
    <row r="318" spans="1:7" ht="14.25" customHeight="1" x14ac:dyDescent="0.25">
      <c r="A318" s="121">
        <v>43116</v>
      </c>
      <c r="B318" s="9">
        <v>332.14999399999999</v>
      </c>
      <c r="C318" s="39">
        <f t="shared" si="0"/>
        <v>2.113596226828296E-2</v>
      </c>
      <c r="E318" s="121">
        <v>43116</v>
      </c>
      <c r="F318" s="9">
        <v>10700.450194999999</v>
      </c>
      <c r="G318" s="39">
        <f t="shared" si="1"/>
        <v>-8.1660289466496394E-3</v>
      </c>
    </row>
    <row r="319" spans="1:7" ht="14.25" customHeight="1" x14ac:dyDescent="0.25">
      <c r="A319" s="121">
        <v>43117</v>
      </c>
      <c r="B319" s="9">
        <v>325.27499399999999</v>
      </c>
      <c r="C319" s="39">
        <f t="shared" si="0"/>
        <v>2.3057194721132213E-4</v>
      </c>
      <c r="E319" s="121">
        <v>43117</v>
      </c>
      <c r="F319" s="9">
        <v>10788.549805000001</v>
      </c>
      <c r="G319" s="39">
        <f t="shared" si="1"/>
        <v>-2.630137283904932E-3</v>
      </c>
    </row>
    <row r="320" spans="1:7" ht="14.25" customHeight="1" x14ac:dyDescent="0.25">
      <c r="A320" s="121">
        <v>43118</v>
      </c>
      <c r="B320" s="9">
        <v>325.20001200000002</v>
      </c>
      <c r="C320" s="39">
        <f t="shared" si="0"/>
        <v>1.9116282937331031E-2</v>
      </c>
      <c r="E320" s="121">
        <v>43118</v>
      </c>
      <c r="F320" s="9">
        <v>10817</v>
      </c>
      <c r="G320" s="39">
        <f t="shared" si="1"/>
        <v>-7.1319259464944773E-3</v>
      </c>
    </row>
    <row r="321" spans="1:7" ht="14.25" customHeight="1" x14ac:dyDescent="0.25">
      <c r="A321" s="121">
        <v>43119</v>
      </c>
      <c r="B321" s="9">
        <v>319.10000600000001</v>
      </c>
      <c r="C321" s="39">
        <f t="shared" si="0"/>
        <v>1.5999343494413232E-2</v>
      </c>
      <c r="E321" s="121">
        <v>43119</v>
      </c>
      <c r="F321" s="9">
        <v>10894.700194999999</v>
      </c>
      <c r="G321" s="39">
        <f t="shared" si="1"/>
        <v>-6.5200341712345899E-3</v>
      </c>
    </row>
    <row r="322" spans="1:7" ht="14.25" customHeight="1" x14ac:dyDescent="0.25">
      <c r="A322" s="121">
        <v>43122</v>
      </c>
      <c r="B322" s="9">
        <v>314.07501200000002</v>
      </c>
      <c r="C322" s="39">
        <f t="shared" si="0"/>
        <v>-1.790173925835159E-2</v>
      </c>
      <c r="E322" s="121">
        <v>43122</v>
      </c>
      <c r="F322" s="9">
        <v>10966.200194999999</v>
      </c>
      <c r="G322" s="39">
        <f t="shared" si="1"/>
        <v>-1.0601152858050633E-2</v>
      </c>
    </row>
    <row r="323" spans="1:7" ht="14.25" customHeight="1" x14ac:dyDescent="0.25">
      <c r="A323" s="121">
        <v>43123</v>
      </c>
      <c r="B323" s="9">
        <v>319.79998799999998</v>
      </c>
      <c r="C323" s="39">
        <f t="shared" si="0"/>
        <v>2.8295781350482274E-2</v>
      </c>
      <c r="E323" s="121">
        <v>43123</v>
      </c>
      <c r="F323" s="9">
        <v>11083.700194999999</v>
      </c>
      <c r="G323" s="39">
        <f t="shared" si="1"/>
        <v>-2.0745128991528361E-4</v>
      </c>
    </row>
    <row r="324" spans="1:7" ht="14.25" customHeight="1" x14ac:dyDescent="0.25">
      <c r="A324" s="121">
        <v>43124</v>
      </c>
      <c r="B324" s="9">
        <v>311</v>
      </c>
      <c r="C324" s="39">
        <f t="shared" si="0"/>
        <v>-5.674986920469749E-3</v>
      </c>
      <c r="E324" s="121">
        <v>43124</v>
      </c>
      <c r="F324" s="9">
        <v>11086</v>
      </c>
      <c r="G324" s="39">
        <f t="shared" si="1"/>
        <v>1.4769760943211807E-3</v>
      </c>
    </row>
    <row r="325" spans="1:7" ht="14.25" customHeight="1" x14ac:dyDescent="0.25">
      <c r="A325" s="121">
        <v>43125</v>
      </c>
      <c r="B325" s="9">
        <v>312.77499399999999</v>
      </c>
      <c r="C325" s="39">
        <f t="shared" si="0"/>
        <v>-3.2663927316657348E-3</v>
      </c>
      <c r="E325" s="121">
        <v>43125</v>
      </c>
      <c r="F325" s="9">
        <v>11069.650390999999</v>
      </c>
      <c r="G325" s="39">
        <f t="shared" si="1"/>
        <v>-5.4580246770926655E-3</v>
      </c>
    </row>
    <row r="326" spans="1:7" ht="14.25" customHeight="1" x14ac:dyDescent="0.25">
      <c r="A326" s="121">
        <v>43129</v>
      </c>
      <c r="B326" s="9">
        <v>313.79998799999998</v>
      </c>
      <c r="C326" s="39">
        <f t="shared" si="0"/>
        <v>-1.2586532885583424E-2</v>
      </c>
      <c r="E326" s="121">
        <v>43129</v>
      </c>
      <c r="F326" s="9">
        <v>11130.400390999999</v>
      </c>
      <c r="G326" s="39">
        <f t="shared" si="1"/>
        <v>7.3079235217949901E-3</v>
      </c>
    </row>
    <row r="327" spans="1:7" ht="14.25" customHeight="1" x14ac:dyDescent="0.25">
      <c r="A327" s="121">
        <v>43130</v>
      </c>
      <c r="B327" s="9">
        <v>317.79998799999998</v>
      </c>
      <c r="C327" s="39">
        <f t="shared" si="0"/>
        <v>2.1618502742354551E-2</v>
      </c>
      <c r="E327" s="121">
        <v>43130</v>
      </c>
      <c r="F327" s="9">
        <v>11049.650390999999</v>
      </c>
      <c r="G327" s="39">
        <f t="shared" si="1"/>
        <v>1.9904599881988005E-3</v>
      </c>
    </row>
    <row r="328" spans="1:7" ht="14.25" customHeight="1" x14ac:dyDescent="0.25">
      <c r="A328" s="121">
        <v>43131</v>
      </c>
      <c r="B328" s="9">
        <v>311.07501200000002</v>
      </c>
      <c r="C328" s="39">
        <f t="shared" si="0"/>
        <v>-1.6985305091408831E-2</v>
      </c>
      <c r="E328" s="121">
        <v>43131</v>
      </c>
      <c r="F328" s="9">
        <v>11027.700194999999</v>
      </c>
      <c r="G328" s="39">
        <f t="shared" si="1"/>
        <v>9.8029424036760737E-4</v>
      </c>
    </row>
    <row r="329" spans="1:7" ht="14.25" customHeight="1" x14ac:dyDescent="0.25">
      <c r="A329" s="121">
        <v>43132</v>
      </c>
      <c r="B329" s="9">
        <v>316.45001200000002</v>
      </c>
      <c r="C329" s="39">
        <f t="shared" si="0"/>
        <v>3.5165193254882876E-2</v>
      </c>
      <c r="E329" s="121">
        <v>43132</v>
      </c>
      <c r="F329" s="9">
        <v>11016.900390999999</v>
      </c>
      <c r="G329" s="39">
        <f t="shared" si="1"/>
        <v>2.3818447978087853E-2</v>
      </c>
    </row>
    <row r="330" spans="1:7" ht="14.25" customHeight="1" x14ac:dyDescent="0.25">
      <c r="A330" s="121">
        <v>43133</v>
      </c>
      <c r="B330" s="9">
        <v>305.70001200000002</v>
      </c>
      <c r="C330" s="39">
        <f t="shared" si="0"/>
        <v>3.9177443596938311E-2</v>
      </c>
      <c r="E330" s="121">
        <v>43133</v>
      </c>
      <c r="F330" s="9">
        <v>10760.599609000001</v>
      </c>
      <c r="G330" s="39">
        <f t="shared" si="1"/>
        <v>8.8172657250344955E-3</v>
      </c>
    </row>
    <row r="331" spans="1:7" ht="14.25" customHeight="1" x14ac:dyDescent="0.25">
      <c r="A331" s="121">
        <v>43136</v>
      </c>
      <c r="B331" s="9">
        <v>294.17498799999998</v>
      </c>
      <c r="C331" s="39">
        <f t="shared" si="0"/>
        <v>-1.638392979484371E-2</v>
      </c>
      <c r="E331" s="121">
        <v>43136</v>
      </c>
      <c r="F331" s="9">
        <v>10666.549805000001</v>
      </c>
      <c r="G331" s="39">
        <f t="shared" si="1"/>
        <v>1.6031224727930837E-2</v>
      </c>
    </row>
    <row r="332" spans="1:7" ht="14.25" customHeight="1" x14ac:dyDescent="0.25">
      <c r="A332" s="121">
        <v>43137</v>
      </c>
      <c r="B332" s="9">
        <v>299.07501200000002</v>
      </c>
      <c r="C332" s="39">
        <f t="shared" si="0"/>
        <v>-6.5602925717438421E-3</v>
      </c>
      <c r="E332" s="121">
        <v>43137</v>
      </c>
      <c r="F332" s="9">
        <v>10498.25</v>
      </c>
      <c r="G332" s="39">
        <f t="shared" si="1"/>
        <v>2.0569267611842967E-3</v>
      </c>
    </row>
    <row r="333" spans="1:7" ht="14.25" customHeight="1" x14ac:dyDescent="0.25">
      <c r="A333" s="121">
        <v>43138</v>
      </c>
      <c r="B333" s="9">
        <v>301.04998799999998</v>
      </c>
      <c r="C333" s="39">
        <f t="shared" si="0"/>
        <v>-1.092406406570845E-2</v>
      </c>
      <c r="E333" s="121">
        <v>43138</v>
      </c>
      <c r="F333" s="9">
        <v>10476.700194999999</v>
      </c>
      <c r="G333" s="39">
        <f t="shared" si="1"/>
        <v>-9.4687376394936296E-3</v>
      </c>
    </row>
    <row r="334" spans="1:7" ht="14.25" customHeight="1" x14ac:dyDescent="0.25">
      <c r="A334" s="121">
        <v>43139</v>
      </c>
      <c r="B334" s="9">
        <v>304.375</v>
      </c>
      <c r="C334" s="39">
        <f t="shared" si="0"/>
        <v>-6.5279477764177418E-3</v>
      </c>
      <c r="E334" s="121">
        <v>43139</v>
      </c>
      <c r="F334" s="9">
        <v>10576.849609000001</v>
      </c>
      <c r="G334" s="39">
        <f t="shared" si="1"/>
        <v>1.1659492558682816E-2</v>
      </c>
    </row>
    <row r="335" spans="1:7" ht="14.25" customHeight="1" x14ac:dyDescent="0.25">
      <c r="A335" s="121">
        <v>43140</v>
      </c>
      <c r="B335" s="9">
        <v>306.375</v>
      </c>
      <c r="C335" s="39">
        <f t="shared" si="0"/>
        <v>1.8957386638359219E-2</v>
      </c>
      <c r="E335" s="121">
        <v>43140</v>
      </c>
      <c r="F335" s="9">
        <v>10454.950194999999</v>
      </c>
      <c r="G335" s="39">
        <f t="shared" si="1"/>
        <v>-8.0457131336132415E-3</v>
      </c>
    </row>
    <row r="336" spans="1:7" ht="14.25" customHeight="1" x14ac:dyDescent="0.25">
      <c r="A336" s="121">
        <v>43143</v>
      </c>
      <c r="B336" s="9">
        <v>300.67498799999998</v>
      </c>
      <c r="C336" s="39">
        <f t="shared" si="0"/>
        <v>4.0069520860113172E-3</v>
      </c>
      <c r="E336" s="121">
        <v>43143</v>
      </c>
      <c r="F336" s="9">
        <v>10539.75</v>
      </c>
      <c r="G336" s="39">
        <f t="shared" si="1"/>
        <v>3.6996455116646842E-3</v>
      </c>
    </row>
    <row r="337" spans="1:7" ht="14.25" customHeight="1" x14ac:dyDescent="0.25">
      <c r="A337" s="121">
        <v>43145</v>
      </c>
      <c r="B337" s="9">
        <v>299.47500600000001</v>
      </c>
      <c r="C337" s="39">
        <f t="shared" si="0"/>
        <v>1.139817606082727E-2</v>
      </c>
      <c r="E337" s="121">
        <v>43145</v>
      </c>
      <c r="F337" s="9">
        <v>10500.900390999999</v>
      </c>
      <c r="G337" s="39">
        <f t="shared" si="1"/>
        <v>-4.2292550376938909E-3</v>
      </c>
    </row>
    <row r="338" spans="1:7" ht="14.25" customHeight="1" x14ac:dyDescent="0.25">
      <c r="A338" s="121">
        <v>43146</v>
      </c>
      <c r="B338" s="9">
        <v>296.10000600000001</v>
      </c>
      <c r="C338" s="39">
        <f t="shared" si="0"/>
        <v>-9.2847979924717272E-3</v>
      </c>
      <c r="E338" s="121">
        <v>43146</v>
      </c>
      <c r="F338" s="9">
        <v>10545.5</v>
      </c>
      <c r="G338" s="39">
        <f t="shared" si="1"/>
        <v>8.9167165828343276E-3</v>
      </c>
    </row>
    <row r="339" spans="1:7" ht="14.25" customHeight="1" x14ac:dyDescent="0.25">
      <c r="A339" s="121">
        <v>43147</v>
      </c>
      <c r="B339" s="9">
        <v>298.875</v>
      </c>
      <c r="C339" s="39">
        <f t="shared" si="0"/>
        <v>-6.6472787702533953E-3</v>
      </c>
      <c r="E339" s="121">
        <v>43147</v>
      </c>
      <c r="F339" s="9">
        <v>10452.299805000001</v>
      </c>
      <c r="G339" s="39">
        <f t="shared" si="1"/>
        <v>7.1205013504860304E-3</v>
      </c>
    </row>
    <row r="340" spans="1:7" ht="14.25" customHeight="1" x14ac:dyDescent="0.25">
      <c r="A340" s="121">
        <v>43150</v>
      </c>
      <c r="B340" s="9">
        <v>300.875</v>
      </c>
      <c r="C340" s="39">
        <f t="shared" si="0"/>
        <v>-1.3276707591602932E-3</v>
      </c>
      <c r="E340" s="121">
        <v>43150</v>
      </c>
      <c r="F340" s="9">
        <v>10378.400390999999</v>
      </c>
      <c r="G340" s="39">
        <f t="shared" si="1"/>
        <v>1.7373845913943864E-3</v>
      </c>
    </row>
    <row r="341" spans="1:7" ht="14.25" customHeight="1" x14ac:dyDescent="0.25">
      <c r="A341" s="121">
        <v>43151</v>
      </c>
      <c r="B341" s="9">
        <v>301.27499399999999</v>
      </c>
      <c r="C341" s="39">
        <f t="shared" si="0"/>
        <v>2.0925069042526445E-2</v>
      </c>
      <c r="E341" s="121">
        <v>43151</v>
      </c>
      <c r="F341" s="9">
        <v>10360.400390999999</v>
      </c>
      <c r="G341" s="39">
        <f t="shared" si="1"/>
        <v>-3.5633547942184318E-3</v>
      </c>
    </row>
    <row r="342" spans="1:7" ht="14.25" customHeight="1" x14ac:dyDescent="0.25">
      <c r="A342" s="121">
        <v>43152</v>
      </c>
      <c r="B342" s="9">
        <v>295.10000600000001</v>
      </c>
      <c r="C342" s="39">
        <f t="shared" si="0"/>
        <v>-2.1957079685997249E-2</v>
      </c>
      <c r="E342" s="121">
        <v>43152</v>
      </c>
      <c r="F342" s="9">
        <v>10397.450194999999</v>
      </c>
      <c r="G342" s="39">
        <f t="shared" si="1"/>
        <v>1.4206323714425206E-3</v>
      </c>
    </row>
    <row r="343" spans="1:7" ht="14.25" customHeight="1" x14ac:dyDescent="0.25">
      <c r="A343" s="121">
        <v>43153</v>
      </c>
      <c r="B343" s="9">
        <v>301.72500600000001</v>
      </c>
      <c r="C343" s="39">
        <f t="shared" si="0"/>
        <v>-9.8449419671190475E-3</v>
      </c>
      <c r="E343" s="121">
        <v>43153</v>
      </c>
      <c r="F343" s="9">
        <v>10382.700194999999</v>
      </c>
      <c r="G343" s="39">
        <f t="shared" si="1"/>
        <v>-1.0327813899840832E-2</v>
      </c>
    </row>
    <row r="344" spans="1:7" ht="14.25" customHeight="1" x14ac:dyDescent="0.25">
      <c r="A344" s="121">
        <v>43154</v>
      </c>
      <c r="B344" s="9">
        <v>304.72500600000001</v>
      </c>
      <c r="C344" s="39">
        <f t="shared" si="0"/>
        <v>-6.277476072606647E-3</v>
      </c>
      <c r="E344" s="121">
        <v>43154</v>
      </c>
      <c r="F344" s="9">
        <v>10491.049805000001</v>
      </c>
      <c r="G344" s="39">
        <f t="shared" si="1"/>
        <v>-8.6509749383451018E-3</v>
      </c>
    </row>
    <row r="345" spans="1:7" ht="14.25" customHeight="1" x14ac:dyDescent="0.25">
      <c r="A345" s="121">
        <v>43157</v>
      </c>
      <c r="B345" s="9">
        <v>306.64999399999999</v>
      </c>
      <c r="C345" s="39">
        <f t="shared" si="0"/>
        <v>-1.9528266883644951E-3</v>
      </c>
      <c r="E345" s="121">
        <v>43157</v>
      </c>
      <c r="F345" s="9">
        <v>10582.599609000001</v>
      </c>
      <c r="G345" s="39">
        <f t="shared" si="1"/>
        <v>2.6813530525817697E-3</v>
      </c>
    </row>
    <row r="346" spans="1:7" ht="14.25" customHeight="1" x14ac:dyDescent="0.25">
      <c r="A346" s="121">
        <v>43158</v>
      </c>
      <c r="B346" s="9">
        <v>307.25</v>
      </c>
      <c r="C346" s="39">
        <f t="shared" si="0"/>
        <v>6.8818811774251643E-3</v>
      </c>
      <c r="E346" s="121">
        <v>43158</v>
      </c>
      <c r="F346" s="9">
        <v>10554.299805000001</v>
      </c>
      <c r="G346" s="39">
        <f t="shared" si="1"/>
        <v>5.8563877583162061E-3</v>
      </c>
    </row>
    <row r="347" spans="1:7" ht="14.25" customHeight="1" x14ac:dyDescent="0.25">
      <c r="A347" s="121">
        <v>43159</v>
      </c>
      <c r="B347" s="9">
        <v>305.14999399999999</v>
      </c>
      <c r="C347" s="39">
        <f t="shared" si="0"/>
        <v>-7.803589964698654E-3</v>
      </c>
      <c r="E347" s="121">
        <v>43159</v>
      </c>
      <c r="F347" s="9">
        <v>10492.849609000001</v>
      </c>
      <c r="G347" s="39">
        <f t="shared" si="1"/>
        <v>3.2987996471556258E-3</v>
      </c>
    </row>
    <row r="348" spans="1:7" ht="14.25" customHeight="1" x14ac:dyDescent="0.25">
      <c r="A348" s="121">
        <v>43160</v>
      </c>
      <c r="B348" s="9">
        <v>307.54998799999998</v>
      </c>
      <c r="C348" s="39">
        <f t="shared" si="0"/>
        <v>1.0431172073921857E-2</v>
      </c>
      <c r="E348" s="121">
        <v>43160</v>
      </c>
      <c r="F348" s="9">
        <v>10458.349609000001</v>
      </c>
      <c r="G348" s="39">
        <f t="shared" si="1"/>
        <v>9.6053136936704586E-3</v>
      </c>
    </row>
    <row r="349" spans="1:7" ht="14.25" customHeight="1" x14ac:dyDescent="0.25">
      <c r="A349" s="121">
        <v>43164</v>
      </c>
      <c r="B349" s="9">
        <v>304.375</v>
      </c>
      <c r="C349" s="39">
        <f t="shared" si="0"/>
        <v>-5.2292048978667127E-3</v>
      </c>
      <c r="E349" s="121">
        <v>43164</v>
      </c>
      <c r="F349" s="9">
        <v>10358.849609000001</v>
      </c>
      <c r="G349" s="39">
        <f t="shared" si="1"/>
        <v>1.0693427226382557E-2</v>
      </c>
    </row>
    <row r="350" spans="1:7" ht="14.25" customHeight="1" x14ac:dyDescent="0.25">
      <c r="A350" s="121">
        <v>43165</v>
      </c>
      <c r="B350" s="9">
        <v>305.97500600000001</v>
      </c>
      <c r="C350" s="39">
        <f t="shared" si="0"/>
        <v>9.6519324066102197E-3</v>
      </c>
      <c r="E350" s="121">
        <v>43165</v>
      </c>
      <c r="F350" s="9">
        <v>10249.25</v>
      </c>
      <c r="G350" s="39">
        <f t="shared" si="1"/>
        <v>9.3606392600771304E-3</v>
      </c>
    </row>
    <row r="351" spans="1:7" ht="14.25" customHeight="1" x14ac:dyDescent="0.25">
      <c r="A351" s="121">
        <v>43166</v>
      </c>
      <c r="B351" s="9">
        <v>303.04998799999998</v>
      </c>
      <c r="C351" s="39">
        <f t="shared" si="0"/>
        <v>-1.5032096141659679E-2</v>
      </c>
      <c r="E351" s="121">
        <v>43166</v>
      </c>
      <c r="F351" s="9">
        <v>10154.200194999999</v>
      </c>
      <c r="G351" s="39">
        <f t="shared" si="1"/>
        <v>-8.6354793557845699E-3</v>
      </c>
    </row>
    <row r="352" spans="1:7" ht="14.25" customHeight="1" x14ac:dyDescent="0.25">
      <c r="A352" s="121">
        <v>43167</v>
      </c>
      <c r="B352" s="9">
        <v>307.67498799999998</v>
      </c>
      <c r="C352" s="39">
        <f t="shared" si="0"/>
        <v>6.6252054302347041E-3</v>
      </c>
      <c r="E352" s="121">
        <v>43167</v>
      </c>
      <c r="F352" s="9">
        <v>10242.650390999999</v>
      </c>
      <c r="G352" s="39">
        <f t="shared" si="1"/>
        <v>1.5450292713889979E-3</v>
      </c>
    </row>
    <row r="353" spans="1:7" ht="14.25" customHeight="1" x14ac:dyDescent="0.25">
      <c r="A353" s="121">
        <v>43168</v>
      </c>
      <c r="B353" s="9">
        <v>305.64999399999999</v>
      </c>
      <c r="C353" s="39">
        <f t="shared" si="0"/>
        <v>-1.1401290973770517E-2</v>
      </c>
      <c r="E353" s="121">
        <v>43168</v>
      </c>
      <c r="F353" s="9">
        <v>10226.849609000001</v>
      </c>
      <c r="G353" s="39">
        <f t="shared" si="1"/>
        <v>-1.8668391454186306E-2</v>
      </c>
    </row>
    <row r="354" spans="1:7" ht="14.25" customHeight="1" x14ac:dyDescent="0.25">
      <c r="A354" s="121">
        <v>43171</v>
      </c>
      <c r="B354" s="9">
        <v>309.17498799999998</v>
      </c>
      <c r="C354" s="39">
        <f t="shared" si="0"/>
        <v>-8.6573531062125175E-3</v>
      </c>
      <c r="E354" s="121">
        <v>43171</v>
      </c>
      <c r="F354" s="9">
        <v>10421.400390999999</v>
      </c>
      <c r="G354" s="39">
        <f t="shared" si="1"/>
        <v>-5.2261404013131951E-4</v>
      </c>
    </row>
    <row r="355" spans="1:7" ht="14.25" customHeight="1" x14ac:dyDescent="0.25">
      <c r="A355" s="121">
        <v>43172</v>
      </c>
      <c r="B355" s="9">
        <v>311.875</v>
      </c>
      <c r="C355" s="39">
        <f t="shared" si="0"/>
        <v>-1.2809030748072159E-3</v>
      </c>
      <c r="E355" s="121">
        <v>43172</v>
      </c>
      <c r="F355" s="9">
        <v>10426.849609000001</v>
      </c>
      <c r="G355" s="39">
        <f t="shared" si="1"/>
        <v>1.531972970732598E-3</v>
      </c>
    </row>
    <row r="356" spans="1:7" ht="14.25" customHeight="1" x14ac:dyDescent="0.25">
      <c r="A356" s="121">
        <v>43173</v>
      </c>
      <c r="B356" s="9">
        <v>312.27499399999999</v>
      </c>
      <c r="C356" s="39">
        <f t="shared" si="0"/>
        <v>-8.9654457194774384E-3</v>
      </c>
      <c r="E356" s="121">
        <v>43173</v>
      </c>
      <c r="F356" s="9">
        <v>10410.900390999999</v>
      </c>
      <c r="G356" s="39">
        <f t="shared" si="1"/>
        <v>4.8985775384193797E-3</v>
      </c>
    </row>
    <row r="357" spans="1:7" ht="14.25" customHeight="1" x14ac:dyDescent="0.25">
      <c r="A357" s="121">
        <v>43174</v>
      </c>
      <c r="B357" s="9">
        <v>315.10000600000001</v>
      </c>
      <c r="C357" s="39">
        <f t="shared" si="0"/>
        <v>-2.1375600121141813E-3</v>
      </c>
      <c r="E357" s="121">
        <v>43174</v>
      </c>
      <c r="F357" s="9">
        <v>10360.150390999999</v>
      </c>
      <c r="G357" s="39">
        <f t="shared" si="1"/>
        <v>1.6184165379812043E-2</v>
      </c>
    </row>
    <row r="358" spans="1:7" ht="14.25" customHeight="1" x14ac:dyDescent="0.25">
      <c r="A358" s="121">
        <v>43175</v>
      </c>
      <c r="B358" s="9">
        <v>315.77499399999999</v>
      </c>
      <c r="C358" s="39">
        <f t="shared" si="0"/>
        <v>2.3581828200972321E-2</v>
      </c>
      <c r="E358" s="121">
        <v>43175</v>
      </c>
      <c r="F358" s="9">
        <v>10195.150390999999</v>
      </c>
      <c r="G358" s="39">
        <f t="shared" si="1"/>
        <v>9.9958284171681733E-3</v>
      </c>
    </row>
    <row r="359" spans="1:7" ht="14.25" customHeight="1" x14ac:dyDescent="0.25">
      <c r="A359" s="121">
        <v>43178</v>
      </c>
      <c r="B359" s="9">
        <v>308.5</v>
      </c>
      <c r="C359" s="39">
        <f t="shared" si="0"/>
        <v>1.0398715713470619E-2</v>
      </c>
      <c r="E359" s="121">
        <v>43178</v>
      </c>
      <c r="F359" s="9">
        <v>10094.25</v>
      </c>
      <c r="G359" s="39">
        <f t="shared" si="1"/>
        <v>-2.9729918624347151E-3</v>
      </c>
    </row>
    <row r="360" spans="1:7" ht="14.25" customHeight="1" x14ac:dyDescent="0.25">
      <c r="A360" s="121">
        <v>43179</v>
      </c>
      <c r="B360" s="9">
        <v>305.32501200000002</v>
      </c>
      <c r="C360" s="39">
        <f t="shared" si="0"/>
        <v>9.0053071578590771E-3</v>
      </c>
      <c r="E360" s="121">
        <v>43179</v>
      </c>
      <c r="F360" s="9">
        <v>10124.349609000001</v>
      </c>
      <c r="G360" s="39">
        <f t="shared" si="1"/>
        <v>-3.0427996356563458E-3</v>
      </c>
    </row>
    <row r="361" spans="1:7" ht="14.25" customHeight="1" x14ac:dyDescent="0.25">
      <c r="A361" s="121">
        <v>43180</v>
      </c>
      <c r="B361" s="9">
        <v>302.60000600000001</v>
      </c>
      <c r="C361" s="39">
        <f t="shared" si="0"/>
        <v>-8.6002127885943525E-3</v>
      </c>
      <c r="E361" s="121">
        <v>43180</v>
      </c>
      <c r="F361" s="9">
        <v>10155.25</v>
      </c>
      <c r="G361" s="39">
        <f t="shared" si="1"/>
        <v>4.0040534862453292E-3</v>
      </c>
    </row>
    <row r="362" spans="1:7" ht="14.25" customHeight="1" x14ac:dyDescent="0.25">
      <c r="A362" s="121">
        <v>43181</v>
      </c>
      <c r="B362" s="9">
        <v>305.22500600000001</v>
      </c>
      <c r="C362" s="39">
        <f t="shared" si="0"/>
        <v>-4.5658181818181154E-3</v>
      </c>
      <c r="E362" s="121">
        <v>43181</v>
      </c>
      <c r="F362" s="9">
        <v>10114.75</v>
      </c>
      <c r="G362" s="39">
        <f t="shared" si="1"/>
        <v>1.167229582529572E-2</v>
      </c>
    </row>
    <row r="363" spans="1:7" ht="14.25" customHeight="1" x14ac:dyDescent="0.25">
      <c r="A363" s="121">
        <v>43182</v>
      </c>
      <c r="B363" s="9">
        <v>306.625</v>
      </c>
      <c r="C363" s="39">
        <f t="shared" si="0"/>
        <v>-1.2320862786760034E-2</v>
      </c>
      <c r="E363" s="121">
        <v>43182</v>
      </c>
      <c r="F363" s="9">
        <v>9998.0498050000006</v>
      </c>
      <c r="G363" s="39">
        <f t="shared" si="1"/>
        <v>-1.308904965448221E-2</v>
      </c>
    </row>
    <row r="364" spans="1:7" ht="14.25" customHeight="1" x14ac:dyDescent="0.25">
      <c r="A364" s="121">
        <v>43185</v>
      </c>
      <c r="B364" s="9">
        <v>310.45001200000002</v>
      </c>
      <c r="C364" s="39">
        <f t="shared" si="0"/>
        <v>-8.046346647710978E-4</v>
      </c>
      <c r="E364" s="121">
        <v>43185</v>
      </c>
      <c r="F364" s="9">
        <v>10130.650390999999</v>
      </c>
      <c r="G364" s="39">
        <f t="shared" si="1"/>
        <v>-5.253260993403952E-3</v>
      </c>
    </row>
    <row r="365" spans="1:7" ht="14.25" customHeight="1" x14ac:dyDescent="0.25">
      <c r="A365" s="121">
        <v>43186</v>
      </c>
      <c r="B365" s="9">
        <v>310.70001200000002</v>
      </c>
      <c r="C365" s="39">
        <f t="shared" si="0"/>
        <v>-3.223789561393775E-2</v>
      </c>
      <c r="E365" s="121">
        <v>43186</v>
      </c>
      <c r="F365" s="9">
        <v>10184.150390999999</v>
      </c>
      <c r="G365" s="39">
        <f t="shared" si="1"/>
        <v>6.9658181122305152E-3</v>
      </c>
    </row>
    <row r="366" spans="1:7" ht="14.25" customHeight="1" x14ac:dyDescent="0.25">
      <c r="A366" s="121">
        <v>43187</v>
      </c>
      <c r="B366" s="9">
        <v>321.04998799999998</v>
      </c>
      <c r="C366" s="39">
        <f t="shared" si="0"/>
        <v>-1.7820304397705544E-2</v>
      </c>
      <c r="E366" s="121">
        <v>43187</v>
      </c>
      <c r="F366" s="9">
        <v>10113.700194999999</v>
      </c>
      <c r="G366" s="39">
        <f t="shared" si="1"/>
        <v>-9.6064956103005805E-3</v>
      </c>
    </row>
    <row r="367" spans="1:7" ht="14.25" customHeight="1" x14ac:dyDescent="0.25">
      <c r="A367" s="121">
        <v>43192</v>
      </c>
      <c r="B367" s="9">
        <v>326.875</v>
      </c>
      <c r="C367" s="39">
        <f t="shared" si="0"/>
        <v>-1.6103562053965348E-2</v>
      </c>
      <c r="E367" s="121">
        <v>43192</v>
      </c>
      <c r="F367" s="9">
        <v>10211.799805000001</v>
      </c>
      <c r="G367" s="39">
        <f t="shared" si="1"/>
        <v>-3.240624206930165E-3</v>
      </c>
    </row>
    <row r="368" spans="1:7" ht="14.25" customHeight="1" x14ac:dyDescent="0.25">
      <c r="A368" s="121">
        <v>43193</v>
      </c>
      <c r="B368" s="9">
        <v>332.22500600000001</v>
      </c>
      <c r="C368" s="39">
        <f t="shared" si="0"/>
        <v>-2.7301953821178282E-2</v>
      </c>
      <c r="E368" s="121">
        <v>43193</v>
      </c>
      <c r="F368" s="9">
        <v>10245</v>
      </c>
      <c r="G368" s="39">
        <f t="shared" si="1"/>
        <v>1.1512144514311373E-2</v>
      </c>
    </row>
    <row r="369" spans="1:7" ht="14.25" customHeight="1" x14ac:dyDescent="0.25">
      <c r="A369" s="121">
        <v>43194</v>
      </c>
      <c r="B369" s="9">
        <v>341.54998799999998</v>
      </c>
      <c r="C369" s="39">
        <f t="shared" si="0"/>
        <v>6.4829290145937968E-3</v>
      </c>
      <c r="E369" s="121">
        <v>43194</v>
      </c>
      <c r="F369" s="9">
        <v>10128.400390999999</v>
      </c>
      <c r="G369" s="39">
        <f t="shared" si="1"/>
        <v>-1.905541251694487E-2</v>
      </c>
    </row>
    <row r="370" spans="1:7" ht="14.25" customHeight="1" x14ac:dyDescent="0.25">
      <c r="A370" s="121">
        <v>43195</v>
      </c>
      <c r="B370" s="9">
        <v>339.35000600000001</v>
      </c>
      <c r="C370" s="39">
        <f t="shared" si="0"/>
        <v>-3.1051466382157722E-2</v>
      </c>
      <c r="E370" s="121">
        <v>43195</v>
      </c>
      <c r="F370" s="9">
        <v>10325.150390999999</v>
      </c>
      <c r="G370" s="39">
        <f t="shared" si="1"/>
        <v>-6.2422260289529685E-4</v>
      </c>
    </row>
    <row r="371" spans="1:7" ht="14.25" customHeight="1" x14ac:dyDescent="0.25">
      <c r="A371" s="121">
        <v>43196</v>
      </c>
      <c r="B371" s="9">
        <v>350.22500600000001</v>
      </c>
      <c r="C371" s="39">
        <f t="shared" si="0"/>
        <v>7.5517835290255242E-3</v>
      </c>
      <c r="E371" s="121">
        <v>43196</v>
      </c>
      <c r="F371" s="9">
        <v>10331.599609000001</v>
      </c>
      <c r="G371" s="39">
        <f t="shared" si="1"/>
        <v>-4.6004809355872922E-3</v>
      </c>
    </row>
    <row r="372" spans="1:7" ht="14.25" customHeight="1" x14ac:dyDescent="0.25">
      <c r="A372" s="121">
        <v>43199</v>
      </c>
      <c r="B372" s="9">
        <v>347.60000600000001</v>
      </c>
      <c r="C372" s="39">
        <f t="shared" si="0"/>
        <v>-6.5023051089674322E-3</v>
      </c>
      <c r="E372" s="121">
        <v>43199</v>
      </c>
      <c r="F372" s="9">
        <v>10379.349609000001</v>
      </c>
      <c r="G372" s="39">
        <f t="shared" si="1"/>
        <v>-2.2014843903962467E-3</v>
      </c>
    </row>
    <row r="373" spans="1:7" ht="14.25" customHeight="1" x14ac:dyDescent="0.25">
      <c r="A373" s="121">
        <v>43200</v>
      </c>
      <c r="B373" s="9">
        <v>349.875</v>
      </c>
      <c r="C373" s="39">
        <f t="shared" si="0"/>
        <v>-1.783166904422262E-3</v>
      </c>
      <c r="E373" s="121">
        <v>43200</v>
      </c>
      <c r="F373" s="9">
        <v>10402.25</v>
      </c>
      <c r="G373" s="39">
        <f t="shared" si="1"/>
        <v>-1.4303711130898566E-3</v>
      </c>
    </row>
    <row r="374" spans="1:7" ht="14.25" customHeight="1" x14ac:dyDescent="0.25">
      <c r="A374" s="121">
        <v>43201</v>
      </c>
      <c r="B374" s="9">
        <v>350.5</v>
      </c>
      <c r="C374" s="39">
        <f t="shared" si="0"/>
        <v>-2.5611668052560876E-3</v>
      </c>
      <c r="E374" s="121">
        <v>43201</v>
      </c>
      <c r="F374" s="9">
        <v>10417.150390999999</v>
      </c>
      <c r="G374" s="39">
        <f t="shared" si="1"/>
        <v>-3.9680071948586804E-3</v>
      </c>
    </row>
    <row r="375" spans="1:7" ht="14.25" customHeight="1" x14ac:dyDescent="0.25">
      <c r="A375" s="121">
        <v>43202</v>
      </c>
      <c r="B375" s="9">
        <v>351.39999399999999</v>
      </c>
      <c r="C375" s="39">
        <f t="shared" si="0"/>
        <v>5.220573374391968E-3</v>
      </c>
      <c r="E375" s="121">
        <v>43202</v>
      </c>
      <c r="F375" s="9">
        <v>10458.650390999999</v>
      </c>
      <c r="G375" s="39">
        <f t="shared" si="1"/>
        <v>-2.094271207646714E-3</v>
      </c>
    </row>
    <row r="376" spans="1:7" ht="14.25" customHeight="1" x14ac:dyDescent="0.25">
      <c r="A376" s="121">
        <v>43203</v>
      </c>
      <c r="B376" s="9">
        <v>349.57501200000002</v>
      </c>
      <c r="C376" s="39">
        <f t="shared" si="0"/>
        <v>-2.2832336782019347E-3</v>
      </c>
      <c r="E376" s="121">
        <v>43203</v>
      </c>
      <c r="F376" s="9">
        <v>10480.599609000001</v>
      </c>
      <c r="G376" s="39">
        <f t="shared" si="1"/>
        <v>-4.5353737074974587E-3</v>
      </c>
    </row>
    <row r="377" spans="1:7" ht="14.25" customHeight="1" x14ac:dyDescent="0.25">
      <c r="A377" s="121">
        <v>43206</v>
      </c>
      <c r="B377" s="9">
        <v>350.375</v>
      </c>
      <c r="C377" s="39">
        <f t="shared" si="0"/>
        <v>3.7917462919322853E-2</v>
      </c>
      <c r="E377" s="121">
        <v>43206</v>
      </c>
      <c r="F377" s="9">
        <v>10528.349609000001</v>
      </c>
      <c r="G377" s="39">
        <f t="shared" si="1"/>
        <v>-1.9292031836912749E-3</v>
      </c>
    </row>
    <row r="378" spans="1:7" ht="14.25" customHeight="1" x14ac:dyDescent="0.25">
      <c r="A378" s="121">
        <v>43207</v>
      </c>
      <c r="B378" s="9">
        <v>337.57501200000002</v>
      </c>
      <c r="C378" s="39">
        <f t="shared" si="0"/>
        <v>2.8966309644093968E-3</v>
      </c>
      <c r="E378" s="121">
        <v>43207</v>
      </c>
      <c r="F378" s="9">
        <v>10548.700194999999</v>
      </c>
      <c r="G378" s="39">
        <f t="shared" si="1"/>
        <v>2.1375234731606518E-3</v>
      </c>
    </row>
    <row r="379" spans="1:7" ht="14.25" customHeight="1" x14ac:dyDescent="0.25">
      <c r="A379" s="121">
        <v>43208</v>
      </c>
      <c r="B379" s="9">
        <v>336.60000600000001</v>
      </c>
      <c r="C379" s="39">
        <f t="shared" si="0"/>
        <v>-5.0250725991748402E-3</v>
      </c>
      <c r="E379" s="121">
        <v>43208</v>
      </c>
      <c r="F379" s="9">
        <v>10526.200194999999</v>
      </c>
      <c r="G379" s="39">
        <f t="shared" si="1"/>
        <v>-3.7007572640292974E-3</v>
      </c>
    </row>
    <row r="380" spans="1:7" ht="14.25" customHeight="1" x14ac:dyDescent="0.25">
      <c r="A380" s="121">
        <v>43209</v>
      </c>
      <c r="B380" s="9">
        <v>338.29998799999998</v>
      </c>
      <c r="C380" s="39">
        <f t="shared" si="0"/>
        <v>1.7025153298835249E-3</v>
      </c>
      <c r="E380" s="121">
        <v>43209</v>
      </c>
      <c r="F380" s="9">
        <v>10565.299805000001</v>
      </c>
      <c r="G380" s="39">
        <f t="shared" si="1"/>
        <v>1.1832583365967153E-4</v>
      </c>
    </row>
    <row r="381" spans="1:7" ht="14.25" customHeight="1" x14ac:dyDescent="0.25">
      <c r="A381" s="121">
        <v>43210</v>
      </c>
      <c r="B381" s="9">
        <v>337.72500600000001</v>
      </c>
      <c r="C381" s="39">
        <f t="shared" si="0"/>
        <v>-1.6024473461586863E-2</v>
      </c>
      <c r="E381" s="121">
        <v>43210</v>
      </c>
      <c r="F381" s="9">
        <v>10564.049805000001</v>
      </c>
      <c r="G381" s="39">
        <f t="shared" si="1"/>
        <v>-1.9509659810443836E-3</v>
      </c>
    </row>
    <row r="382" spans="1:7" ht="14.25" customHeight="1" x14ac:dyDescent="0.25">
      <c r="A382" s="121">
        <v>43213</v>
      </c>
      <c r="B382" s="9">
        <v>343.22500600000001</v>
      </c>
      <c r="C382" s="39">
        <f t="shared" si="0"/>
        <v>-1.8515887268542586E-2</v>
      </c>
      <c r="E382" s="121">
        <v>43213</v>
      </c>
      <c r="F382" s="9">
        <v>10584.700194999999</v>
      </c>
      <c r="G382" s="39">
        <f t="shared" si="1"/>
        <v>-2.793333090786998E-3</v>
      </c>
    </row>
    <row r="383" spans="1:7" ht="14.25" customHeight="1" x14ac:dyDescent="0.25">
      <c r="A383" s="121">
        <v>43214</v>
      </c>
      <c r="B383" s="9">
        <v>349.70001200000002</v>
      </c>
      <c r="C383" s="39">
        <f t="shared" si="0"/>
        <v>-2.140105505261003E-3</v>
      </c>
      <c r="E383" s="121">
        <v>43214</v>
      </c>
      <c r="F383" s="9">
        <v>10614.349609000001</v>
      </c>
      <c r="G383" s="39">
        <f t="shared" si="1"/>
        <v>4.1435691433271415E-3</v>
      </c>
    </row>
    <row r="384" spans="1:7" ht="14.25" customHeight="1" x14ac:dyDescent="0.25">
      <c r="A384" s="121">
        <v>43215</v>
      </c>
      <c r="B384" s="9">
        <v>350.45001200000002</v>
      </c>
      <c r="C384" s="39">
        <f t="shared" si="0"/>
        <v>1.7788426011875025E-2</v>
      </c>
      <c r="E384" s="121">
        <v>43215</v>
      </c>
      <c r="F384" s="9">
        <v>10570.549805000001</v>
      </c>
      <c r="G384" s="39">
        <f t="shared" si="1"/>
        <v>-4.4500744850877183E-3</v>
      </c>
    </row>
    <row r="385" spans="1:7" ht="14.25" customHeight="1" x14ac:dyDescent="0.25">
      <c r="A385" s="121">
        <v>43216</v>
      </c>
      <c r="B385" s="9">
        <v>344.32501200000002</v>
      </c>
      <c r="C385" s="39">
        <f t="shared" si="0"/>
        <v>-1.5792465071445494E-2</v>
      </c>
      <c r="E385" s="121">
        <v>43216</v>
      </c>
      <c r="F385" s="9">
        <v>10617.799805000001</v>
      </c>
      <c r="G385" s="39">
        <f t="shared" si="1"/>
        <v>-6.9676310390363039E-3</v>
      </c>
    </row>
    <row r="386" spans="1:7" ht="14.25" customHeight="1" x14ac:dyDescent="0.25">
      <c r="A386" s="121">
        <v>43217</v>
      </c>
      <c r="B386" s="9">
        <v>349.85000600000001</v>
      </c>
      <c r="C386" s="39">
        <f t="shared" si="0"/>
        <v>1.789677111495358E-3</v>
      </c>
      <c r="E386" s="121">
        <v>43217</v>
      </c>
      <c r="F386" s="9">
        <v>10692.299805000001</v>
      </c>
      <c r="G386" s="39">
        <f t="shared" si="1"/>
        <v>-4.3810664251557885E-3</v>
      </c>
    </row>
    <row r="387" spans="1:7" ht="14.25" customHeight="1" x14ac:dyDescent="0.25">
      <c r="A387" s="121">
        <v>43220</v>
      </c>
      <c r="B387" s="9">
        <v>349.22500600000001</v>
      </c>
      <c r="C387" s="39">
        <f t="shared" si="0"/>
        <v>8.5920750902528376E-3</v>
      </c>
      <c r="E387" s="121">
        <v>43220</v>
      </c>
      <c r="F387" s="9">
        <v>10739.349609000001</v>
      </c>
      <c r="G387" s="39">
        <f t="shared" si="1"/>
        <v>1.9872835438834446E-3</v>
      </c>
    </row>
    <row r="388" spans="1:7" ht="14.25" customHeight="1" x14ac:dyDescent="0.25">
      <c r="A388" s="121">
        <v>43222</v>
      </c>
      <c r="B388" s="9">
        <v>346.25</v>
      </c>
      <c r="C388" s="39">
        <f t="shared" si="0"/>
        <v>-1.0360843158270794E-2</v>
      </c>
      <c r="E388" s="121">
        <v>43222</v>
      </c>
      <c r="F388" s="9">
        <v>10718.049805000001</v>
      </c>
      <c r="G388" s="39">
        <f t="shared" si="1"/>
        <v>3.5955684497277485E-3</v>
      </c>
    </row>
    <row r="389" spans="1:7" ht="14.25" customHeight="1" x14ac:dyDescent="0.25">
      <c r="A389" s="121">
        <v>43223</v>
      </c>
      <c r="B389" s="9">
        <v>349.875</v>
      </c>
      <c r="C389" s="39">
        <f t="shared" si="0"/>
        <v>2.6929814138075159E-2</v>
      </c>
      <c r="E389" s="121">
        <v>43223</v>
      </c>
      <c r="F389" s="9">
        <v>10679.650390999999</v>
      </c>
      <c r="G389" s="39">
        <f t="shared" si="1"/>
        <v>5.7825339392083563E-3</v>
      </c>
    </row>
    <row r="390" spans="1:7" ht="14.25" customHeight="1" x14ac:dyDescent="0.25">
      <c r="A390" s="121">
        <v>43224</v>
      </c>
      <c r="B390" s="9">
        <v>340.70001200000002</v>
      </c>
      <c r="C390" s="39">
        <f t="shared" si="0"/>
        <v>-3.218186186712102E-3</v>
      </c>
      <c r="E390" s="121">
        <v>43224</v>
      </c>
      <c r="F390" s="9">
        <v>10618.25</v>
      </c>
      <c r="G390" s="39">
        <f t="shared" si="1"/>
        <v>-9.0756380943493031E-3</v>
      </c>
    </row>
    <row r="391" spans="1:7" ht="14.25" customHeight="1" x14ac:dyDescent="0.25">
      <c r="A391" s="121">
        <v>43227</v>
      </c>
      <c r="B391" s="9">
        <v>341.79998799999998</v>
      </c>
      <c r="C391" s="39">
        <f t="shared" si="0"/>
        <v>-1.6794801022271821E-3</v>
      </c>
      <c r="E391" s="121">
        <v>43227</v>
      </c>
      <c r="F391" s="9">
        <v>10715.5</v>
      </c>
      <c r="G391" s="39">
        <f t="shared" si="1"/>
        <v>-2.145780889588611E-4</v>
      </c>
    </row>
    <row r="392" spans="1:7" ht="14.25" customHeight="1" x14ac:dyDescent="0.25">
      <c r="A392" s="121">
        <v>43228</v>
      </c>
      <c r="B392" s="9">
        <v>342.375</v>
      </c>
      <c r="C392" s="39">
        <f t="shared" si="0"/>
        <v>-1.3186372220099551E-2</v>
      </c>
      <c r="E392" s="121">
        <v>43228</v>
      </c>
      <c r="F392" s="9">
        <v>10717.799805000001</v>
      </c>
      <c r="G392" s="39">
        <f t="shared" si="1"/>
        <v>-2.2250099673349899E-3</v>
      </c>
    </row>
    <row r="393" spans="1:7" ht="14.25" customHeight="1" x14ac:dyDescent="0.25">
      <c r="A393" s="121">
        <v>43229</v>
      </c>
      <c r="B393" s="9">
        <v>346.95001200000002</v>
      </c>
      <c r="C393" s="39">
        <f t="shared" si="0"/>
        <v>1.7374145896180249E-2</v>
      </c>
      <c r="E393" s="121">
        <v>43229</v>
      </c>
      <c r="F393" s="9">
        <v>10741.700194999999</v>
      </c>
      <c r="G393" s="39">
        <f t="shared" si="1"/>
        <v>2.3468738033824987E-3</v>
      </c>
    </row>
    <row r="394" spans="1:7" ht="14.25" customHeight="1" x14ac:dyDescent="0.25">
      <c r="A394" s="121">
        <v>43230</v>
      </c>
      <c r="B394" s="9">
        <v>341.02499399999999</v>
      </c>
      <c r="C394" s="39">
        <f t="shared" si="0"/>
        <v>-4.0157710984072281E-3</v>
      </c>
      <c r="E394" s="121">
        <v>43230</v>
      </c>
      <c r="F394" s="9">
        <v>10716.549805000001</v>
      </c>
      <c r="G394" s="39">
        <f t="shared" si="1"/>
        <v>-8.3237121177068829E-3</v>
      </c>
    </row>
    <row r="395" spans="1:7" ht="14.25" customHeight="1" x14ac:dyDescent="0.25">
      <c r="A395" s="121">
        <v>43231</v>
      </c>
      <c r="B395" s="9">
        <v>342.39999399999999</v>
      </c>
      <c r="C395" s="39">
        <f t="shared" si="0"/>
        <v>-1.6304008631334965E-2</v>
      </c>
      <c r="E395" s="121">
        <v>43231</v>
      </c>
      <c r="F395" s="9">
        <v>10806.5</v>
      </c>
      <c r="G395" s="39">
        <f t="shared" si="1"/>
        <v>-9.2174230197361595E-6</v>
      </c>
    </row>
    <row r="396" spans="1:7" ht="14.25" customHeight="1" x14ac:dyDescent="0.25">
      <c r="A396" s="121">
        <v>43234</v>
      </c>
      <c r="B396" s="9">
        <v>348.07501200000002</v>
      </c>
      <c r="C396" s="39">
        <f t="shared" si="0"/>
        <v>-2.8647137882215068E-3</v>
      </c>
      <c r="E396" s="121">
        <v>43234</v>
      </c>
      <c r="F396" s="9">
        <v>10806.599609000001</v>
      </c>
      <c r="G396" s="39">
        <f t="shared" si="1"/>
        <v>4.397395049864361E-4</v>
      </c>
    </row>
    <row r="397" spans="1:7" ht="14.25" customHeight="1" x14ac:dyDescent="0.25">
      <c r="A397" s="121">
        <v>43235</v>
      </c>
      <c r="B397" s="9">
        <v>349.07501200000002</v>
      </c>
      <c r="C397" s="39">
        <f t="shared" si="0"/>
        <v>-1.1188958479240063E-2</v>
      </c>
      <c r="E397" s="121">
        <v>43235</v>
      </c>
      <c r="F397" s="9">
        <v>10801.849609000001</v>
      </c>
      <c r="G397" s="39">
        <f t="shared" si="1"/>
        <v>5.6558455103701277E-3</v>
      </c>
    </row>
    <row r="398" spans="1:7" ht="14.25" customHeight="1" x14ac:dyDescent="0.25">
      <c r="A398" s="121">
        <v>43236</v>
      </c>
      <c r="B398" s="9">
        <v>353.02499399999999</v>
      </c>
      <c r="C398" s="39">
        <f t="shared" si="0"/>
        <v>-2.1199915559888538E-3</v>
      </c>
      <c r="E398" s="121">
        <v>43236</v>
      </c>
      <c r="F398" s="9">
        <v>10741.099609000001</v>
      </c>
      <c r="G398" s="39">
        <f t="shared" si="1"/>
        <v>5.4667277873561293E-3</v>
      </c>
    </row>
    <row r="399" spans="1:7" ht="14.25" customHeight="1" x14ac:dyDescent="0.25">
      <c r="A399" s="121">
        <v>43237</v>
      </c>
      <c r="B399" s="9">
        <v>353.77499399999999</v>
      </c>
      <c r="C399" s="39">
        <f t="shared" si="0"/>
        <v>1.3444834875002698E-3</v>
      </c>
      <c r="E399" s="121">
        <v>43237</v>
      </c>
      <c r="F399" s="9">
        <v>10682.700194999999</v>
      </c>
      <c r="G399" s="39">
        <f t="shared" si="1"/>
        <v>8.1442566169260822E-3</v>
      </c>
    </row>
    <row r="400" spans="1:7" ht="14.25" customHeight="1" x14ac:dyDescent="0.25">
      <c r="A400" s="121">
        <v>43238</v>
      </c>
      <c r="B400" s="9">
        <v>353.29998799999998</v>
      </c>
      <c r="C400" s="39">
        <f t="shared" si="0"/>
        <v>2.2206113562386998E-2</v>
      </c>
      <c r="E400" s="121">
        <v>43238</v>
      </c>
      <c r="F400" s="9">
        <v>10596.400390999999</v>
      </c>
      <c r="G400" s="39">
        <f t="shared" si="1"/>
        <v>7.5784413858153155E-3</v>
      </c>
    </row>
    <row r="401" spans="1:7" ht="14.25" customHeight="1" x14ac:dyDescent="0.25">
      <c r="A401" s="121">
        <v>43241</v>
      </c>
      <c r="B401" s="9">
        <v>345.625</v>
      </c>
      <c r="C401" s="39">
        <f t="shared" si="0"/>
        <v>-1.3697619075041523E-2</v>
      </c>
      <c r="E401" s="121">
        <v>43241</v>
      </c>
      <c r="F401" s="9">
        <v>10516.700194999999</v>
      </c>
      <c r="G401" s="39">
        <f t="shared" si="1"/>
        <v>-1.8981274620958333E-3</v>
      </c>
    </row>
    <row r="402" spans="1:7" ht="14.25" customHeight="1" x14ac:dyDescent="0.25">
      <c r="A402" s="121">
        <v>43242</v>
      </c>
      <c r="B402" s="9">
        <v>350.42498799999998</v>
      </c>
      <c r="C402" s="39">
        <f t="shared" si="0"/>
        <v>1.6608574994769532E-2</v>
      </c>
      <c r="E402" s="121">
        <v>43242</v>
      </c>
      <c r="F402" s="9">
        <v>10536.700194999999</v>
      </c>
      <c r="G402" s="39">
        <f t="shared" si="1"/>
        <v>1.0196262827876001E-2</v>
      </c>
    </row>
    <row r="403" spans="1:7" ht="14.25" customHeight="1" x14ac:dyDescent="0.25">
      <c r="A403" s="121">
        <v>43243</v>
      </c>
      <c r="B403" s="9">
        <v>344.70001200000002</v>
      </c>
      <c r="C403" s="39">
        <f t="shared" si="0"/>
        <v>6.5703020036687043E-3</v>
      </c>
      <c r="E403" s="121">
        <v>43243</v>
      </c>
      <c r="F403" s="9">
        <v>10430.349609000001</v>
      </c>
      <c r="G403" s="39">
        <f t="shared" si="1"/>
        <v>-7.9419054965864655E-3</v>
      </c>
    </row>
    <row r="404" spans="1:7" ht="14.25" customHeight="1" x14ac:dyDescent="0.25">
      <c r="A404" s="121">
        <v>43244</v>
      </c>
      <c r="B404" s="9">
        <v>342.45001200000002</v>
      </c>
      <c r="C404" s="39">
        <f t="shared" si="0"/>
        <v>1.6624627876657971E-2</v>
      </c>
      <c r="E404" s="121">
        <v>43244</v>
      </c>
      <c r="F404" s="9">
        <v>10513.849609000001</v>
      </c>
      <c r="G404" s="39">
        <f t="shared" si="1"/>
        <v>-8.6090982809146066E-3</v>
      </c>
    </row>
    <row r="405" spans="1:7" ht="14.25" customHeight="1" x14ac:dyDescent="0.25">
      <c r="A405" s="121">
        <v>43245</v>
      </c>
      <c r="B405" s="9">
        <v>336.85000600000001</v>
      </c>
      <c r="C405" s="39">
        <f t="shared" si="0"/>
        <v>1.0651119495389993E-2</v>
      </c>
      <c r="E405" s="121">
        <v>43245</v>
      </c>
      <c r="F405" s="9">
        <v>10605.150390999999</v>
      </c>
      <c r="G405" s="39">
        <f t="shared" si="1"/>
        <v>-7.8120246191519804E-3</v>
      </c>
    </row>
    <row r="406" spans="1:7" ht="14.25" customHeight="1" x14ac:dyDescent="0.25">
      <c r="A406" s="121">
        <v>43248</v>
      </c>
      <c r="B406" s="9">
        <v>333.29998799999998</v>
      </c>
      <c r="C406" s="39">
        <f t="shared" si="0"/>
        <v>-1.8623517114464527E-2</v>
      </c>
      <c r="E406" s="121">
        <v>43248</v>
      </c>
      <c r="F406" s="9">
        <v>10688.650390999999</v>
      </c>
      <c r="G406" s="39">
        <f t="shared" si="1"/>
        <v>5.2054006766526495E-3</v>
      </c>
    </row>
    <row r="407" spans="1:7" ht="14.25" customHeight="1" x14ac:dyDescent="0.25">
      <c r="A407" s="121">
        <v>43249</v>
      </c>
      <c r="B407" s="9">
        <v>339.625</v>
      </c>
      <c r="C407" s="39">
        <f t="shared" si="0"/>
        <v>-2.6374289926205274E-2</v>
      </c>
      <c r="E407" s="121">
        <v>43249</v>
      </c>
      <c r="F407" s="9">
        <v>10633.299805000001</v>
      </c>
      <c r="G407" s="39">
        <f t="shared" si="1"/>
        <v>1.7853374627807561E-3</v>
      </c>
    </row>
    <row r="408" spans="1:7" ht="14.25" customHeight="1" x14ac:dyDescent="0.25">
      <c r="A408" s="121">
        <v>43250</v>
      </c>
      <c r="B408" s="9">
        <v>348.82501200000002</v>
      </c>
      <c r="C408" s="39">
        <f t="shared" si="0"/>
        <v>-1.8154900032170462E-2</v>
      </c>
      <c r="E408" s="121">
        <v>43250</v>
      </c>
      <c r="F408" s="9">
        <v>10614.349609000001</v>
      </c>
      <c r="G408" s="39">
        <f t="shared" si="1"/>
        <v>-1.1344921369777272E-2</v>
      </c>
    </row>
    <row r="409" spans="1:7" ht="14.25" customHeight="1" x14ac:dyDescent="0.25">
      <c r="A409" s="121">
        <v>43251</v>
      </c>
      <c r="B409" s="9">
        <v>355.27499399999999</v>
      </c>
      <c r="C409" s="39">
        <f t="shared" si="0"/>
        <v>-7.6117486033520088E-3</v>
      </c>
      <c r="E409" s="121">
        <v>43251</v>
      </c>
      <c r="F409" s="9">
        <v>10736.150390999999</v>
      </c>
      <c r="G409" s="39">
        <f t="shared" si="1"/>
        <v>3.7349895543909994E-3</v>
      </c>
    </row>
    <row r="410" spans="1:7" ht="14.25" customHeight="1" x14ac:dyDescent="0.25">
      <c r="A410" s="121">
        <v>43252</v>
      </c>
      <c r="B410" s="9">
        <v>358</v>
      </c>
      <c r="C410" s="39">
        <f t="shared" si="0"/>
        <v>2.5787965616045794E-2</v>
      </c>
      <c r="E410" s="121">
        <v>43252</v>
      </c>
      <c r="F410" s="9">
        <v>10696.200194999999</v>
      </c>
      <c r="G410" s="39">
        <f t="shared" si="1"/>
        <v>6.3696848097096748E-3</v>
      </c>
    </row>
    <row r="411" spans="1:7" ht="14.25" customHeight="1" x14ac:dyDescent="0.25">
      <c r="A411" s="121">
        <v>43255</v>
      </c>
      <c r="B411" s="9">
        <v>349</v>
      </c>
      <c r="C411" s="39">
        <f t="shared" si="0"/>
        <v>2.6621525755380793E-2</v>
      </c>
      <c r="E411" s="121">
        <v>43255</v>
      </c>
      <c r="F411" s="9">
        <v>10628.5</v>
      </c>
      <c r="G411" s="39">
        <f t="shared" si="1"/>
        <v>3.3370251242759164E-3</v>
      </c>
    </row>
    <row r="412" spans="1:7" ht="14.25" customHeight="1" x14ac:dyDescent="0.25">
      <c r="A412" s="121">
        <v>43256</v>
      </c>
      <c r="B412" s="9">
        <v>339.95001200000002</v>
      </c>
      <c r="C412" s="39">
        <f t="shared" si="0"/>
        <v>-1.241918490953553E-2</v>
      </c>
      <c r="E412" s="121">
        <v>43256</v>
      </c>
      <c r="F412" s="9">
        <v>10593.150390999999</v>
      </c>
      <c r="G412" s="39">
        <f t="shared" si="1"/>
        <v>-8.5636868452966253E-3</v>
      </c>
    </row>
    <row r="413" spans="1:7" ht="14.25" customHeight="1" x14ac:dyDescent="0.25">
      <c r="A413" s="121">
        <v>43257</v>
      </c>
      <c r="B413" s="9">
        <v>344.22500600000001</v>
      </c>
      <c r="C413" s="39">
        <f t="shared" si="0"/>
        <v>-2.2088051136363585E-2</v>
      </c>
      <c r="E413" s="121">
        <v>43257</v>
      </c>
      <c r="F413" s="9">
        <v>10684.650390999999</v>
      </c>
      <c r="G413" s="39">
        <f t="shared" si="1"/>
        <v>-7.772706221392256E-3</v>
      </c>
    </row>
    <row r="414" spans="1:7" ht="14.25" customHeight="1" x14ac:dyDescent="0.25">
      <c r="A414" s="121">
        <v>43258</v>
      </c>
      <c r="B414" s="9">
        <v>352</v>
      </c>
      <c r="C414" s="39">
        <f t="shared" si="0"/>
        <v>1.2731030273257948E-2</v>
      </c>
      <c r="E414" s="121">
        <v>43258</v>
      </c>
      <c r="F414" s="9">
        <v>10768.349609000001</v>
      </c>
      <c r="G414" s="39">
        <f t="shared" si="1"/>
        <v>6.4936915168178899E-5</v>
      </c>
    </row>
    <row r="415" spans="1:7" ht="14.25" customHeight="1" x14ac:dyDescent="0.25">
      <c r="A415" s="121">
        <v>43259</v>
      </c>
      <c r="B415" s="9">
        <v>347.57501200000002</v>
      </c>
      <c r="C415" s="39">
        <f t="shared" si="0"/>
        <v>1.0980291250039409E-2</v>
      </c>
      <c r="E415" s="121">
        <v>43259</v>
      </c>
      <c r="F415" s="9">
        <v>10767.650390999999</v>
      </c>
      <c r="G415" s="39">
        <f t="shared" si="1"/>
        <v>-1.7891807833642082E-3</v>
      </c>
    </row>
    <row r="416" spans="1:7" ht="14.25" customHeight="1" x14ac:dyDescent="0.25">
      <c r="A416" s="121">
        <v>43262</v>
      </c>
      <c r="B416" s="9">
        <v>343.79998799999998</v>
      </c>
      <c r="C416" s="39">
        <f t="shared" si="0"/>
        <v>-8.078528423337672E-3</v>
      </c>
      <c r="E416" s="121">
        <v>43262</v>
      </c>
      <c r="F416" s="9">
        <v>10786.950194999999</v>
      </c>
      <c r="G416" s="39">
        <f t="shared" si="1"/>
        <v>-5.1554172579875157E-3</v>
      </c>
    </row>
    <row r="417" spans="1:7" ht="14.25" customHeight="1" x14ac:dyDescent="0.25">
      <c r="A417" s="121">
        <v>43263</v>
      </c>
      <c r="B417" s="9">
        <v>346.60000600000001</v>
      </c>
      <c r="C417" s="39">
        <f t="shared" si="0"/>
        <v>1.4340046321098754E-2</v>
      </c>
      <c r="E417" s="121">
        <v>43263</v>
      </c>
      <c r="F417" s="9">
        <v>10842.849609000001</v>
      </c>
      <c r="G417" s="39">
        <f t="shared" si="1"/>
        <v>-1.275763883244907E-3</v>
      </c>
    </row>
    <row r="418" spans="1:7" ht="14.25" customHeight="1" x14ac:dyDescent="0.25">
      <c r="A418" s="121">
        <v>43264</v>
      </c>
      <c r="B418" s="9">
        <v>341.70001200000002</v>
      </c>
      <c r="C418" s="39">
        <f t="shared" si="0"/>
        <v>-1.8315017683602108E-2</v>
      </c>
      <c r="E418" s="121">
        <v>43264</v>
      </c>
      <c r="F418" s="9">
        <v>10856.700194999999</v>
      </c>
      <c r="G418" s="39">
        <f t="shared" si="1"/>
        <v>4.5013106784068668E-3</v>
      </c>
    </row>
    <row r="419" spans="1:7" ht="14.25" customHeight="1" x14ac:dyDescent="0.25">
      <c r="A419" s="121">
        <v>43265</v>
      </c>
      <c r="B419" s="9">
        <v>348.07501200000002</v>
      </c>
      <c r="C419" s="39">
        <f t="shared" si="0"/>
        <v>1.5980752784925611E-2</v>
      </c>
      <c r="E419" s="121">
        <v>43265</v>
      </c>
      <c r="F419" s="9">
        <v>10808.049805000001</v>
      </c>
      <c r="G419" s="39">
        <f t="shared" si="1"/>
        <v>-8.9209257291666955E-4</v>
      </c>
    </row>
    <row r="420" spans="1:7" ht="14.25" customHeight="1" x14ac:dyDescent="0.25">
      <c r="A420" s="121">
        <v>43266</v>
      </c>
      <c r="B420" s="9">
        <v>342.60000600000001</v>
      </c>
      <c r="C420" s="39">
        <f t="shared" si="0"/>
        <v>-3.8113237754920593E-2</v>
      </c>
      <c r="E420" s="121">
        <v>43266</v>
      </c>
      <c r="F420" s="9">
        <v>10817.700194999999</v>
      </c>
      <c r="G420" s="39">
        <f t="shared" si="1"/>
        <v>1.6528550531966779E-3</v>
      </c>
    </row>
    <row r="421" spans="1:7" ht="14.25" customHeight="1" x14ac:dyDescent="0.25">
      <c r="A421" s="121">
        <v>43269</v>
      </c>
      <c r="B421" s="9">
        <v>356.17498799999998</v>
      </c>
      <c r="C421" s="39">
        <f t="shared" si="0"/>
        <v>-1.7787003102378574E-2</v>
      </c>
      <c r="E421" s="121">
        <v>43269</v>
      </c>
      <c r="F421" s="9">
        <v>10799.849609000001</v>
      </c>
      <c r="G421" s="39">
        <f t="shared" si="1"/>
        <v>8.3469333568944037E-3</v>
      </c>
    </row>
    <row r="422" spans="1:7" ht="14.25" customHeight="1" x14ac:dyDescent="0.25">
      <c r="A422" s="121">
        <v>43270</v>
      </c>
      <c r="B422" s="9">
        <v>362.625</v>
      </c>
      <c r="C422" s="39">
        <f t="shared" si="0"/>
        <v>6.5228118496616361E-3</v>
      </c>
      <c r="E422" s="121">
        <v>43270</v>
      </c>
      <c r="F422" s="9">
        <v>10710.450194999999</v>
      </c>
      <c r="G422" s="39">
        <f t="shared" si="1"/>
        <v>-5.7184668763236024E-3</v>
      </c>
    </row>
    <row r="423" spans="1:7" ht="14.25" customHeight="1" x14ac:dyDescent="0.25">
      <c r="A423" s="121">
        <v>43271</v>
      </c>
      <c r="B423" s="9">
        <v>360.27499399999999</v>
      </c>
      <c r="C423" s="39">
        <f t="shared" si="0"/>
        <v>2.0860858424769368E-3</v>
      </c>
      <c r="E423" s="121">
        <v>43271</v>
      </c>
      <c r="F423" s="9">
        <v>10772.049805000001</v>
      </c>
      <c r="G423" s="39">
        <f t="shared" si="1"/>
        <v>2.8814736969822174E-3</v>
      </c>
    </row>
    <row r="424" spans="1:7" ht="14.25" customHeight="1" x14ac:dyDescent="0.25">
      <c r="A424" s="121">
        <v>43272</v>
      </c>
      <c r="B424" s="9">
        <v>359.52499399999999</v>
      </c>
      <c r="C424" s="39">
        <f t="shared" si="0"/>
        <v>-1.7353880616751693E-3</v>
      </c>
      <c r="E424" s="121">
        <v>43272</v>
      </c>
      <c r="F424" s="9">
        <v>10741.099609000001</v>
      </c>
      <c r="G424" s="39">
        <f t="shared" si="1"/>
        <v>-7.4617558843955711E-3</v>
      </c>
    </row>
    <row r="425" spans="1:7" ht="14.25" customHeight="1" x14ac:dyDescent="0.25">
      <c r="A425" s="121">
        <v>43273</v>
      </c>
      <c r="B425" s="9">
        <v>360.14999399999999</v>
      </c>
      <c r="C425" s="39">
        <f t="shared" si="0"/>
        <v>-1.2479533902171047E-3</v>
      </c>
      <c r="E425" s="121">
        <v>43273</v>
      </c>
      <c r="F425" s="9">
        <v>10821.849609000001</v>
      </c>
      <c r="G425" s="39">
        <f t="shared" si="1"/>
        <v>5.5191348553322861E-3</v>
      </c>
    </row>
    <row r="426" spans="1:7" ht="14.25" customHeight="1" x14ac:dyDescent="0.25">
      <c r="A426" s="121">
        <v>43276</v>
      </c>
      <c r="B426" s="9">
        <v>360.60000600000001</v>
      </c>
      <c r="C426" s="39">
        <f t="shared" si="0"/>
        <v>1.4580128653858271E-3</v>
      </c>
      <c r="E426" s="121">
        <v>43276</v>
      </c>
      <c r="F426" s="9">
        <v>10762.450194999999</v>
      </c>
      <c r="G426" s="39">
        <f t="shared" si="1"/>
        <v>-6.2216570079653977E-4</v>
      </c>
    </row>
    <row r="427" spans="1:7" ht="14.25" customHeight="1" x14ac:dyDescent="0.25">
      <c r="A427" s="121">
        <v>43277</v>
      </c>
      <c r="B427" s="9">
        <v>360.07501200000002</v>
      </c>
      <c r="C427" s="39">
        <f t="shared" si="0"/>
        <v>1.6802010589481053E-2</v>
      </c>
      <c r="E427" s="121">
        <v>43277</v>
      </c>
      <c r="F427" s="9">
        <v>10769.150390999999</v>
      </c>
      <c r="G427" s="39">
        <f t="shared" si="1"/>
        <v>9.1599974153757646E-3</v>
      </c>
    </row>
    <row r="428" spans="1:7" ht="14.25" customHeight="1" x14ac:dyDescent="0.25">
      <c r="A428" s="121">
        <v>43278</v>
      </c>
      <c r="B428" s="9">
        <v>354.125</v>
      </c>
      <c r="C428" s="39">
        <f t="shared" si="0"/>
        <v>2.7193618564177013E-2</v>
      </c>
      <c r="E428" s="121">
        <v>43278</v>
      </c>
      <c r="F428" s="9">
        <v>10671.400390999999</v>
      </c>
      <c r="G428" s="39">
        <f t="shared" si="1"/>
        <v>7.7722171892733449E-3</v>
      </c>
    </row>
    <row r="429" spans="1:7" ht="14.25" customHeight="1" x14ac:dyDescent="0.25">
      <c r="A429" s="121">
        <v>43279</v>
      </c>
      <c r="B429" s="9">
        <v>344.75</v>
      </c>
      <c r="C429" s="39">
        <f t="shared" si="0"/>
        <v>2.5445292620864812E-3</v>
      </c>
      <c r="E429" s="121">
        <v>43279</v>
      </c>
      <c r="F429" s="9">
        <v>10589.099609000001</v>
      </c>
      <c r="G429" s="39">
        <f t="shared" si="1"/>
        <v>-1.1685336258891454E-2</v>
      </c>
    </row>
    <row r="430" spans="1:7" ht="14.25" customHeight="1" x14ac:dyDescent="0.25">
      <c r="A430" s="121">
        <v>43280</v>
      </c>
      <c r="B430" s="9">
        <v>343.875</v>
      </c>
      <c r="C430" s="39">
        <f t="shared" si="0"/>
        <v>-7.6473387082721667E-3</v>
      </c>
      <c r="E430" s="121">
        <v>43280</v>
      </c>
      <c r="F430" s="9">
        <v>10714.299805000001</v>
      </c>
      <c r="G430" s="39">
        <f t="shared" si="1"/>
        <v>5.3484467025368687E-3</v>
      </c>
    </row>
    <row r="431" spans="1:7" ht="14.25" customHeight="1" x14ac:dyDescent="0.25">
      <c r="A431" s="121">
        <v>43283</v>
      </c>
      <c r="B431" s="9">
        <v>346.52499399999999</v>
      </c>
      <c r="C431" s="39">
        <f t="shared" si="0"/>
        <v>-1.5134324027835877E-2</v>
      </c>
      <c r="E431" s="121">
        <v>43283</v>
      </c>
      <c r="F431" s="9">
        <v>10657.299805000001</v>
      </c>
      <c r="G431" s="39">
        <f t="shared" si="1"/>
        <v>-3.9814002414294558E-3</v>
      </c>
    </row>
    <row r="432" spans="1:7" ht="14.25" customHeight="1" x14ac:dyDescent="0.25">
      <c r="A432" s="121">
        <v>43284</v>
      </c>
      <c r="B432" s="9">
        <v>351.85000600000001</v>
      </c>
      <c r="C432" s="39">
        <f t="shared" si="0"/>
        <v>3.3507322740680134E-3</v>
      </c>
      <c r="E432" s="121">
        <v>43284</v>
      </c>
      <c r="F432" s="9">
        <v>10699.900390999999</v>
      </c>
      <c r="G432" s="39">
        <f t="shared" si="1"/>
        <v>-6.499595860561147E-3</v>
      </c>
    </row>
    <row r="433" spans="1:7" ht="14.25" customHeight="1" x14ac:dyDescent="0.25">
      <c r="A433" s="121">
        <v>43285</v>
      </c>
      <c r="B433" s="9">
        <v>350.67498799999998</v>
      </c>
      <c r="C433" s="39">
        <f t="shared" si="0"/>
        <v>-3.1978397907165279E-3</v>
      </c>
      <c r="E433" s="121">
        <v>43285</v>
      </c>
      <c r="F433" s="9">
        <v>10769.900390999999</v>
      </c>
      <c r="G433" s="39">
        <f t="shared" si="1"/>
        <v>1.8744985697340955E-3</v>
      </c>
    </row>
    <row r="434" spans="1:7" ht="14.25" customHeight="1" x14ac:dyDescent="0.25">
      <c r="A434" s="121">
        <v>43286</v>
      </c>
      <c r="B434" s="9">
        <v>351.79998799999998</v>
      </c>
      <c r="C434" s="39">
        <f t="shared" si="0"/>
        <v>-5.6821590909095221E-4</v>
      </c>
      <c r="E434" s="121">
        <v>43286</v>
      </c>
      <c r="F434" s="9">
        <v>10749.75</v>
      </c>
      <c r="G434" s="39">
        <f t="shared" si="1"/>
        <v>-2.1257898631085181E-3</v>
      </c>
    </row>
    <row r="435" spans="1:7" ht="14.25" customHeight="1" x14ac:dyDescent="0.25">
      <c r="A435" s="121">
        <v>43287</v>
      </c>
      <c r="B435" s="9">
        <v>352</v>
      </c>
      <c r="C435" s="39">
        <f t="shared" si="0"/>
        <v>-5.3687313710437667E-3</v>
      </c>
      <c r="E435" s="121">
        <v>43287</v>
      </c>
      <c r="F435" s="9">
        <v>10772.650390999999</v>
      </c>
      <c r="G435" s="39">
        <f t="shared" si="1"/>
        <v>-7.3943367310870256E-3</v>
      </c>
    </row>
    <row r="436" spans="1:7" ht="14.25" customHeight="1" x14ac:dyDescent="0.25">
      <c r="A436" s="121">
        <v>43290</v>
      </c>
      <c r="B436" s="9">
        <v>353.89999399999999</v>
      </c>
      <c r="C436" s="39">
        <f t="shared" si="0"/>
        <v>-2.3926133111456749E-2</v>
      </c>
      <c r="E436" s="121">
        <v>43290</v>
      </c>
      <c r="F436" s="9">
        <v>10852.900390999999</v>
      </c>
      <c r="G436" s="39">
        <f t="shared" si="1"/>
        <v>-8.6185671287309917E-3</v>
      </c>
    </row>
    <row r="437" spans="1:7" ht="14.25" customHeight="1" x14ac:dyDescent="0.25">
      <c r="A437" s="121">
        <v>43291</v>
      </c>
      <c r="B437" s="9">
        <v>362.57501200000002</v>
      </c>
      <c r="C437" s="39">
        <f t="shared" si="0"/>
        <v>-3.3584264417968024E-2</v>
      </c>
      <c r="E437" s="121">
        <v>43291</v>
      </c>
      <c r="F437" s="9">
        <v>10947.25</v>
      </c>
      <c r="G437" s="39">
        <f t="shared" si="1"/>
        <v>-9.5887491089796661E-5</v>
      </c>
    </row>
    <row r="438" spans="1:7" ht="14.25" customHeight="1" x14ac:dyDescent="0.25">
      <c r="A438" s="121">
        <v>43292</v>
      </c>
      <c r="B438" s="9">
        <v>375.17498799999998</v>
      </c>
      <c r="C438" s="39">
        <f t="shared" si="0"/>
        <v>-7.9984767425127501E-3</v>
      </c>
      <c r="E438" s="121">
        <v>43292</v>
      </c>
      <c r="F438" s="9">
        <v>10948.299805000001</v>
      </c>
      <c r="G438" s="39">
        <f t="shared" si="1"/>
        <v>-6.7947954019715873E-3</v>
      </c>
    </row>
    <row r="439" spans="1:7" ht="14.25" customHeight="1" x14ac:dyDescent="0.25">
      <c r="A439" s="121">
        <v>43293</v>
      </c>
      <c r="B439" s="9">
        <v>378.20001200000002</v>
      </c>
      <c r="C439" s="39">
        <f t="shared" si="0"/>
        <v>4.1152741927297232E-3</v>
      </c>
      <c r="E439" s="121">
        <v>43293</v>
      </c>
      <c r="F439" s="9">
        <v>11023.200194999999</v>
      </c>
      <c r="G439" s="39">
        <f t="shared" si="1"/>
        <v>3.9022078859263232E-4</v>
      </c>
    </row>
    <row r="440" spans="1:7" ht="14.25" customHeight="1" x14ac:dyDescent="0.25">
      <c r="A440" s="121">
        <v>43294</v>
      </c>
      <c r="B440" s="9">
        <v>376.64999399999999</v>
      </c>
      <c r="C440" s="39">
        <f t="shared" si="0"/>
        <v>6.8835979880954579E-3</v>
      </c>
      <c r="E440" s="121">
        <v>43294</v>
      </c>
      <c r="F440" s="9">
        <v>11018.900390999999</v>
      </c>
      <c r="G440" s="39">
        <f t="shared" si="1"/>
        <v>7.5022318979753866E-3</v>
      </c>
    </row>
    <row r="441" spans="1:7" ht="14.25" customHeight="1" x14ac:dyDescent="0.25">
      <c r="A441" s="121">
        <v>43297</v>
      </c>
      <c r="B441" s="9">
        <v>374.07501200000002</v>
      </c>
      <c r="C441" s="39">
        <f t="shared" si="0"/>
        <v>-3.5295205678665953E-3</v>
      </c>
      <c r="E441" s="121">
        <v>43297</v>
      </c>
      <c r="F441" s="9">
        <v>10936.849609000001</v>
      </c>
      <c r="G441" s="39">
        <f t="shared" si="1"/>
        <v>-6.4680117969360129E-3</v>
      </c>
    </row>
    <row r="442" spans="1:7" ht="14.25" customHeight="1" x14ac:dyDescent="0.25">
      <c r="A442" s="121">
        <v>43298</v>
      </c>
      <c r="B442" s="9">
        <v>375.39999399999999</v>
      </c>
      <c r="C442" s="39">
        <f t="shared" si="0"/>
        <v>-1.2235216805216664E-2</v>
      </c>
      <c r="E442" s="121">
        <v>43298</v>
      </c>
      <c r="F442" s="9">
        <v>11008.049805000001</v>
      </c>
      <c r="G442" s="39">
        <f t="shared" si="1"/>
        <v>2.5135226251988829E-3</v>
      </c>
    </row>
    <row r="443" spans="1:7" ht="14.25" customHeight="1" x14ac:dyDescent="0.25">
      <c r="A443" s="121">
        <v>43299</v>
      </c>
      <c r="B443" s="9">
        <v>380.04998799999998</v>
      </c>
      <c r="C443" s="39">
        <f t="shared" si="0"/>
        <v>4.2277076212642317E-3</v>
      </c>
      <c r="E443" s="121">
        <v>43299</v>
      </c>
      <c r="F443" s="9">
        <v>10980.450194999999</v>
      </c>
      <c r="G443" s="39">
        <f t="shared" si="1"/>
        <v>2.1310918795351963E-3</v>
      </c>
    </row>
    <row r="444" spans="1:7" ht="14.25" customHeight="1" x14ac:dyDescent="0.25">
      <c r="A444" s="121">
        <v>43300</v>
      </c>
      <c r="B444" s="9">
        <v>378.45001200000002</v>
      </c>
      <c r="C444" s="39">
        <f t="shared" si="0"/>
        <v>-1.3939489753188816E-2</v>
      </c>
      <c r="E444" s="121">
        <v>43300</v>
      </c>
      <c r="F444" s="9">
        <v>10957.099609000001</v>
      </c>
      <c r="G444" s="39">
        <f t="shared" si="1"/>
        <v>-4.8228538136947385E-3</v>
      </c>
    </row>
    <row r="445" spans="1:7" ht="14.25" customHeight="1" x14ac:dyDescent="0.25">
      <c r="A445" s="121">
        <v>43301</v>
      </c>
      <c r="B445" s="9">
        <v>383.79998799999998</v>
      </c>
      <c r="C445" s="39">
        <f t="shared" si="0"/>
        <v>-2.5331740592953955E-2</v>
      </c>
      <c r="E445" s="121">
        <v>43301</v>
      </c>
      <c r="F445" s="9">
        <v>11010.200194999999</v>
      </c>
      <c r="G445" s="39">
        <f t="shared" si="1"/>
        <v>-6.7254385529669225E-3</v>
      </c>
    </row>
    <row r="446" spans="1:7" ht="14.25" customHeight="1" x14ac:dyDescent="0.25">
      <c r="A446" s="121">
        <v>43304</v>
      </c>
      <c r="B446" s="9">
        <v>393.77499399999999</v>
      </c>
      <c r="C446" s="39">
        <f t="shared" si="0"/>
        <v>-2.143389693986919E-2</v>
      </c>
      <c r="E446" s="121">
        <v>43304</v>
      </c>
      <c r="F446" s="9">
        <v>11084.75</v>
      </c>
      <c r="G446" s="39">
        <f t="shared" si="1"/>
        <v>-4.4501949711960309E-3</v>
      </c>
    </row>
    <row r="447" spans="1:7" ht="14.25" customHeight="1" x14ac:dyDescent="0.25">
      <c r="A447" s="121">
        <v>43305</v>
      </c>
      <c r="B447" s="9">
        <v>402.39999399999999</v>
      </c>
      <c r="C447" s="39">
        <f t="shared" si="0"/>
        <v>-1.4269120985694883E-2</v>
      </c>
      <c r="E447" s="121">
        <v>43305</v>
      </c>
      <c r="F447" s="9">
        <v>11134.299805000001</v>
      </c>
      <c r="G447" s="39">
        <f t="shared" si="1"/>
        <v>2.0659405318013135E-4</v>
      </c>
    </row>
    <row r="448" spans="1:7" ht="14.25" customHeight="1" x14ac:dyDescent="0.25">
      <c r="A448" s="121">
        <v>43306</v>
      </c>
      <c r="B448" s="9">
        <v>408.22500600000001</v>
      </c>
      <c r="C448" s="39">
        <f t="shared" si="0"/>
        <v>4.9019546091821908E-4</v>
      </c>
      <c r="E448" s="121">
        <v>43306</v>
      </c>
      <c r="F448" s="9">
        <v>11132</v>
      </c>
      <c r="G448" s="39">
        <f t="shared" si="1"/>
        <v>-3.1609973419174375E-3</v>
      </c>
    </row>
    <row r="449" spans="1:7" ht="14.25" customHeight="1" x14ac:dyDescent="0.25">
      <c r="A449" s="121">
        <v>43307</v>
      </c>
      <c r="B449" s="9">
        <v>408.02499399999999</v>
      </c>
      <c r="C449" s="39">
        <f t="shared" si="0"/>
        <v>2.0259871701575616E-3</v>
      </c>
      <c r="E449" s="121">
        <v>43307</v>
      </c>
      <c r="F449" s="9">
        <v>11167.299805000001</v>
      </c>
      <c r="G449" s="39">
        <f t="shared" si="1"/>
        <v>-9.8462814019689704E-3</v>
      </c>
    </row>
    <row r="450" spans="1:7" ht="14.25" customHeight="1" x14ac:dyDescent="0.25">
      <c r="A450" s="121">
        <v>43308</v>
      </c>
      <c r="B450" s="9">
        <v>407.20001200000002</v>
      </c>
      <c r="C450" s="39">
        <f t="shared" si="0"/>
        <v>1.2910162057964136E-3</v>
      </c>
      <c r="E450" s="121">
        <v>43308</v>
      </c>
      <c r="F450" s="9">
        <v>11278.349609000001</v>
      </c>
      <c r="G450" s="39">
        <f t="shared" si="1"/>
        <v>-3.6397380381506528E-3</v>
      </c>
    </row>
    <row r="451" spans="1:7" ht="14.25" customHeight="1" x14ac:dyDescent="0.25">
      <c r="A451" s="121">
        <v>43311</v>
      </c>
      <c r="B451" s="9">
        <v>406.67498799999998</v>
      </c>
      <c r="C451" s="39">
        <f t="shared" si="0"/>
        <v>-1.4119386126458799E-3</v>
      </c>
      <c r="E451" s="121">
        <v>43311</v>
      </c>
      <c r="F451" s="9">
        <v>11319.549805000001</v>
      </c>
      <c r="G451" s="39">
        <f t="shared" si="1"/>
        <v>-3.2536604587680706E-3</v>
      </c>
    </row>
    <row r="452" spans="1:7" ht="14.25" customHeight="1" x14ac:dyDescent="0.25">
      <c r="A452" s="121">
        <v>43312</v>
      </c>
      <c r="B452" s="9">
        <v>407.25</v>
      </c>
      <c r="C452" s="39">
        <f t="shared" si="0"/>
        <v>-1.899378742469815E-3</v>
      </c>
      <c r="E452" s="121">
        <v>43312</v>
      </c>
      <c r="F452" s="9">
        <v>11356.5</v>
      </c>
      <c r="G452" s="39">
        <f t="shared" si="1"/>
        <v>9.0777571548050773E-4</v>
      </c>
    </row>
    <row r="453" spans="1:7" ht="14.25" customHeight="1" x14ac:dyDescent="0.25">
      <c r="A453" s="121">
        <v>43313</v>
      </c>
      <c r="B453" s="9">
        <v>408.02499399999999</v>
      </c>
      <c r="C453" s="39">
        <f t="shared" si="0"/>
        <v>1.0212924142801505E-2</v>
      </c>
      <c r="E453" s="121">
        <v>43313</v>
      </c>
      <c r="F453" s="9">
        <v>11346.200194999999</v>
      </c>
      <c r="G453" s="39">
        <f t="shared" si="1"/>
        <v>9.0264745382124811E-3</v>
      </c>
    </row>
    <row r="454" spans="1:7" ht="14.25" customHeight="1" x14ac:dyDescent="0.25">
      <c r="A454" s="121">
        <v>43314</v>
      </c>
      <c r="B454" s="9">
        <v>403.89999399999999</v>
      </c>
      <c r="C454" s="39">
        <f t="shared" si="0"/>
        <v>-1.1381701472476857E-2</v>
      </c>
      <c r="E454" s="121">
        <v>43314</v>
      </c>
      <c r="F454" s="9">
        <v>11244.700194999999</v>
      </c>
      <c r="G454" s="39">
        <f t="shared" si="1"/>
        <v>-1.0219316596786099E-2</v>
      </c>
    </row>
    <row r="455" spans="1:7" ht="14.25" customHeight="1" x14ac:dyDescent="0.25">
      <c r="A455" s="121">
        <v>43315</v>
      </c>
      <c r="B455" s="9">
        <v>408.54998799999998</v>
      </c>
      <c r="C455" s="39">
        <f t="shared" si="0"/>
        <v>-9.155457200350603E-3</v>
      </c>
      <c r="E455" s="121">
        <v>43315</v>
      </c>
      <c r="F455" s="9">
        <v>11360.799805000001</v>
      </c>
      <c r="G455" s="39">
        <f t="shared" si="1"/>
        <v>-2.3096139406046934E-3</v>
      </c>
    </row>
    <row r="456" spans="1:7" ht="14.25" customHeight="1" x14ac:dyDescent="0.25">
      <c r="A456" s="121">
        <v>43318</v>
      </c>
      <c r="B456" s="9">
        <v>412.32501200000002</v>
      </c>
      <c r="C456" s="39">
        <f t="shared" si="0"/>
        <v>-3.9255947648094702E-3</v>
      </c>
      <c r="E456" s="121">
        <v>43318</v>
      </c>
      <c r="F456" s="9">
        <v>11387.099609000001</v>
      </c>
      <c r="G456" s="39">
        <f t="shared" si="1"/>
        <v>-2.0638274541384671E-4</v>
      </c>
    </row>
    <row r="457" spans="1:7" ht="14.25" customHeight="1" x14ac:dyDescent="0.25">
      <c r="A457" s="121">
        <v>43319</v>
      </c>
      <c r="B457" s="9">
        <v>413.95001200000002</v>
      </c>
      <c r="C457" s="39">
        <f t="shared" si="0"/>
        <v>-1.9288438818565457E-3</v>
      </c>
      <c r="E457" s="121">
        <v>43319</v>
      </c>
      <c r="F457" s="9">
        <v>11389.450194999999</v>
      </c>
      <c r="G457" s="39">
        <f t="shared" si="1"/>
        <v>-5.288192576419215E-3</v>
      </c>
    </row>
    <row r="458" spans="1:7" ht="14.25" customHeight="1" x14ac:dyDescent="0.25">
      <c r="A458" s="121">
        <v>43320</v>
      </c>
      <c r="B458" s="9">
        <v>414.75</v>
      </c>
      <c r="C458" s="39">
        <f t="shared" si="0"/>
        <v>1.2635018857058533E-2</v>
      </c>
      <c r="E458" s="121">
        <v>43320</v>
      </c>
      <c r="F458" s="9">
        <v>11450</v>
      </c>
      <c r="G458" s="39">
        <f t="shared" si="1"/>
        <v>-1.8046147705109705E-3</v>
      </c>
    </row>
    <row r="459" spans="1:7" ht="14.25" customHeight="1" x14ac:dyDescent="0.25">
      <c r="A459" s="121">
        <v>43321</v>
      </c>
      <c r="B459" s="9">
        <v>409.57501200000002</v>
      </c>
      <c r="C459" s="39">
        <f t="shared" si="0"/>
        <v>-2.1209223910836017E-2</v>
      </c>
      <c r="E459" s="121">
        <v>43321</v>
      </c>
      <c r="F459" s="9">
        <v>11470.700194999999</v>
      </c>
      <c r="G459" s="39">
        <f t="shared" si="1"/>
        <v>3.6047241786605344E-3</v>
      </c>
    </row>
    <row r="460" spans="1:7" ht="14.25" customHeight="1" x14ac:dyDescent="0.25">
      <c r="A460" s="121">
        <v>43322</v>
      </c>
      <c r="B460" s="9">
        <v>418.45001200000002</v>
      </c>
      <c r="C460" s="39">
        <f t="shared" si="0"/>
        <v>-2.3840743149150523E-3</v>
      </c>
      <c r="E460" s="121">
        <v>43322</v>
      </c>
      <c r="F460" s="9">
        <v>11429.5</v>
      </c>
      <c r="G460" s="39">
        <f t="shared" si="1"/>
        <v>6.4945071879884964E-3</v>
      </c>
    </row>
    <row r="461" spans="1:7" ht="14.25" customHeight="1" x14ac:dyDescent="0.25">
      <c r="A461" s="121">
        <v>43325</v>
      </c>
      <c r="B461" s="9">
        <v>419.45001200000002</v>
      </c>
      <c r="C461" s="39">
        <f t="shared" si="0"/>
        <v>-6.9250973660845982E-3</v>
      </c>
      <c r="E461" s="121">
        <v>43325</v>
      </c>
      <c r="F461" s="9">
        <v>11355.75</v>
      </c>
      <c r="G461" s="39">
        <f t="shared" si="1"/>
        <v>-6.939127048578464E-3</v>
      </c>
    </row>
    <row r="462" spans="1:7" ht="14.25" customHeight="1" x14ac:dyDescent="0.25">
      <c r="A462" s="121">
        <v>43326</v>
      </c>
      <c r="B462" s="9">
        <v>422.375</v>
      </c>
      <c r="C462" s="39">
        <f t="shared" si="0"/>
        <v>8.4760649395025922E-3</v>
      </c>
      <c r="E462" s="121">
        <v>43326</v>
      </c>
      <c r="F462" s="9">
        <v>11435.099609000001</v>
      </c>
      <c r="G462" s="39">
        <f t="shared" si="1"/>
        <v>4.3960988188229688E-3</v>
      </c>
    </row>
    <row r="463" spans="1:7" ht="14.25" customHeight="1" x14ac:dyDescent="0.25">
      <c r="A463" s="121">
        <v>43328</v>
      </c>
      <c r="B463" s="9">
        <v>418.82501200000002</v>
      </c>
      <c r="C463" s="39">
        <f t="shared" si="0"/>
        <v>-1.0688541244522787E-2</v>
      </c>
      <c r="E463" s="121">
        <v>43328</v>
      </c>
      <c r="F463" s="9">
        <v>11385.049805000001</v>
      </c>
      <c r="G463" s="39">
        <f t="shared" si="1"/>
        <v>-7.4711936882940755E-3</v>
      </c>
    </row>
    <row r="464" spans="1:7" ht="14.25" customHeight="1" x14ac:dyDescent="0.25">
      <c r="A464" s="121">
        <v>43329</v>
      </c>
      <c r="B464" s="9">
        <v>423.35000600000001</v>
      </c>
      <c r="C464" s="39">
        <f t="shared" si="0"/>
        <v>-2.23893949297016E-3</v>
      </c>
      <c r="E464" s="121">
        <v>43329</v>
      </c>
      <c r="F464" s="9">
        <v>11470.75</v>
      </c>
      <c r="G464" s="39">
        <f t="shared" si="1"/>
        <v>-7.0119246001687507E-3</v>
      </c>
    </row>
    <row r="465" spans="1:7" ht="14.25" customHeight="1" x14ac:dyDescent="0.25">
      <c r="A465" s="121">
        <v>43332</v>
      </c>
      <c r="B465" s="9">
        <v>424.29998799999998</v>
      </c>
      <c r="C465" s="39">
        <f t="shared" si="0"/>
        <v>1.8889917355371377E-3</v>
      </c>
      <c r="E465" s="121">
        <v>43332</v>
      </c>
      <c r="F465" s="9">
        <v>11551.75</v>
      </c>
      <c r="G465" s="39">
        <f t="shared" si="1"/>
        <v>-1.6550476067441755E-3</v>
      </c>
    </row>
    <row r="466" spans="1:7" ht="14.25" customHeight="1" x14ac:dyDescent="0.25">
      <c r="A466" s="121">
        <v>43333</v>
      </c>
      <c r="B466" s="9">
        <v>423.5</v>
      </c>
      <c r="C466" s="39">
        <f t="shared" si="0"/>
        <v>0</v>
      </c>
      <c r="E466" s="121">
        <v>43333</v>
      </c>
      <c r="F466" s="9">
        <v>11570.900390999999</v>
      </c>
      <c r="G466" s="39">
        <f t="shared" si="1"/>
        <v>-1.023039347305299E-3</v>
      </c>
    </row>
    <row r="467" spans="1:7" ht="14.25" customHeight="1" x14ac:dyDescent="0.25">
      <c r="A467" s="121">
        <v>43335</v>
      </c>
      <c r="B467" s="9">
        <v>423.5</v>
      </c>
      <c r="C467" s="39">
        <f t="shared" si="0"/>
        <v>-3.3535048308337423E-3</v>
      </c>
      <c r="E467" s="121">
        <v>43335</v>
      </c>
      <c r="F467" s="9">
        <v>11582.75</v>
      </c>
      <c r="G467" s="39">
        <f t="shared" si="1"/>
        <v>2.2194488122282419E-3</v>
      </c>
    </row>
    <row r="468" spans="1:7" ht="14.25" customHeight="1" x14ac:dyDescent="0.25">
      <c r="A468" s="121">
        <v>43336</v>
      </c>
      <c r="B468" s="9">
        <v>424.92498799999998</v>
      </c>
      <c r="C468" s="39">
        <f t="shared" si="0"/>
        <v>-1.4100370329833689E-3</v>
      </c>
      <c r="E468" s="121">
        <v>43336</v>
      </c>
      <c r="F468" s="9">
        <v>11557.099609000001</v>
      </c>
      <c r="G468" s="39">
        <f t="shared" si="1"/>
        <v>-1.1533626448192225E-2</v>
      </c>
    </row>
    <row r="469" spans="1:7" ht="14.25" customHeight="1" x14ac:dyDescent="0.25">
      <c r="A469" s="121">
        <v>43339</v>
      </c>
      <c r="B469" s="9">
        <v>425.52499399999999</v>
      </c>
      <c r="C469" s="39">
        <f t="shared" si="0"/>
        <v>9.9685085869052337E-3</v>
      </c>
      <c r="E469" s="121">
        <v>43339</v>
      </c>
      <c r="F469" s="9">
        <v>11691.950194999999</v>
      </c>
      <c r="G469" s="39">
        <f t="shared" si="1"/>
        <v>-3.9655667248796878E-3</v>
      </c>
    </row>
    <row r="470" spans="1:7" ht="14.25" customHeight="1" x14ac:dyDescent="0.25">
      <c r="A470" s="121">
        <v>43340</v>
      </c>
      <c r="B470" s="9">
        <v>421.32501200000002</v>
      </c>
      <c r="C470" s="39">
        <f t="shared" si="0"/>
        <v>-6.0745035065982167E-3</v>
      </c>
      <c r="E470" s="121">
        <v>43340</v>
      </c>
      <c r="F470" s="9">
        <v>11738.5</v>
      </c>
      <c r="G470" s="39">
        <f t="shared" si="1"/>
        <v>3.9856317144022491E-3</v>
      </c>
    </row>
    <row r="471" spans="1:7" ht="14.25" customHeight="1" x14ac:dyDescent="0.25">
      <c r="A471" s="121">
        <v>43341</v>
      </c>
      <c r="B471" s="9">
        <v>423.89999399999999</v>
      </c>
      <c r="C471" s="39">
        <f t="shared" si="0"/>
        <v>-5.3051812555260369E-4</v>
      </c>
      <c r="E471" s="121">
        <v>43341</v>
      </c>
      <c r="F471" s="9">
        <v>11691.900390999999</v>
      </c>
      <c r="G471" s="39">
        <f t="shared" si="1"/>
        <v>1.2932127168552299E-3</v>
      </c>
    </row>
    <row r="472" spans="1:7" ht="14.25" customHeight="1" x14ac:dyDescent="0.25">
      <c r="A472" s="121">
        <v>43342</v>
      </c>
      <c r="B472" s="9">
        <v>424.125</v>
      </c>
      <c r="C472" s="39">
        <f t="shared" si="0"/>
        <v>5.3333333333334121E-3</v>
      </c>
      <c r="E472" s="121">
        <v>43342</v>
      </c>
      <c r="F472" s="9">
        <v>11676.799805000001</v>
      </c>
      <c r="G472" s="39">
        <f t="shared" si="1"/>
        <v>-3.1678395616618893E-4</v>
      </c>
    </row>
    <row r="473" spans="1:7" ht="14.25" customHeight="1" x14ac:dyDescent="0.25">
      <c r="A473" s="121">
        <v>43343</v>
      </c>
      <c r="B473" s="9">
        <v>421.875</v>
      </c>
      <c r="C473" s="39">
        <f t="shared" si="0"/>
        <v>-5.9224163458693191E-4</v>
      </c>
      <c r="E473" s="121">
        <v>43343</v>
      </c>
      <c r="F473" s="9">
        <v>11680.5</v>
      </c>
      <c r="G473" s="39">
        <f t="shared" si="1"/>
        <v>8.4741347233838749E-3</v>
      </c>
    </row>
    <row r="474" spans="1:7" ht="14.25" customHeight="1" x14ac:dyDescent="0.25">
      <c r="A474" s="121">
        <v>43346</v>
      </c>
      <c r="B474" s="9">
        <v>422.125</v>
      </c>
      <c r="C474" s="39">
        <f t="shared" si="0"/>
        <v>4.0435560409648463E-3</v>
      </c>
      <c r="E474" s="121">
        <v>43346</v>
      </c>
      <c r="F474" s="9">
        <v>11582.349609000001</v>
      </c>
      <c r="G474" s="39">
        <f t="shared" si="1"/>
        <v>5.3861275357669491E-3</v>
      </c>
    </row>
    <row r="475" spans="1:7" ht="14.25" customHeight="1" x14ac:dyDescent="0.25">
      <c r="A475" s="121">
        <v>43347</v>
      </c>
      <c r="B475" s="9">
        <v>420.42498799999998</v>
      </c>
      <c r="C475" s="39">
        <f t="shared" si="0"/>
        <v>1.3377494426031866E-2</v>
      </c>
      <c r="E475" s="121">
        <v>43347</v>
      </c>
      <c r="F475" s="9">
        <v>11520.299805000001</v>
      </c>
      <c r="G475" s="39">
        <f t="shared" si="1"/>
        <v>3.7771018662158262E-3</v>
      </c>
    </row>
    <row r="476" spans="1:7" ht="14.25" customHeight="1" x14ac:dyDescent="0.25">
      <c r="A476" s="121">
        <v>43348</v>
      </c>
      <c r="B476" s="9">
        <v>414.875</v>
      </c>
      <c r="C476" s="39">
        <f t="shared" si="0"/>
        <v>-6.227932122001123E-3</v>
      </c>
      <c r="E476" s="121">
        <v>43348</v>
      </c>
      <c r="F476" s="9">
        <v>11476.950194999999</v>
      </c>
      <c r="G476" s="39">
        <f t="shared" si="1"/>
        <v>-5.196386721581403E-3</v>
      </c>
    </row>
    <row r="477" spans="1:7" ht="14.25" customHeight="1" x14ac:dyDescent="0.25">
      <c r="A477" s="121">
        <v>43349</v>
      </c>
      <c r="B477" s="9">
        <v>417.47500600000001</v>
      </c>
      <c r="C477" s="39">
        <f t="shared" si="0"/>
        <v>-1.083990553270664E-2</v>
      </c>
      <c r="E477" s="121">
        <v>43349</v>
      </c>
      <c r="F477" s="9">
        <v>11536.900390999999</v>
      </c>
      <c r="G477" s="39">
        <f t="shared" si="1"/>
        <v>-4.5041651000621297E-3</v>
      </c>
    </row>
    <row r="478" spans="1:7" ht="14.25" customHeight="1" x14ac:dyDescent="0.25">
      <c r="A478" s="121">
        <v>43350</v>
      </c>
      <c r="B478" s="9">
        <v>422.04998799999998</v>
      </c>
      <c r="C478" s="39">
        <f t="shared" si="0"/>
        <v>1.2170950121648261E-2</v>
      </c>
      <c r="E478" s="121">
        <v>43350</v>
      </c>
      <c r="F478" s="9">
        <v>11589.099609000001</v>
      </c>
      <c r="G478" s="39">
        <f t="shared" si="1"/>
        <v>1.3201493706278544E-2</v>
      </c>
    </row>
    <row r="479" spans="1:7" ht="14.25" customHeight="1" x14ac:dyDescent="0.25">
      <c r="A479" s="121">
        <v>43353</v>
      </c>
      <c r="B479" s="9">
        <v>416.97500600000001</v>
      </c>
      <c r="C479" s="39">
        <f t="shared" si="0"/>
        <v>3.1878070952167104E-3</v>
      </c>
      <c r="E479" s="121">
        <v>43353</v>
      </c>
      <c r="F479" s="9">
        <v>11438.099609000001</v>
      </c>
      <c r="G479" s="39">
        <f t="shared" si="1"/>
        <v>1.3342158050941411E-2</v>
      </c>
    </row>
    <row r="480" spans="1:7" ht="14.25" customHeight="1" x14ac:dyDescent="0.25">
      <c r="A480" s="121">
        <v>43354</v>
      </c>
      <c r="B480" s="9">
        <v>415.64999399999999</v>
      </c>
      <c r="C480" s="39">
        <f t="shared" si="0"/>
        <v>-5.265075908602479E-3</v>
      </c>
      <c r="E480" s="121">
        <v>43354</v>
      </c>
      <c r="F480" s="9">
        <v>11287.5</v>
      </c>
      <c r="G480" s="39">
        <f t="shared" si="1"/>
        <v>-7.2472394802354234E-3</v>
      </c>
    </row>
    <row r="481" spans="1:7" ht="14.25" customHeight="1" x14ac:dyDescent="0.25">
      <c r="A481" s="121">
        <v>43355</v>
      </c>
      <c r="B481" s="9">
        <v>417.85000600000001</v>
      </c>
      <c r="C481" s="39">
        <f t="shared" si="0"/>
        <v>-1.8267239941262781E-2</v>
      </c>
      <c r="E481" s="121">
        <v>43355</v>
      </c>
      <c r="F481" s="9">
        <v>11369.900390999999</v>
      </c>
      <c r="G481" s="39">
        <f t="shared" si="1"/>
        <v>-1.2618087531217292E-2</v>
      </c>
    </row>
    <row r="482" spans="1:7" ht="14.25" customHeight="1" x14ac:dyDescent="0.25">
      <c r="A482" s="121">
        <v>43357</v>
      </c>
      <c r="B482" s="9">
        <v>425.625</v>
      </c>
      <c r="C482" s="39">
        <f t="shared" si="0"/>
        <v>3.5958358368899379E-3</v>
      </c>
      <c r="E482" s="121">
        <v>43357</v>
      </c>
      <c r="F482" s="9">
        <v>11515.200194999999</v>
      </c>
      <c r="G482" s="39">
        <f t="shared" si="1"/>
        <v>1.208061303860597E-2</v>
      </c>
    </row>
    <row r="483" spans="1:7" ht="14.25" customHeight="1" x14ac:dyDescent="0.25">
      <c r="A483" s="121">
        <v>43360</v>
      </c>
      <c r="B483" s="9">
        <v>424.10000600000001</v>
      </c>
      <c r="C483" s="39">
        <f t="shared" si="0"/>
        <v>7.3036329049862569E-3</v>
      </c>
      <c r="E483" s="121">
        <v>43360</v>
      </c>
      <c r="F483" s="9">
        <v>11377.75</v>
      </c>
      <c r="G483" s="39">
        <f t="shared" si="1"/>
        <v>8.7641175622827916E-3</v>
      </c>
    </row>
    <row r="484" spans="1:7" ht="14.25" customHeight="1" x14ac:dyDescent="0.25">
      <c r="A484" s="121">
        <v>43361</v>
      </c>
      <c r="B484" s="9">
        <v>421.02499399999999</v>
      </c>
      <c r="C484" s="39">
        <f t="shared" si="0"/>
        <v>-2.4877521060167052E-3</v>
      </c>
      <c r="E484" s="121">
        <v>43361</v>
      </c>
      <c r="F484" s="9">
        <v>11278.900390999999</v>
      </c>
      <c r="G484" s="39">
        <f t="shared" si="1"/>
        <v>3.9655862199898806E-3</v>
      </c>
    </row>
    <row r="485" spans="1:7" ht="14.25" customHeight="1" x14ac:dyDescent="0.25">
      <c r="A485" s="121">
        <v>43362</v>
      </c>
      <c r="B485" s="9">
        <v>422.07501200000002</v>
      </c>
      <c r="C485" s="39">
        <f t="shared" si="0"/>
        <v>1.753863117276655E-2</v>
      </c>
      <c r="E485" s="121">
        <v>43362</v>
      </c>
      <c r="F485" s="9">
        <v>11234.349609000001</v>
      </c>
      <c r="G485" s="39">
        <f t="shared" si="1"/>
        <v>8.1889243748929363E-3</v>
      </c>
    </row>
    <row r="486" spans="1:7" ht="14.25" customHeight="1" x14ac:dyDescent="0.25">
      <c r="A486" s="121">
        <v>43364</v>
      </c>
      <c r="B486" s="9">
        <v>414.79998799999998</v>
      </c>
      <c r="C486" s="39">
        <f t="shared" si="0"/>
        <v>4.0185553861484147E-2</v>
      </c>
      <c r="E486" s="121">
        <v>43364</v>
      </c>
      <c r="F486" s="9">
        <v>11143.099609000001</v>
      </c>
      <c r="G486" s="39">
        <f t="shared" si="1"/>
        <v>1.6020133462455011E-2</v>
      </c>
    </row>
    <row r="487" spans="1:7" ht="14.25" customHeight="1" x14ac:dyDescent="0.25">
      <c r="A487" s="121">
        <v>43367</v>
      </c>
      <c r="B487" s="9">
        <v>398.77499399999999</v>
      </c>
      <c r="C487" s="39">
        <f t="shared" si="0"/>
        <v>5.6567547668571416E-2</v>
      </c>
      <c r="E487" s="121">
        <v>43367</v>
      </c>
      <c r="F487" s="9">
        <v>10967.400390999999</v>
      </c>
      <c r="G487" s="39">
        <f t="shared" si="1"/>
        <v>-9.0400049006048588E-3</v>
      </c>
    </row>
    <row r="488" spans="1:7" ht="14.25" customHeight="1" x14ac:dyDescent="0.25">
      <c r="A488" s="121">
        <v>43368</v>
      </c>
      <c r="B488" s="9">
        <v>377.42498799999998</v>
      </c>
      <c r="C488" s="39">
        <f t="shared" si="0"/>
        <v>-1.2299671573438031E-2</v>
      </c>
      <c r="E488" s="121">
        <v>43368</v>
      </c>
      <c r="F488" s="9">
        <v>11067.450194999999</v>
      </c>
      <c r="G488" s="39">
        <f t="shared" si="1"/>
        <v>1.2349047604267582E-3</v>
      </c>
    </row>
    <row r="489" spans="1:7" ht="14.25" customHeight="1" x14ac:dyDescent="0.25">
      <c r="A489" s="121">
        <v>43369</v>
      </c>
      <c r="B489" s="9">
        <v>382.125</v>
      </c>
      <c r="C489" s="39">
        <f t="shared" si="0"/>
        <v>4.2135440118975298E-2</v>
      </c>
      <c r="E489" s="121">
        <v>43369</v>
      </c>
      <c r="F489" s="9">
        <v>11053.799805000001</v>
      </c>
      <c r="G489" s="39">
        <f t="shared" si="1"/>
        <v>6.9459944481664593E-3</v>
      </c>
    </row>
    <row r="490" spans="1:7" ht="14.25" customHeight="1" x14ac:dyDescent="0.25">
      <c r="A490" s="121">
        <v>43370</v>
      </c>
      <c r="B490" s="9">
        <v>366.67498799999998</v>
      </c>
      <c r="C490" s="39">
        <f t="shared" si="0"/>
        <v>2.5975308890964222E-3</v>
      </c>
      <c r="E490" s="121">
        <v>43370</v>
      </c>
      <c r="F490" s="9">
        <v>10977.549805000001</v>
      </c>
      <c r="G490" s="39">
        <f t="shared" si="1"/>
        <v>4.3090274563024611E-3</v>
      </c>
    </row>
    <row r="491" spans="1:7" ht="14.25" customHeight="1" x14ac:dyDescent="0.25">
      <c r="A491" s="121">
        <v>43371</v>
      </c>
      <c r="B491" s="9">
        <v>365.72500600000001</v>
      </c>
      <c r="C491" s="39">
        <f t="shared" si="0"/>
        <v>3.3851607067137746E-2</v>
      </c>
      <c r="E491" s="121">
        <v>43371</v>
      </c>
      <c r="F491" s="9">
        <v>10930.450194999999</v>
      </c>
      <c r="G491" s="39">
        <f t="shared" si="1"/>
        <v>-7.0719013270915676E-3</v>
      </c>
    </row>
    <row r="492" spans="1:7" ht="14.25" customHeight="1" x14ac:dyDescent="0.25">
      <c r="A492" s="121">
        <v>43374</v>
      </c>
      <c r="B492" s="9">
        <v>353.75</v>
      </c>
      <c r="C492" s="39">
        <f t="shared" si="0"/>
        <v>-5.6917828238371992E-3</v>
      </c>
      <c r="E492" s="121">
        <v>43374</v>
      </c>
      <c r="F492" s="9">
        <v>11008.299805000001</v>
      </c>
      <c r="G492" s="39">
        <f t="shared" si="1"/>
        <v>1.3818967605277122E-2</v>
      </c>
    </row>
    <row r="493" spans="1:7" ht="14.25" customHeight="1" x14ac:dyDescent="0.25">
      <c r="A493" s="121">
        <v>43376</v>
      </c>
      <c r="B493" s="9">
        <v>355.77499399999999</v>
      </c>
      <c r="C493" s="39">
        <f t="shared" si="0"/>
        <v>1.8303245336148688E-3</v>
      </c>
      <c r="E493" s="121">
        <v>43376</v>
      </c>
      <c r="F493" s="9">
        <v>10858.25</v>
      </c>
      <c r="G493" s="39">
        <f t="shared" si="1"/>
        <v>2.4435691204566456E-2</v>
      </c>
    </row>
    <row r="494" spans="1:7" ht="14.25" customHeight="1" x14ac:dyDescent="0.25">
      <c r="A494" s="121">
        <v>43377</v>
      </c>
      <c r="B494" s="9">
        <v>355.125</v>
      </c>
      <c r="C494" s="39">
        <f t="shared" si="0"/>
        <v>3.107142203637725E-3</v>
      </c>
      <c r="E494" s="121">
        <v>43377</v>
      </c>
      <c r="F494" s="9">
        <v>10599.25</v>
      </c>
      <c r="G494" s="39">
        <f t="shared" si="1"/>
        <v>2.7412511053178212E-2</v>
      </c>
    </row>
    <row r="495" spans="1:7" ht="14.25" customHeight="1" x14ac:dyDescent="0.25">
      <c r="A495" s="121">
        <v>43378</v>
      </c>
      <c r="B495" s="9">
        <v>354.02499399999999</v>
      </c>
      <c r="C495" s="39">
        <f t="shared" si="0"/>
        <v>1.3744685854483185E-2</v>
      </c>
      <c r="E495" s="121">
        <v>43378</v>
      </c>
      <c r="F495" s="9">
        <v>10316.450194999999</v>
      </c>
      <c r="G495" s="39">
        <f t="shared" si="1"/>
        <v>-3.0536778035927803E-3</v>
      </c>
    </row>
    <row r="496" spans="1:7" ht="14.25" customHeight="1" x14ac:dyDescent="0.25">
      <c r="A496" s="121">
        <v>43381</v>
      </c>
      <c r="B496" s="9">
        <v>349.22500600000001</v>
      </c>
      <c r="C496" s="39">
        <f t="shared" si="0"/>
        <v>-1.7151603785265923E-3</v>
      </c>
      <c r="E496" s="121">
        <v>43381</v>
      </c>
      <c r="F496" s="9">
        <v>10348.049805000001</v>
      </c>
      <c r="G496" s="39">
        <f t="shared" si="1"/>
        <v>4.5626417588222612E-3</v>
      </c>
    </row>
    <row r="497" spans="1:7" ht="14.25" customHeight="1" x14ac:dyDescent="0.25">
      <c r="A497" s="121">
        <v>43382</v>
      </c>
      <c r="B497" s="9">
        <v>349.82501200000002</v>
      </c>
      <c r="C497" s="39">
        <f t="shared" si="0"/>
        <v>5.7207579549523047E-4</v>
      </c>
      <c r="E497" s="121">
        <v>43382</v>
      </c>
      <c r="F497" s="9">
        <v>10301.049805000001</v>
      </c>
      <c r="G497" s="39">
        <f t="shared" si="1"/>
        <v>-1.5205381396478423E-2</v>
      </c>
    </row>
    <row r="498" spans="1:7" ht="14.25" customHeight="1" x14ac:dyDescent="0.25">
      <c r="A498" s="121">
        <v>43383</v>
      </c>
      <c r="B498" s="9">
        <v>349.625</v>
      </c>
      <c r="C498" s="39">
        <f t="shared" si="0"/>
        <v>2.0728431864449615E-2</v>
      </c>
      <c r="E498" s="121">
        <v>43383</v>
      </c>
      <c r="F498" s="9">
        <v>10460.099609000001</v>
      </c>
      <c r="G498" s="39">
        <f t="shared" si="1"/>
        <v>2.2028033141049397E-2</v>
      </c>
    </row>
    <row r="499" spans="1:7" ht="14.25" customHeight="1" x14ac:dyDescent="0.25">
      <c r="A499" s="121">
        <v>43384</v>
      </c>
      <c r="B499" s="9">
        <v>342.52499399999999</v>
      </c>
      <c r="C499" s="39">
        <f t="shared" si="0"/>
        <v>1.0249243837165523E-2</v>
      </c>
      <c r="E499" s="121">
        <v>43384</v>
      </c>
      <c r="F499" s="9">
        <v>10234.650390999999</v>
      </c>
      <c r="G499" s="39">
        <f t="shared" si="1"/>
        <v>-2.2711827070900026E-2</v>
      </c>
    </row>
    <row r="500" spans="1:7" ht="14.25" customHeight="1" x14ac:dyDescent="0.25">
      <c r="A500" s="121">
        <v>43385</v>
      </c>
      <c r="B500" s="9">
        <v>339.04998799999998</v>
      </c>
      <c r="C500" s="39">
        <f t="shared" si="0"/>
        <v>-1.4317953089882374E-2</v>
      </c>
      <c r="E500" s="121">
        <v>43385</v>
      </c>
      <c r="F500" s="9">
        <v>10472.5</v>
      </c>
      <c r="G500" s="39">
        <f t="shared" si="1"/>
        <v>-3.8049940546968086E-3</v>
      </c>
    </row>
    <row r="501" spans="1:7" ht="14.25" customHeight="1" x14ac:dyDescent="0.25">
      <c r="A501" s="121">
        <v>43388</v>
      </c>
      <c r="B501" s="9">
        <v>343.97500600000001</v>
      </c>
      <c r="C501" s="39">
        <f t="shared" si="0"/>
        <v>-3.1397378387891584E-2</v>
      </c>
      <c r="E501" s="121">
        <v>43388</v>
      </c>
      <c r="F501" s="9">
        <v>10512.5</v>
      </c>
      <c r="G501" s="39">
        <f t="shared" si="1"/>
        <v>-6.8258579560216415E-3</v>
      </c>
    </row>
    <row r="502" spans="1:7" ht="14.25" customHeight="1" x14ac:dyDescent="0.25">
      <c r="A502" s="121">
        <v>43389</v>
      </c>
      <c r="B502" s="9">
        <v>355.125</v>
      </c>
      <c r="C502" s="39">
        <f t="shared" si="0"/>
        <v>-3.5774243026501784E-3</v>
      </c>
      <c r="E502" s="121">
        <v>43389</v>
      </c>
      <c r="F502" s="9">
        <v>10584.75</v>
      </c>
      <c r="G502" s="39">
        <f t="shared" si="1"/>
        <v>1.2599212426693152E-2</v>
      </c>
    </row>
    <row r="503" spans="1:7" ht="14.25" customHeight="1" x14ac:dyDescent="0.25">
      <c r="A503" s="121">
        <v>43390</v>
      </c>
      <c r="B503" s="9">
        <v>356.39999399999999</v>
      </c>
      <c r="C503" s="39">
        <f t="shared" si="0"/>
        <v>-3.7736016771489078E-3</v>
      </c>
      <c r="E503" s="121">
        <v>43390</v>
      </c>
      <c r="F503" s="9">
        <v>10453.049805000001</v>
      </c>
      <c r="G503" s="39">
        <f t="shared" si="1"/>
        <v>1.450956251285862E-2</v>
      </c>
    </row>
    <row r="504" spans="1:7" ht="14.25" customHeight="1" x14ac:dyDescent="0.25">
      <c r="A504" s="121">
        <v>43392</v>
      </c>
      <c r="B504" s="9">
        <v>357.75</v>
      </c>
      <c r="C504" s="39">
        <f t="shared" si="0"/>
        <v>-3.5714285714285698E-2</v>
      </c>
      <c r="E504" s="121">
        <v>43392</v>
      </c>
      <c r="F504" s="9">
        <v>10303.549805000001</v>
      </c>
      <c r="G504" s="39">
        <f t="shared" si="1"/>
        <v>5.6904228788952071E-3</v>
      </c>
    </row>
    <row r="505" spans="1:7" ht="14.25" customHeight="1" x14ac:dyDescent="0.25">
      <c r="A505" s="121">
        <v>43395</v>
      </c>
      <c r="B505" s="9">
        <v>371</v>
      </c>
      <c r="C505" s="39">
        <f t="shared" si="0"/>
        <v>-6.7340067340071474E-4</v>
      </c>
      <c r="E505" s="121">
        <v>43395</v>
      </c>
      <c r="F505" s="9">
        <v>10245.25</v>
      </c>
      <c r="G505" s="39">
        <f t="shared" si="1"/>
        <v>9.7025857306740626E-3</v>
      </c>
    </row>
    <row r="506" spans="1:7" ht="14.25" customHeight="1" x14ac:dyDescent="0.25">
      <c r="A506" s="121">
        <v>43396</v>
      </c>
      <c r="B506" s="9">
        <v>371.25</v>
      </c>
      <c r="C506" s="39">
        <f t="shared" si="0"/>
        <v>-9.5378160089274466E-3</v>
      </c>
      <c r="E506" s="121">
        <v>43396</v>
      </c>
      <c r="F506" s="9">
        <v>10146.799805000001</v>
      </c>
      <c r="G506" s="39">
        <f t="shared" si="1"/>
        <v>-7.6236773515244716E-3</v>
      </c>
    </row>
    <row r="507" spans="1:7" ht="14.25" customHeight="1" x14ac:dyDescent="0.25">
      <c r="A507" s="121">
        <v>43397</v>
      </c>
      <c r="B507" s="9">
        <v>374.82501200000002</v>
      </c>
      <c r="C507" s="39">
        <f t="shared" si="0"/>
        <v>7.2556587168290942E-3</v>
      </c>
      <c r="E507" s="121">
        <v>43397</v>
      </c>
      <c r="F507" s="9">
        <v>10224.75</v>
      </c>
      <c r="G507" s="39">
        <f t="shared" si="1"/>
        <v>9.8617867973058715E-3</v>
      </c>
    </row>
    <row r="508" spans="1:7" ht="14.25" customHeight="1" x14ac:dyDescent="0.25">
      <c r="A508" s="121">
        <v>43398</v>
      </c>
      <c r="B508" s="9">
        <v>372.125</v>
      </c>
      <c r="C508" s="39">
        <f t="shared" si="0"/>
        <v>5.0641458474003365E-3</v>
      </c>
      <c r="E508" s="121">
        <v>43398</v>
      </c>
      <c r="F508" s="9">
        <v>10124.900390999999</v>
      </c>
      <c r="G508" s="39">
        <f t="shared" si="1"/>
        <v>9.4616541375871499E-3</v>
      </c>
    </row>
    <row r="509" spans="1:7" ht="14.25" customHeight="1" x14ac:dyDescent="0.25">
      <c r="A509" s="121">
        <v>43399</v>
      </c>
      <c r="B509" s="9">
        <v>370.25</v>
      </c>
      <c r="C509" s="39">
        <f t="shared" si="0"/>
        <v>-2.2233024949683822E-3</v>
      </c>
      <c r="E509" s="121">
        <v>43399</v>
      </c>
      <c r="F509" s="9">
        <v>10030</v>
      </c>
      <c r="G509" s="39">
        <f t="shared" si="1"/>
        <v>-2.1544517520391659E-2</v>
      </c>
    </row>
    <row r="510" spans="1:7" ht="14.25" customHeight="1" x14ac:dyDescent="0.25">
      <c r="A510" s="121">
        <v>43402</v>
      </c>
      <c r="B510" s="9">
        <v>371.07501200000002</v>
      </c>
      <c r="C510" s="39">
        <f t="shared" si="0"/>
        <v>-2.9361695925556708E-2</v>
      </c>
      <c r="E510" s="121">
        <v>43402</v>
      </c>
      <c r="F510" s="9">
        <v>10250.849609000001</v>
      </c>
      <c r="G510" s="39">
        <f t="shared" si="1"/>
        <v>5.1428867262641731E-3</v>
      </c>
    </row>
    <row r="511" spans="1:7" ht="14.25" customHeight="1" x14ac:dyDescent="0.25">
      <c r="A511" s="121">
        <v>43403</v>
      </c>
      <c r="B511" s="9">
        <v>382.29998799999998</v>
      </c>
      <c r="C511" s="39">
        <f t="shared" si="0"/>
        <v>-3.532677371668258E-2</v>
      </c>
      <c r="E511" s="121">
        <v>43403</v>
      </c>
      <c r="F511" s="9">
        <v>10198.400390999999</v>
      </c>
      <c r="G511" s="39">
        <f t="shared" si="1"/>
        <v>-1.8119425517945875E-2</v>
      </c>
    </row>
    <row r="512" spans="1:7" ht="14.25" customHeight="1" x14ac:dyDescent="0.25">
      <c r="A512" s="121">
        <v>43404</v>
      </c>
      <c r="B512" s="9">
        <v>396.29998799999998</v>
      </c>
      <c r="C512" s="39">
        <f t="shared" si="0"/>
        <v>7.1155984752222512E-3</v>
      </c>
      <c r="E512" s="121">
        <v>43404</v>
      </c>
      <c r="F512" s="9">
        <v>10386.599609000001</v>
      </c>
      <c r="G512" s="39">
        <f t="shared" si="1"/>
        <v>5.9240340105515266E-4</v>
      </c>
    </row>
    <row r="513" spans="1:7" ht="14.25" customHeight="1" x14ac:dyDescent="0.25">
      <c r="A513" s="121">
        <v>43405</v>
      </c>
      <c r="B513" s="9">
        <v>393.5</v>
      </c>
      <c r="C513" s="39">
        <f t="shared" si="0"/>
        <v>-6.4385508831273919E-3</v>
      </c>
      <c r="E513" s="121">
        <v>43405</v>
      </c>
      <c r="F513" s="9">
        <v>10380.450194999999</v>
      </c>
      <c r="G513" s="39">
        <f t="shared" si="1"/>
        <v>-1.6350782242016582E-2</v>
      </c>
    </row>
    <row r="514" spans="1:7" ht="14.25" customHeight="1" x14ac:dyDescent="0.25">
      <c r="A514" s="121">
        <v>43406</v>
      </c>
      <c r="B514" s="9">
        <v>396.04998799999998</v>
      </c>
      <c r="C514" s="39">
        <f t="shared" si="0"/>
        <v>1.9302535662412579E-2</v>
      </c>
      <c r="E514" s="121">
        <v>43406</v>
      </c>
      <c r="F514" s="9">
        <v>10553</v>
      </c>
      <c r="G514" s="39">
        <f t="shared" si="1"/>
        <v>2.7556062333713438E-3</v>
      </c>
    </row>
    <row r="515" spans="1:7" ht="14.25" customHeight="1" x14ac:dyDescent="0.25">
      <c r="A515" s="121">
        <v>43409</v>
      </c>
      <c r="B515" s="9">
        <v>388.54998799999998</v>
      </c>
      <c r="C515" s="39">
        <f t="shared" si="0"/>
        <v>-1.4582805414642852E-2</v>
      </c>
      <c r="E515" s="121">
        <v>43409</v>
      </c>
      <c r="F515" s="9">
        <v>10524</v>
      </c>
      <c r="G515" s="39">
        <f t="shared" si="1"/>
        <v>-5.6980056980060478E-4</v>
      </c>
    </row>
    <row r="516" spans="1:7" ht="14.25" customHeight="1" x14ac:dyDescent="0.25">
      <c r="A516" s="121">
        <v>43410</v>
      </c>
      <c r="B516" s="9">
        <v>394.29998799999998</v>
      </c>
      <c r="C516" s="39">
        <f t="shared" si="0"/>
        <v>-1.0229085660495851E-2</v>
      </c>
      <c r="E516" s="121">
        <v>43410</v>
      </c>
      <c r="F516" s="9">
        <v>10530</v>
      </c>
      <c r="G516" s="39">
        <f t="shared" si="1"/>
        <v>-6.4538410020896775E-3</v>
      </c>
    </row>
    <row r="517" spans="1:7" ht="14.25" customHeight="1" x14ac:dyDescent="0.25">
      <c r="A517" s="121">
        <v>43411</v>
      </c>
      <c r="B517" s="9">
        <v>398.375</v>
      </c>
      <c r="C517" s="39">
        <f t="shared" si="0"/>
        <v>9.183027232425589E-3</v>
      </c>
      <c r="E517" s="121">
        <v>43411</v>
      </c>
      <c r="F517" s="9">
        <v>10598.400390999999</v>
      </c>
      <c r="G517" s="39">
        <f t="shared" si="1"/>
        <v>1.2470426403683454E-3</v>
      </c>
    </row>
    <row r="518" spans="1:7" ht="14.25" customHeight="1" x14ac:dyDescent="0.25">
      <c r="A518" s="121">
        <v>43413</v>
      </c>
      <c r="B518" s="9">
        <v>394.75</v>
      </c>
      <c r="C518" s="39">
        <f t="shared" si="0"/>
        <v>-6.9614329264444663E-4</v>
      </c>
      <c r="E518" s="121">
        <v>43413</v>
      </c>
      <c r="F518" s="9">
        <v>10585.200194999999</v>
      </c>
      <c r="G518" s="39">
        <f t="shared" si="1"/>
        <v>9.8261813439826096E-3</v>
      </c>
    </row>
    <row r="519" spans="1:7" ht="14.25" customHeight="1" x14ac:dyDescent="0.25">
      <c r="A519" s="121">
        <v>43416</v>
      </c>
      <c r="B519" s="9">
        <v>395.02499399999999</v>
      </c>
      <c r="C519" s="39">
        <f t="shared" si="0"/>
        <v>6.3275949367058715E-5</v>
      </c>
      <c r="E519" s="121">
        <v>43416</v>
      </c>
      <c r="F519" s="9">
        <v>10482.200194999999</v>
      </c>
      <c r="G519" s="39">
        <f t="shared" si="1"/>
        <v>-9.4778932199386379E-3</v>
      </c>
    </row>
    <row r="520" spans="1:7" ht="14.25" customHeight="1" x14ac:dyDescent="0.25">
      <c r="A520" s="121">
        <v>43417</v>
      </c>
      <c r="B520" s="9">
        <v>395</v>
      </c>
      <c r="C520" s="39">
        <f t="shared" si="0"/>
        <v>1.2656791614418239E-4</v>
      </c>
      <c r="E520" s="121">
        <v>43417</v>
      </c>
      <c r="F520" s="9">
        <v>10582.5</v>
      </c>
      <c r="G520" s="39">
        <f t="shared" si="1"/>
        <v>5.8623479991259941E-4</v>
      </c>
    </row>
    <row r="521" spans="1:7" ht="14.25" customHeight="1" x14ac:dyDescent="0.25">
      <c r="A521" s="121">
        <v>43418</v>
      </c>
      <c r="B521" s="9">
        <v>394.95001200000002</v>
      </c>
      <c r="C521" s="39">
        <f t="shared" si="0"/>
        <v>-3.6578759383129045E-3</v>
      </c>
      <c r="E521" s="121">
        <v>43418</v>
      </c>
      <c r="F521" s="9">
        <v>10576.299805000001</v>
      </c>
      <c r="G521" s="39">
        <f t="shared" si="1"/>
        <v>-3.8053622366605033E-3</v>
      </c>
    </row>
    <row r="522" spans="1:7" ht="14.25" customHeight="1" x14ac:dyDescent="0.25">
      <c r="A522" s="121">
        <v>43419</v>
      </c>
      <c r="B522" s="9">
        <v>396.39999399999999</v>
      </c>
      <c r="C522" s="39">
        <f t="shared" si="0"/>
        <v>-3.456728101917883E-3</v>
      </c>
      <c r="E522" s="121">
        <v>43419</v>
      </c>
      <c r="F522" s="9">
        <v>10616.700194999999</v>
      </c>
      <c r="G522" s="39">
        <f t="shared" si="1"/>
        <v>-6.1316956061784333E-3</v>
      </c>
    </row>
    <row r="523" spans="1:7" ht="14.25" customHeight="1" x14ac:dyDescent="0.25">
      <c r="A523" s="121">
        <v>43420</v>
      </c>
      <c r="B523" s="9">
        <v>397.77499399999999</v>
      </c>
      <c r="C523" s="39">
        <f t="shared" si="0"/>
        <v>1.473212755102038E-2</v>
      </c>
      <c r="E523" s="121">
        <v>43420</v>
      </c>
      <c r="F523" s="9">
        <v>10682.200194999999</v>
      </c>
      <c r="G523" s="39">
        <f t="shared" si="1"/>
        <v>-7.5441025187445998E-3</v>
      </c>
    </row>
    <row r="524" spans="1:7" ht="14.25" customHeight="1" x14ac:dyDescent="0.25">
      <c r="A524" s="121">
        <v>43423</v>
      </c>
      <c r="B524" s="9">
        <v>392</v>
      </c>
      <c r="C524" s="39">
        <f t="shared" si="0"/>
        <v>2.4293876208993925E-3</v>
      </c>
      <c r="E524" s="121">
        <v>43423</v>
      </c>
      <c r="F524" s="9">
        <v>10763.400390999999</v>
      </c>
      <c r="G524" s="39">
        <f t="shared" si="1"/>
        <v>1.0059889457622928E-2</v>
      </c>
    </row>
    <row r="525" spans="1:7" ht="14.25" customHeight="1" x14ac:dyDescent="0.25">
      <c r="A525" s="121">
        <v>43424</v>
      </c>
      <c r="B525" s="9">
        <v>391.04998799999998</v>
      </c>
      <c r="C525" s="39">
        <f t="shared" si="0"/>
        <v>6.4341785541375263E-3</v>
      </c>
      <c r="E525" s="121">
        <v>43424</v>
      </c>
      <c r="F525" s="9">
        <v>10656.200194999999</v>
      </c>
      <c r="G525" s="39">
        <f t="shared" si="1"/>
        <v>5.297181714515542E-3</v>
      </c>
    </row>
    <row r="526" spans="1:7" ht="14.25" customHeight="1" x14ac:dyDescent="0.25">
      <c r="A526" s="121">
        <v>43425</v>
      </c>
      <c r="B526" s="9">
        <v>388.54998799999998</v>
      </c>
      <c r="C526" s="39">
        <f t="shared" si="0"/>
        <v>1.6747335079115633E-2</v>
      </c>
      <c r="E526" s="121">
        <v>43425</v>
      </c>
      <c r="F526" s="9">
        <v>10600.049805000001</v>
      </c>
      <c r="G526" s="39">
        <f t="shared" si="1"/>
        <v>6.9631942432375471E-3</v>
      </c>
    </row>
    <row r="527" spans="1:7" ht="14.25" customHeight="1" x14ac:dyDescent="0.25">
      <c r="A527" s="121">
        <v>43426</v>
      </c>
      <c r="B527" s="9">
        <v>382.14999399999999</v>
      </c>
      <c r="C527" s="39">
        <f t="shared" si="0"/>
        <v>9.9101481486809639E-3</v>
      </c>
      <c r="E527" s="121">
        <v>43426</v>
      </c>
      <c r="F527" s="9">
        <v>10526.75</v>
      </c>
      <c r="G527" s="39">
        <f t="shared" si="1"/>
        <v>-9.5825990955343832E-3</v>
      </c>
    </row>
    <row r="528" spans="1:7" ht="14.25" customHeight="1" x14ac:dyDescent="0.25">
      <c r="A528" s="121">
        <v>43430</v>
      </c>
      <c r="B528" s="9">
        <v>378.39999399999999</v>
      </c>
      <c r="C528" s="39">
        <f t="shared" si="0"/>
        <v>-4.8652360289284102E-3</v>
      </c>
      <c r="E528" s="121">
        <v>43430</v>
      </c>
      <c r="F528" s="9">
        <v>10628.599609000001</v>
      </c>
      <c r="G528" s="39">
        <f t="shared" si="1"/>
        <v>-5.3342818452594143E-3</v>
      </c>
    </row>
    <row r="529" spans="1:7" ht="14.25" customHeight="1" x14ac:dyDescent="0.25">
      <c r="A529" s="121">
        <v>43431</v>
      </c>
      <c r="B529" s="9">
        <v>380.25</v>
      </c>
      <c r="C529" s="39">
        <f t="shared" si="0"/>
        <v>-2.6883326106615923E-3</v>
      </c>
      <c r="E529" s="121">
        <v>43431</v>
      </c>
      <c r="F529" s="9">
        <v>10685.599609000001</v>
      </c>
      <c r="G529" s="39">
        <f t="shared" si="1"/>
        <v>-4.0311870867981714E-3</v>
      </c>
    </row>
    <row r="530" spans="1:7" ht="14.25" customHeight="1" x14ac:dyDescent="0.25">
      <c r="A530" s="121">
        <v>43432</v>
      </c>
      <c r="B530" s="9">
        <v>381.27499399999999</v>
      </c>
      <c r="C530" s="39">
        <f t="shared" si="0"/>
        <v>7.7974807544576308E-3</v>
      </c>
      <c r="E530" s="121">
        <v>43432</v>
      </c>
      <c r="F530" s="9">
        <v>10728.849609000001</v>
      </c>
      <c r="G530" s="39">
        <f t="shared" si="1"/>
        <v>-1.1958207121308129E-2</v>
      </c>
    </row>
    <row r="531" spans="1:7" ht="14.25" customHeight="1" x14ac:dyDescent="0.25">
      <c r="A531" s="121">
        <v>43433</v>
      </c>
      <c r="B531" s="9">
        <v>378.32501200000002</v>
      </c>
      <c r="C531" s="39">
        <f t="shared" si="0"/>
        <v>6.7860236596797296E-3</v>
      </c>
      <c r="E531" s="121">
        <v>43433</v>
      </c>
      <c r="F531" s="9">
        <v>10858.700194999999</v>
      </c>
      <c r="G531" s="39">
        <f t="shared" si="1"/>
        <v>-1.6594851403223254E-3</v>
      </c>
    </row>
    <row r="532" spans="1:7" ht="14.25" customHeight="1" x14ac:dyDescent="0.25">
      <c r="A532" s="121">
        <v>43434</v>
      </c>
      <c r="B532" s="9">
        <v>375.77499399999999</v>
      </c>
      <c r="C532" s="39">
        <f t="shared" si="0"/>
        <v>-2.8526256677305906E-3</v>
      </c>
      <c r="E532" s="121">
        <v>43434</v>
      </c>
      <c r="F532" s="9">
        <v>10876.75</v>
      </c>
      <c r="G532" s="39">
        <f t="shared" si="1"/>
        <v>-6.4316067531866583E-4</v>
      </c>
    </row>
    <row r="533" spans="1:7" ht="14.25" customHeight="1" x14ac:dyDescent="0.25">
      <c r="A533" s="121">
        <v>43437</v>
      </c>
      <c r="B533" s="9">
        <v>376.85000600000001</v>
      </c>
      <c r="C533" s="39">
        <f t="shared" si="0"/>
        <v>-8.4198976477799503E-3</v>
      </c>
      <c r="E533" s="121">
        <v>43437</v>
      </c>
      <c r="F533" s="9">
        <v>10883.75</v>
      </c>
      <c r="G533" s="39">
        <f t="shared" si="1"/>
        <v>1.3110078660472091E-3</v>
      </c>
    </row>
    <row r="534" spans="1:7" ht="14.25" customHeight="1" x14ac:dyDescent="0.25">
      <c r="A534" s="121">
        <v>43438</v>
      </c>
      <c r="B534" s="9">
        <v>380.04998799999998</v>
      </c>
      <c r="C534" s="39">
        <f t="shared" si="0"/>
        <v>3.6310821775216162E-3</v>
      </c>
      <c r="E534" s="121">
        <v>43438</v>
      </c>
      <c r="F534" s="9">
        <v>10869.5</v>
      </c>
      <c r="G534" s="39">
        <f t="shared" si="1"/>
        <v>8.031198087694591E-3</v>
      </c>
    </row>
    <row r="535" spans="1:7" ht="14.25" customHeight="1" x14ac:dyDescent="0.25">
      <c r="A535" s="121">
        <v>43439</v>
      </c>
      <c r="B535" s="9">
        <v>378.67498799999998</v>
      </c>
      <c r="C535" s="39">
        <f t="shared" si="0"/>
        <v>1.7806746979387E-2</v>
      </c>
      <c r="E535" s="121">
        <v>43439</v>
      </c>
      <c r="F535" s="9">
        <v>10782.900390999999</v>
      </c>
      <c r="G535" s="39">
        <f t="shared" si="1"/>
        <v>1.7144365780745741E-2</v>
      </c>
    </row>
    <row r="536" spans="1:7" ht="14.25" customHeight="1" x14ac:dyDescent="0.25">
      <c r="A536" s="121">
        <v>43440</v>
      </c>
      <c r="B536" s="9">
        <v>372.04998799999998</v>
      </c>
      <c r="C536" s="39">
        <f t="shared" si="0"/>
        <v>-1.0740340639323609E-3</v>
      </c>
      <c r="E536" s="121">
        <v>43440</v>
      </c>
      <c r="F536" s="9">
        <v>10601.150390999999</v>
      </c>
      <c r="G536" s="39">
        <f t="shared" si="1"/>
        <v>-8.6546099397170062E-3</v>
      </c>
    </row>
    <row r="537" spans="1:7" ht="14.25" customHeight="1" x14ac:dyDescent="0.25">
      <c r="A537" s="121">
        <v>43441</v>
      </c>
      <c r="B537" s="9">
        <v>372.45001200000002</v>
      </c>
      <c r="C537" s="39">
        <f t="shared" si="0"/>
        <v>5.3310101032835178E-3</v>
      </c>
      <c r="E537" s="121">
        <v>43441</v>
      </c>
      <c r="F537" s="9">
        <v>10693.700194999999</v>
      </c>
      <c r="G537" s="39">
        <f t="shared" si="1"/>
        <v>1.9569144743409872E-2</v>
      </c>
    </row>
    <row r="538" spans="1:7" ht="14.25" customHeight="1" x14ac:dyDescent="0.25">
      <c r="A538" s="121">
        <v>43444</v>
      </c>
      <c r="B538" s="9">
        <v>370.47500600000001</v>
      </c>
      <c r="C538" s="39">
        <f t="shared" si="0"/>
        <v>-4.7211116371959072E-4</v>
      </c>
      <c r="E538" s="121">
        <v>43444</v>
      </c>
      <c r="F538" s="9">
        <v>10488.450194999999</v>
      </c>
      <c r="G538" s="39">
        <f t="shared" si="1"/>
        <v>-5.7540364626696983E-3</v>
      </c>
    </row>
    <row r="539" spans="1:7" ht="14.25" customHeight="1" x14ac:dyDescent="0.25">
      <c r="A539" s="121">
        <v>43445</v>
      </c>
      <c r="B539" s="9">
        <v>370.64999399999999</v>
      </c>
      <c r="C539" s="39">
        <f t="shared" si="0"/>
        <v>-4.2313438769882028E-3</v>
      </c>
      <c r="E539" s="121">
        <v>43445</v>
      </c>
      <c r="F539" s="9">
        <v>10549.150390999999</v>
      </c>
      <c r="G539" s="39">
        <f t="shared" si="1"/>
        <v>-1.7550404639976369E-2</v>
      </c>
    </row>
    <row r="540" spans="1:7" ht="14.25" customHeight="1" x14ac:dyDescent="0.25">
      <c r="A540" s="121">
        <v>43446</v>
      </c>
      <c r="B540" s="9">
        <v>372.22500600000001</v>
      </c>
      <c r="C540" s="39">
        <f t="shared" si="0"/>
        <v>1.3615630521631727E-2</v>
      </c>
      <c r="E540" s="121">
        <v>43446</v>
      </c>
      <c r="F540" s="9">
        <v>10737.599609000001</v>
      </c>
      <c r="G540" s="39">
        <f t="shared" si="1"/>
        <v>-4.999300098212367E-3</v>
      </c>
    </row>
    <row r="541" spans="1:7" ht="14.25" customHeight="1" x14ac:dyDescent="0.25">
      <c r="A541" s="121">
        <v>43447</v>
      </c>
      <c r="B541" s="9">
        <v>367.22500600000001</v>
      </c>
      <c r="C541" s="39">
        <f t="shared" si="0"/>
        <v>1.3803574897311099E-2</v>
      </c>
      <c r="E541" s="121">
        <v>43447</v>
      </c>
      <c r="F541" s="9">
        <v>10791.549805000001</v>
      </c>
      <c r="G541" s="39">
        <f t="shared" si="1"/>
        <v>-1.2864239572758507E-3</v>
      </c>
    </row>
    <row r="542" spans="1:7" ht="14.25" customHeight="1" x14ac:dyDescent="0.25">
      <c r="A542" s="121">
        <v>43448</v>
      </c>
      <c r="B542" s="9">
        <v>362.22500600000001</v>
      </c>
      <c r="C542" s="39">
        <f t="shared" si="0"/>
        <v>1.3358494445931068E-2</v>
      </c>
      <c r="E542" s="121">
        <v>43448</v>
      </c>
      <c r="F542" s="9">
        <v>10805.450194999999</v>
      </c>
      <c r="G542" s="39">
        <f t="shared" si="1"/>
        <v>-7.6135885581299911E-3</v>
      </c>
    </row>
    <row r="543" spans="1:7" ht="14.25" customHeight="1" x14ac:dyDescent="0.25">
      <c r="A543" s="121">
        <v>43451</v>
      </c>
      <c r="B543" s="9">
        <v>357.45001200000002</v>
      </c>
      <c r="C543" s="39">
        <f t="shared" si="0"/>
        <v>-2.3827340167756006E-2</v>
      </c>
      <c r="E543" s="121">
        <v>43451</v>
      </c>
      <c r="F543" s="9">
        <v>10888.349609000001</v>
      </c>
      <c r="G543" s="39">
        <f t="shared" si="1"/>
        <v>-1.8655371984029889E-3</v>
      </c>
    </row>
    <row r="544" spans="1:7" ht="14.25" customHeight="1" x14ac:dyDescent="0.25">
      <c r="A544" s="121">
        <v>43452</v>
      </c>
      <c r="B544" s="9">
        <v>366.17498799999998</v>
      </c>
      <c r="C544" s="39">
        <f t="shared" si="0"/>
        <v>-1.2406462340877278E-2</v>
      </c>
      <c r="E544" s="121">
        <v>43452</v>
      </c>
      <c r="F544" s="9">
        <v>10908.700194999999</v>
      </c>
      <c r="G544" s="39">
        <f t="shared" si="1"/>
        <v>-5.3431210089912584E-3</v>
      </c>
    </row>
    <row r="545" spans="1:7" ht="14.25" customHeight="1" x14ac:dyDescent="0.25">
      <c r="A545" s="121">
        <v>43453</v>
      </c>
      <c r="B545" s="9">
        <v>370.77499399999999</v>
      </c>
      <c r="C545" s="39">
        <f t="shared" si="0"/>
        <v>1.5474136254707282E-2</v>
      </c>
      <c r="E545" s="121">
        <v>43453</v>
      </c>
      <c r="F545" s="9">
        <v>10967.299805000001</v>
      </c>
      <c r="G545" s="39">
        <f t="shared" si="1"/>
        <v>1.4244007525994196E-3</v>
      </c>
    </row>
    <row r="546" spans="1:7" ht="14.25" customHeight="1" x14ac:dyDescent="0.25">
      <c r="A546" s="121">
        <v>43454</v>
      </c>
      <c r="B546" s="9">
        <v>365.125</v>
      </c>
      <c r="C546" s="39">
        <f t="shared" si="0"/>
        <v>8.0060568761506357E-3</v>
      </c>
      <c r="E546" s="121">
        <v>43454</v>
      </c>
      <c r="F546" s="9">
        <v>10951.700194999999</v>
      </c>
      <c r="G546" s="39">
        <f t="shared" si="1"/>
        <v>1.8383875302212971E-2</v>
      </c>
    </row>
    <row r="547" spans="1:7" ht="14.25" customHeight="1" x14ac:dyDescent="0.25">
      <c r="A547" s="121">
        <v>43455</v>
      </c>
      <c r="B547" s="9">
        <v>362.22500600000001</v>
      </c>
      <c r="C547" s="39">
        <f t="shared" si="0"/>
        <v>-3.1647581699346672E-3</v>
      </c>
      <c r="E547" s="121">
        <v>43455</v>
      </c>
      <c r="F547" s="9">
        <v>10754</v>
      </c>
      <c r="G547" s="39">
        <f t="shared" si="1"/>
        <v>8.486894546818613E-3</v>
      </c>
    </row>
    <row r="548" spans="1:7" ht="14.25" customHeight="1" x14ac:dyDescent="0.25">
      <c r="A548" s="121">
        <v>43458</v>
      </c>
      <c r="B548" s="9">
        <v>363.375</v>
      </c>
      <c r="C548" s="39">
        <f t="shared" si="0"/>
        <v>2.5520429559262592E-3</v>
      </c>
      <c r="E548" s="121">
        <v>43458</v>
      </c>
      <c r="F548" s="9">
        <v>10663.5</v>
      </c>
      <c r="G548" s="39">
        <f t="shared" si="1"/>
        <v>-6.1836476202190571E-3</v>
      </c>
    </row>
    <row r="549" spans="1:7" ht="14.25" customHeight="1" x14ac:dyDescent="0.25">
      <c r="A549" s="121">
        <v>43460</v>
      </c>
      <c r="B549" s="9">
        <v>362.45001200000002</v>
      </c>
      <c r="C549" s="39">
        <f t="shared" si="0"/>
        <v>2.7666342974141944E-3</v>
      </c>
      <c r="E549" s="121">
        <v>43460</v>
      </c>
      <c r="F549" s="9">
        <v>10729.849609000001</v>
      </c>
      <c r="G549" s="39">
        <f t="shared" si="1"/>
        <v>-4.6336849388270984E-3</v>
      </c>
    </row>
    <row r="550" spans="1:7" ht="14.25" customHeight="1" x14ac:dyDescent="0.25">
      <c r="A550" s="121">
        <v>43461</v>
      </c>
      <c r="B550" s="9">
        <v>361.45001200000002</v>
      </c>
      <c r="C550" s="39">
        <f t="shared" si="0"/>
        <v>-1.2229216770514695E-2</v>
      </c>
      <c r="E550" s="121">
        <v>43461</v>
      </c>
      <c r="F550" s="9">
        <v>10779.799805000001</v>
      </c>
      <c r="G550" s="39">
        <f t="shared" si="1"/>
        <v>-7.3758122189021558E-3</v>
      </c>
    </row>
    <row r="551" spans="1:7" ht="14.25" customHeight="1" x14ac:dyDescent="0.25">
      <c r="A551" s="121">
        <v>43462</v>
      </c>
      <c r="B551" s="9">
        <v>365.92498799999998</v>
      </c>
      <c r="C551" s="39">
        <f t="shared" si="0"/>
        <v>-1.296413776687988E-3</v>
      </c>
      <c r="E551" s="121">
        <v>43462</v>
      </c>
      <c r="F551" s="9">
        <v>10859.900390999999</v>
      </c>
      <c r="G551" s="39">
        <f t="shared" si="1"/>
        <v>-2.4390350769964986E-4</v>
      </c>
    </row>
    <row r="552" spans="1:7" ht="14.25" customHeight="1" x14ac:dyDescent="0.25">
      <c r="A552" s="121">
        <v>43465</v>
      </c>
      <c r="B552" s="9">
        <v>366.39999399999999</v>
      </c>
      <c r="C552" s="39">
        <f t="shared" si="0"/>
        <v>-7.9199022675453534E-3</v>
      </c>
      <c r="E552" s="121">
        <v>43465</v>
      </c>
      <c r="F552" s="9">
        <v>10862.549805000001</v>
      </c>
      <c r="G552" s="39">
        <f t="shared" si="1"/>
        <v>5.7190133490359063E-3</v>
      </c>
    </row>
    <row r="553" spans="1:7" ht="14.25" customHeight="1" x14ac:dyDescent="0.25">
      <c r="A553" s="121">
        <v>43466</v>
      </c>
      <c r="B553" s="9">
        <v>369.32501200000002</v>
      </c>
      <c r="C553" s="39">
        <f t="shared" si="0"/>
        <v>-4.0596521432900712E-4</v>
      </c>
      <c r="E553" s="121">
        <v>43466</v>
      </c>
      <c r="F553" s="9">
        <v>10800.78</v>
      </c>
      <c r="G553" s="39">
        <f t="shared" si="1"/>
        <v>7.6719944405834184E-4</v>
      </c>
    </row>
    <row r="554" spans="1:7" ht="14.25" customHeight="1" x14ac:dyDescent="0.25">
      <c r="A554" s="121">
        <v>43467</v>
      </c>
      <c r="B554" s="9">
        <v>369.47500600000001</v>
      </c>
      <c r="C554" s="39">
        <f t="shared" si="0"/>
        <v>-1.0577712062482481E-2</v>
      </c>
      <c r="E554" s="121">
        <v>43467</v>
      </c>
      <c r="F554" s="9">
        <v>10792.5</v>
      </c>
      <c r="G554" s="39">
        <f t="shared" si="1"/>
        <v>1.1267539647215941E-2</v>
      </c>
    </row>
    <row r="555" spans="1:7" ht="14.25" customHeight="1" x14ac:dyDescent="0.25">
      <c r="A555" s="121">
        <v>43468</v>
      </c>
      <c r="B555" s="9">
        <v>373.42498799999998</v>
      </c>
      <c r="C555" s="39">
        <f t="shared" si="0"/>
        <v>-3.9343985692354977E-3</v>
      </c>
      <c r="E555" s="121">
        <v>43468</v>
      </c>
      <c r="F555" s="9">
        <v>10672.25</v>
      </c>
      <c r="G555" s="39">
        <f t="shared" si="1"/>
        <v>-5.1363674167730355E-3</v>
      </c>
    </row>
    <row r="556" spans="1:7" ht="14.25" customHeight="1" x14ac:dyDescent="0.25">
      <c r="A556" s="121">
        <v>43469</v>
      </c>
      <c r="B556" s="9">
        <v>374.89999399999999</v>
      </c>
      <c r="C556" s="39">
        <f t="shared" si="0"/>
        <v>-5.1745043623536713E-3</v>
      </c>
      <c r="E556" s="121">
        <v>43469</v>
      </c>
      <c r="F556" s="9">
        <v>10727.349609000001</v>
      </c>
      <c r="G556" s="39">
        <f t="shared" si="1"/>
        <v>-4.1265338016556186E-3</v>
      </c>
    </row>
    <row r="557" spans="1:7" ht="14.25" customHeight="1" x14ac:dyDescent="0.25">
      <c r="A557" s="121">
        <v>43472</v>
      </c>
      <c r="B557" s="9">
        <v>376.85000600000001</v>
      </c>
      <c r="C557" s="39">
        <f t="shared" si="0"/>
        <v>6.6327868915472266E-5</v>
      </c>
      <c r="E557" s="121">
        <v>43472</v>
      </c>
      <c r="F557" s="9">
        <v>10771.799805000001</v>
      </c>
      <c r="G557" s="39">
        <f t="shared" si="1"/>
        <v>-2.8096800082774154E-3</v>
      </c>
    </row>
    <row r="558" spans="1:7" ht="14.25" customHeight="1" x14ac:dyDescent="0.25">
      <c r="A558" s="121">
        <v>43473</v>
      </c>
      <c r="B558" s="9">
        <v>376.82501200000002</v>
      </c>
      <c r="C558" s="39">
        <f t="shared" si="0"/>
        <v>1.7208799550531451E-2</v>
      </c>
      <c r="E558" s="121">
        <v>43473</v>
      </c>
      <c r="F558" s="9">
        <v>10802.150390999999</v>
      </c>
      <c r="G558" s="39">
        <f t="shared" si="1"/>
        <v>-4.8824749626631414E-3</v>
      </c>
    </row>
    <row r="559" spans="1:7" ht="14.25" customHeight="1" x14ac:dyDescent="0.25">
      <c r="A559" s="121">
        <v>43474</v>
      </c>
      <c r="B559" s="9">
        <v>370.45001200000002</v>
      </c>
      <c r="C559" s="39">
        <f t="shared" si="0"/>
        <v>-1.6721932315859278E-2</v>
      </c>
      <c r="E559" s="121">
        <v>43474</v>
      </c>
      <c r="F559" s="9">
        <v>10855.150390999999</v>
      </c>
      <c r="G559" s="39">
        <f t="shared" si="1"/>
        <v>3.1003532945439449E-3</v>
      </c>
    </row>
    <row r="560" spans="1:7" ht="14.25" customHeight="1" x14ac:dyDescent="0.25">
      <c r="A560" s="121">
        <v>43475</v>
      </c>
      <c r="B560" s="9">
        <v>376.75</v>
      </c>
      <c r="C560" s="39">
        <f t="shared" si="0"/>
        <v>-5.3461660143276912E-3</v>
      </c>
      <c r="E560" s="121">
        <v>43475</v>
      </c>
      <c r="F560" s="9">
        <v>10821.599609000001</v>
      </c>
      <c r="G560" s="39">
        <f t="shared" si="1"/>
        <v>2.4686926311474622E-3</v>
      </c>
    </row>
    <row r="561" spans="1:7" ht="14.25" customHeight="1" x14ac:dyDescent="0.25">
      <c r="A561" s="121">
        <v>43476</v>
      </c>
      <c r="B561" s="9">
        <v>378.77499399999999</v>
      </c>
      <c r="C561" s="39">
        <f t="shared" si="0"/>
        <v>5.1747679636509059E-3</v>
      </c>
      <c r="E561" s="121">
        <v>43476</v>
      </c>
      <c r="F561" s="9">
        <v>10794.950194999999</v>
      </c>
      <c r="G561" s="39">
        <f t="shared" si="1"/>
        <v>5.3410993227880343E-3</v>
      </c>
    </row>
    <row r="562" spans="1:7" ht="14.25" customHeight="1" x14ac:dyDescent="0.25">
      <c r="A562" s="121">
        <v>43479</v>
      </c>
      <c r="B562" s="9">
        <v>376.82501200000002</v>
      </c>
      <c r="C562" s="39">
        <f t="shared" si="0"/>
        <v>-4.951148509601877E-3</v>
      </c>
      <c r="E562" s="121">
        <v>43479</v>
      </c>
      <c r="F562" s="9">
        <v>10737.599609000001</v>
      </c>
      <c r="G562" s="39">
        <f t="shared" si="1"/>
        <v>-1.3704688124372089E-2</v>
      </c>
    </row>
    <row r="563" spans="1:7" ht="14.25" customHeight="1" x14ac:dyDescent="0.25">
      <c r="A563" s="121">
        <v>43480</v>
      </c>
      <c r="B563" s="9">
        <v>378.70001200000002</v>
      </c>
      <c r="C563" s="39">
        <f t="shared" si="0"/>
        <v>1.1485090996021796E-2</v>
      </c>
      <c r="E563" s="121">
        <v>43480</v>
      </c>
      <c r="F563" s="9">
        <v>10886.799805000001</v>
      </c>
      <c r="G563" s="39">
        <f t="shared" si="1"/>
        <v>-3.2138692806171765E-4</v>
      </c>
    </row>
    <row r="564" spans="1:7" ht="14.25" customHeight="1" x14ac:dyDescent="0.25">
      <c r="A564" s="121">
        <v>43481</v>
      </c>
      <c r="B564" s="9">
        <v>374.39999399999999</v>
      </c>
      <c r="C564" s="39">
        <f t="shared" si="0"/>
        <v>1.2233846569787099E-2</v>
      </c>
      <c r="E564" s="121">
        <v>43481</v>
      </c>
      <c r="F564" s="9">
        <v>10890.299805000001</v>
      </c>
      <c r="G564" s="39">
        <f t="shared" si="1"/>
        <v>-1.3663563926896716E-3</v>
      </c>
    </row>
    <row r="565" spans="1:7" ht="14.25" customHeight="1" x14ac:dyDescent="0.25">
      <c r="A565" s="121">
        <v>43482</v>
      </c>
      <c r="B565" s="9">
        <v>369.875</v>
      </c>
      <c r="C565" s="39">
        <f t="shared" si="0"/>
        <v>-1.1822036179172879E-2</v>
      </c>
      <c r="E565" s="121">
        <v>43482</v>
      </c>
      <c r="F565" s="9">
        <v>10905.200194999999</v>
      </c>
      <c r="G565" s="39">
        <f t="shared" si="1"/>
        <v>-1.6044815174842686E-4</v>
      </c>
    </row>
    <row r="566" spans="1:7" ht="14.25" customHeight="1" x14ac:dyDescent="0.25">
      <c r="A566" s="121">
        <v>43483</v>
      </c>
      <c r="B566" s="9">
        <v>374.29998799999998</v>
      </c>
      <c r="C566" s="39">
        <f t="shared" si="0"/>
        <v>7.0626221423326641E-3</v>
      </c>
      <c r="E566" s="121">
        <v>43483</v>
      </c>
      <c r="F566" s="9">
        <v>10906.950194999999</v>
      </c>
      <c r="G566" s="39">
        <f t="shared" si="1"/>
        <v>-5.0082254325882758E-3</v>
      </c>
    </row>
    <row r="567" spans="1:7" ht="14.25" customHeight="1" x14ac:dyDescent="0.25">
      <c r="A567" s="121">
        <v>43486</v>
      </c>
      <c r="B567" s="9">
        <v>371.67498799999998</v>
      </c>
      <c r="C567" s="39">
        <f t="shared" si="0"/>
        <v>1.4145062871804281E-3</v>
      </c>
      <c r="E567" s="121">
        <v>43486</v>
      </c>
      <c r="F567" s="9">
        <v>10961.849609000001</v>
      </c>
      <c r="G567" s="39">
        <f t="shared" si="1"/>
        <v>3.5796488063903897E-3</v>
      </c>
    </row>
    <row r="568" spans="1:7" ht="14.25" customHeight="1" x14ac:dyDescent="0.25">
      <c r="A568" s="121">
        <v>43487</v>
      </c>
      <c r="B568" s="9">
        <v>371.14999399999999</v>
      </c>
      <c r="C568" s="39">
        <f t="shared" si="0"/>
        <v>8.0804131105181032E-3</v>
      </c>
      <c r="E568" s="121">
        <v>43487</v>
      </c>
      <c r="F568" s="9">
        <v>10922.75</v>
      </c>
      <c r="G568" s="39">
        <f t="shared" si="1"/>
        <v>8.4245026081337659E-3</v>
      </c>
    </row>
    <row r="569" spans="1:7" ht="14.25" customHeight="1" x14ac:dyDescent="0.25">
      <c r="A569" s="121">
        <v>43488</v>
      </c>
      <c r="B569" s="9">
        <v>368.17498799999998</v>
      </c>
      <c r="C569" s="39">
        <f t="shared" si="0"/>
        <v>1.8323883888498482E-2</v>
      </c>
      <c r="E569" s="121">
        <v>43488</v>
      </c>
      <c r="F569" s="9">
        <v>10831.5</v>
      </c>
      <c r="G569" s="39">
        <f t="shared" si="1"/>
        <v>-1.6866490929692279E-3</v>
      </c>
    </row>
    <row r="570" spans="1:7" ht="14.25" customHeight="1" x14ac:dyDescent="0.25">
      <c r="A570" s="121">
        <v>43489</v>
      </c>
      <c r="B570" s="9">
        <v>361.54998799999998</v>
      </c>
      <c r="C570" s="39">
        <f t="shared" si="0"/>
        <v>3.4693312285094535E-3</v>
      </c>
      <c r="E570" s="121">
        <v>43489</v>
      </c>
      <c r="F570" s="9">
        <v>10849.799805000001</v>
      </c>
      <c r="G570" s="39">
        <f t="shared" si="1"/>
        <v>6.4236055908653E-3</v>
      </c>
    </row>
    <row r="571" spans="1:7" ht="14.25" customHeight="1" x14ac:dyDescent="0.25">
      <c r="A571" s="121">
        <v>43490</v>
      </c>
      <c r="B571" s="9">
        <v>360.29998799999998</v>
      </c>
      <c r="C571" s="39">
        <f t="shared" si="0"/>
        <v>-1.4227119015047918E-2</v>
      </c>
      <c r="E571" s="121">
        <v>43490</v>
      </c>
      <c r="F571" s="9">
        <v>10780.549805000001</v>
      </c>
      <c r="G571" s="39">
        <f t="shared" si="1"/>
        <v>1.1161604286104021E-2</v>
      </c>
    </row>
    <row r="572" spans="1:7" ht="14.25" customHeight="1" x14ac:dyDescent="0.25">
      <c r="A572" s="121">
        <v>43493</v>
      </c>
      <c r="B572" s="9">
        <v>365.5</v>
      </c>
      <c r="C572" s="39">
        <f t="shared" si="0"/>
        <v>-4.8328746279959756E-3</v>
      </c>
      <c r="E572" s="121">
        <v>43493</v>
      </c>
      <c r="F572" s="9">
        <v>10661.549805000001</v>
      </c>
      <c r="G572" s="39">
        <f t="shared" si="1"/>
        <v>8.7771632421906887E-4</v>
      </c>
    </row>
    <row r="573" spans="1:7" ht="14.25" customHeight="1" x14ac:dyDescent="0.25">
      <c r="A573" s="121">
        <v>43494</v>
      </c>
      <c r="B573" s="9">
        <v>367.27499399999999</v>
      </c>
      <c r="C573" s="39">
        <f t="shared" si="0"/>
        <v>1.4011545642908407E-2</v>
      </c>
      <c r="E573" s="121">
        <v>43494</v>
      </c>
      <c r="F573" s="9">
        <v>10652.200194999999</v>
      </c>
      <c r="G573" s="39">
        <f t="shared" si="1"/>
        <v>3.7588952789935348E-5</v>
      </c>
    </row>
    <row r="574" spans="1:7" ht="14.25" customHeight="1" x14ac:dyDescent="0.25">
      <c r="A574" s="121">
        <v>43495</v>
      </c>
      <c r="B574" s="9">
        <v>362.20001200000002</v>
      </c>
      <c r="C574" s="39">
        <f t="shared" si="0"/>
        <v>-1.3280664280138965E-2</v>
      </c>
      <c r="E574" s="121">
        <v>43495</v>
      </c>
      <c r="F574" s="9">
        <v>10651.799805000001</v>
      </c>
      <c r="G574" s="39">
        <f t="shared" si="1"/>
        <v>-1.6540597710688609E-2</v>
      </c>
    </row>
    <row r="575" spans="1:7" ht="14.25" customHeight="1" x14ac:dyDescent="0.25">
      <c r="A575" s="121">
        <v>43496</v>
      </c>
      <c r="B575" s="9">
        <v>367.07501200000002</v>
      </c>
      <c r="C575" s="39">
        <f t="shared" si="0"/>
        <v>-1.8187864928117636E-2</v>
      </c>
      <c r="E575" s="121">
        <v>43496</v>
      </c>
      <c r="F575" s="9">
        <v>10830.950194999999</v>
      </c>
      <c r="G575" s="39">
        <f t="shared" si="1"/>
        <v>-5.7556644237271026E-3</v>
      </c>
    </row>
    <row r="576" spans="1:7" ht="14.25" customHeight="1" x14ac:dyDescent="0.25">
      <c r="A576" s="121">
        <v>43497</v>
      </c>
      <c r="B576" s="9">
        <v>373.875</v>
      </c>
      <c r="C576" s="39">
        <f t="shared" si="0"/>
        <v>3.8397479407776158E-2</v>
      </c>
      <c r="E576" s="121">
        <v>43497</v>
      </c>
      <c r="F576" s="9">
        <v>10893.650390999999</v>
      </c>
      <c r="G576" s="39">
        <f t="shared" si="1"/>
        <v>-1.7044705720635767E-3</v>
      </c>
    </row>
    <row r="577" spans="1:7" ht="14.25" customHeight="1" x14ac:dyDescent="0.25">
      <c r="A577" s="121">
        <v>43500</v>
      </c>
      <c r="B577" s="9">
        <v>360.04998799999998</v>
      </c>
      <c r="C577" s="39">
        <f t="shared" si="0"/>
        <v>-1.9671924628770099E-2</v>
      </c>
      <c r="E577" s="121">
        <v>43500</v>
      </c>
      <c r="F577" s="9">
        <v>10912.25</v>
      </c>
      <c r="G577" s="39">
        <f t="shared" si="1"/>
        <v>-2.0211178341883462E-3</v>
      </c>
    </row>
    <row r="578" spans="1:7" ht="14.25" customHeight="1" x14ac:dyDescent="0.25">
      <c r="A578" s="121">
        <v>43501</v>
      </c>
      <c r="B578" s="9">
        <v>367.27499399999999</v>
      </c>
      <c r="C578" s="39">
        <f t="shared" si="0"/>
        <v>1.0176667476806678E-2</v>
      </c>
      <c r="E578" s="121">
        <v>43501</v>
      </c>
      <c r="F578" s="9">
        <v>10934.349609000001</v>
      </c>
      <c r="G578" s="39">
        <f t="shared" si="1"/>
        <v>-1.157976612250855E-2</v>
      </c>
    </row>
    <row r="579" spans="1:7" ht="14.25" customHeight="1" x14ac:dyDescent="0.25">
      <c r="A579" s="121">
        <v>43502</v>
      </c>
      <c r="B579" s="9">
        <v>363.57501200000002</v>
      </c>
      <c r="C579" s="39">
        <f t="shared" si="0"/>
        <v>-4.449616502203213E-3</v>
      </c>
      <c r="E579" s="121">
        <v>43502</v>
      </c>
      <c r="F579" s="9">
        <v>11062.450194999999</v>
      </c>
      <c r="G579" s="39">
        <f t="shared" si="1"/>
        <v>-6.2787465937641507E-4</v>
      </c>
    </row>
    <row r="580" spans="1:7" ht="14.25" customHeight="1" x14ac:dyDescent="0.25">
      <c r="A580" s="121">
        <v>43503</v>
      </c>
      <c r="B580" s="9">
        <v>365.20001200000002</v>
      </c>
      <c r="C580" s="39">
        <f t="shared" si="0"/>
        <v>-2.2091310041248535E-2</v>
      </c>
      <c r="E580" s="121">
        <v>43503</v>
      </c>
      <c r="F580" s="9">
        <v>11069.400390999999</v>
      </c>
      <c r="G580" s="39">
        <f t="shared" si="1"/>
        <v>1.1495375058910184E-2</v>
      </c>
    </row>
    <row r="581" spans="1:7" ht="14.25" customHeight="1" x14ac:dyDescent="0.25">
      <c r="A581" s="121">
        <v>43504</v>
      </c>
      <c r="B581" s="9">
        <v>373.45001200000002</v>
      </c>
      <c r="C581" s="39">
        <f t="shared" si="0"/>
        <v>1.340662244032842E-3</v>
      </c>
      <c r="E581" s="121">
        <v>43504</v>
      </c>
      <c r="F581" s="9">
        <v>10943.599609000001</v>
      </c>
      <c r="G581" s="39">
        <f t="shared" si="1"/>
        <v>5.032676234421718E-3</v>
      </c>
    </row>
    <row r="582" spans="1:7" ht="14.25" customHeight="1" x14ac:dyDescent="0.25">
      <c r="A582" s="121">
        <v>43507</v>
      </c>
      <c r="B582" s="9">
        <v>372.95001200000002</v>
      </c>
      <c r="C582" s="39">
        <f t="shared" si="0"/>
        <v>-1.0044866750047454E-3</v>
      </c>
      <c r="E582" s="121">
        <v>43507</v>
      </c>
      <c r="F582" s="9">
        <v>10888.799805000001</v>
      </c>
      <c r="G582" s="39">
        <f t="shared" si="1"/>
        <v>5.2993529855747123E-3</v>
      </c>
    </row>
    <row r="583" spans="1:7" ht="14.25" customHeight="1" x14ac:dyDescent="0.25">
      <c r="A583" s="121">
        <v>43508</v>
      </c>
      <c r="B583" s="9">
        <v>373.32501200000002</v>
      </c>
      <c r="C583" s="39">
        <f t="shared" si="0"/>
        <v>-1.7953392365435583E-2</v>
      </c>
      <c r="E583" s="121">
        <v>43508</v>
      </c>
      <c r="F583" s="9">
        <v>10831.400390999999</v>
      </c>
      <c r="G583" s="39">
        <f t="shared" si="1"/>
        <v>7.9425079493198325E-3</v>
      </c>
    </row>
    <row r="584" spans="1:7" ht="14.25" customHeight="1" x14ac:dyDescent="0.25">
      <c r="A584" s="121">
        <v>43510</v>
      </c>
      <c r="B584" s="9">
        <v>380.14999399999999</v>
      </c>
      <c r="C584" s="39">
        <f t="shared" si="0"/>
        <v>2.6530700551222752E-2</v>
      </c>
      <c r="E584" s="121">
        <v>43510</v>
      </c>
      <c r="F584" s="9">
        <v>10746.049805000001</v>
      </c>
      <c r="G584" s="39">
        <f t="shared" si="1"/>
        <v>2.0187062409726675E-3</v>
      </c>
    </row>
    <row r="585" spans="1:7" ht="14.25" customHeight="1" x14ac:dyDescent="0.25">
      <c r="A585" s="121">
        <v>43511</v>
      </c>
      <c r="B585" s="9">
        <v>370.32501200000002</v>
      </c>
      <c r="C585" s="39">
        <f t="shared" si="0"/>
        <v>-4.9707155495359867E-3</v>
      </c>
      <c r="E585" s="121">
        <v>43511</v>
      </c>
      <c r="F585" s="9">
        <v>10724.400390999999</v>
      </c>
      <c r="G585" s="39">
        <f t="shared" si="1"/>
        <v>7.8423631791089132E-3</v>
      </c>
    </row>
    <row r="586" spans="1:7" ht="14.25" customHeight="1" x14ac:dyDescent="0.25">
      <c r="A586" s="121">
        <v>43514</v>
      </c>
      <c r="B586" s="9">
        <v>372.17498799999998</v>
      </c>
      <c r="C586" s="39">
        <f t="shared" si="0"/>
        <v>-1.1356153177649597E-2</v>
      </c>
      <c r="E586" s="121">
        <v>43514</v>
      </c>
      <c r="F586" s="9">
        <v>10640.950194999999</v>
      </c>
      <c r="G586" s="39">
        <f t="shared" si="1"/>
        <v>3.4514691942006959E-3</v>
      </c>
    </row>
    <row r="587" spans="1:7" ht="14.25" customHeight="1" x14ac:dyDescent="0.25">
      <c r="A587" s="121">
        <v>43515</v>
      </c>
      <c r="B587" s="9">
        <v>376.45001200000002</v>
      </c>
      <c r="C587" s="39">
        <f t="shared" si="0"/>
        <v>7.5610893275344093E-3</v>
      </c>
      <c r="E587" s="121">
        <v>43515</v>
      </c>
      <c r="F587" s="9">
        <v>10604.349609000001</v>
      </c>
      <c r="G587" s="39">
        <f t="shared" si="1"/>
        <v>-1.2211931835057865E-2</v>
      </c>
    </row>
    <row r="588" spans="1:7" ht="14.25" customHeight="1" x14ac:dyDescent="0.25">
      <c r="A588" s="121">
        <v>43516</v>
      </c>
      <c r="B588" s="9">
        <v>373.625</v>
      </c>
      <c r="C588" s="39">
        <f t="shared" si="0"/>
        <v>2.2509595334038179E-2</v>
      </c>
      <c r="E588" s="121">
        <v>43516</v>
      </c>
      <c r="F588" s="9">
        <v>10735.450194999999</v>
      </c>
      <c r="G588" s="39">
        <f t="shared" si="1"/>
        <v>-5.0417212446247639E-3</v>
      </c>
    </row>
    <row r="589" spans="1:7" ht="14.25" customHeight="1" x14ac:dyDescent="0.25">
      <c r="A589" s="121">
        <v>43517</v>
      </c>
      <c r="B589" s="9">
        <v>365.39999399999999</v>
      </c>
      <c r="C589" s="39">
        <f t="shared" si="0"/>
        <v>-6.1540102564106025E-4</v>
      </c>
      <c r="E589" s="121">
        <v>43517</v>
      </c>
      <c r="F589" s="9">
        <v>10789.849609000001</v>
      </c>
      <c r="G589" s="39">
        <f t="shared" si="1"/>
        <v>-1.6686808178112411E-4</v>
      </c>
    </row>
    <row r="590" spans="1:7" ht="14.25" customHeight="1" x14ac:dyDescent="0.25">
      <c r="A590" s="121">
        <v>43518</v>
      </c>
      <c r="B590" s="9">
        <v>365.625</v>
      </c>
      <c r="C590" s="39">
        <f t="shared" si="0"/>
        <v>-2.2262365912158355E-2</v>
      </c>
      <c r="E590" s="121">
        <v>43518</v>
      </c>
      <c r="F590" s="9">
        <v>10791.650390999999</v>
      </c>
      <c r="G590" s="39">
        <f t="shared" si="1"/>
        <v>-8.1294492861845313E-3</v>
      </c>
    </row>
    <row r="591" spans="1:7" ht="14.25" customHeight="1" x14ac:dyDescent="0.25">
      <c r="A591" s="121">
        <v>43521</v>
      </c>
      <c r="B591" s="9">
        <v>373.95001200000002</v>
      </c>
      <c r="C591" s="39">
        <f t="shared" si="0"/>
        <v>1.3377373843992402E-4</v>
      </c>
      <c r="E591" s="121">
        <v>43521</v>
      </c>
      <c r="F591" s="9">
        <v>10880.099609000001</v>
      </c>
      <c r="G591" s="39">
        <f t="shared" si="1"/>
        <v>4.1346160056712211E-3</v>
      </c>
    </row>
    <row r="592" spans="1:7" ht="14.25" customHeight="1" x14ac:dyDescent="0.25">
      <c r="A592" s="121">
        <v>43522</v>
      </c>
      <c r="B592" s="9">
        <v>373.89999399999999</v>
      </c>
      <c r="C592" s="39">
        <f t="shared" si="0"/>
        <v>1.218191681941394E-2</v>
      </c>
      <c r="E592" s="121">
        <v>43522</v>
      </c>
      <c r="F592" s="9">
        <v>10835.299805000001</v>
      </c>
      <c r="G592" s="39">
        <f t="shared" si="1"/>
        <v>2.6510910377799402E-3</v>
      </c>
    </row>
    <row r="593" spans="1:7" ht="14.25" customHeight="1" x14ac:dyDescent="0.25">
      <c r="A593" s="121">
        <v>43523</v>
      </c>
      <c r="B593" s="9">
        <v>369.39999399999999</v>
      </c>
      <c r="C593" s="39">
        <f t="shared" si="0"/>
        <v>-1.2035303750232207E-2</v>
      </c>
      <c r="E593" s="121">
        <v>43523</v>
      </c>
      <c r="F593" s="9">
        <v>10806.650390999999</v>
      </c>
      <c r="G593" s="39">
        <f t="shared" si="1"/>
        <v>1.311131897150819E-3</v>
      </c>
    </row>
    <row r="594" spans="1:7" ht="14.25" customHeight="1" x14ac:dyDescent="0.25">
      <c r="A594" s="121">
        <v>43524</v>
      </c>
      <c r="B594" s="9">
        <v>373.89999399999999</v>
      </c>
      <c r="C594" s="39">
        <f t="shared" si="0"/>
        <v>9.6536336573451731E-3</v>
      </c>
      <c r="E594" s="121">
        <v>43524</v>
      </c>
      <c r="F594" s="9">
        <v>10792.5</v>
      </c>
      <c r="G594" s="39">
        <f t="shared" si="1"/>
        <v>-6.5356468909651966E-3</v>
      </c>
    </row>
    <row r="595" spans="1:7" ht="14.25" customHeight="1" x14ac:dyDescent="0.25">
      <c r="A595" s="121">
        <v>43525</v>
      </c>
      <c r="B595" s="9">
        <v>370.32501200000002</v>
      </c>
      <c r="C595" s="39">
        <f t="shared" si="0"/>
        <v>-1.3124551632245129E-2</v>
      </c>
      <c r="E595" s="121">
        <v>43525</v>
      </c>
      <c r="F595" s="9">
        <v>10863.5</v>
      </c>
      <c r="G595" s="39">
        <f t="shared" si="1"/>
        <v>-1.1281070020813799E-2</v>
      </c>
    </row>
    <row r="596" spans="1:7" ht="14.25" customHeight="1" x14ac:dyDescent="0.25">
      <c r="A596" s="121">
        <v>43529</v>
      </c>
      <c r="B596" s="9">
        <v>375.25</v>
      </c>
      <c r="C596" s="39">
        <f t="shared" si="0"/>
        <v>-3.9955781139411339E-4</v>
      </c>
      <c r="E596" s="121">
        <v>43529</v>
      </c>
      <c r="F596" s="9">
        <v>10987.450194999999</v>
      </c>
      <c r="G596" s="39">
        <f t="shared" si="1"/>
        <v>-5.93049895955855E-3</v>
      </c>
    </row>
    <row r="597" spans="1:7" ht="14.25" customHeight="1" x14ac:dyDescent="0.25">
      <c r="A597" s="121">
        <v>43530</v>
      </c>
      <c r="B597" s="9">
        <v>375.39999399999999</v>
      </c>
      <c r="C597" s="39">
        <f t="shared" si="0"/>
        <v>7.3307297567470897E-4</v>
      </c>
      <c r="E597" s="121">
        <v>43530</v>
      </c>
      <c r="F597" s="9">
        <v>11053</v>
      </c>
      <c r="G597" s="39">
        <f t="shared" si="1"/>
        <v>-4.7025690512914053E-4</v>
      </c>
    </row>
    <row r="598" spans="1:7" ht="14.25" customHeight="1" x14ac:dyDescent="0.25">
      <c r="A598" s="121">
        <v>43531</v>
      </c>
      <c r="B598" s="9">
        <v>375.125</v>
      </c>
      <c r="C598" s="39">
        <f t="shared" si="0"/>
        <v>-4.9075030719676338E-3</v>
      </c>
      <c r="E598" s="121">
        <v>43531</v>
      </c>
      <c r="F598" s="9">
        <v>11058.200194999999</v>
      </c>
      <c r="G598" s="39">
        <f t="shared" si="1"/>
        <v>2.0660604230178237E-3</v>
      </c>
    </row>
    <row r="599" spans="1:7" ht="14.25" customHeight="1" x14ac:dyDescent="0.25">
      <c r="A599" s="121">
        <v>43532</v>
      </c>
      <c r="B599" s="9">
        <v>376.97500600000001</v>
      </c>
      <c r="C599" s="39">
        <f t="shared" si="0"/>
        <v>-3.8974922796408684E-3</v>
      </c>
      <c r="E599" s="121">
        <v>43532</v>
      </c>
      <c r="F599" s="9">
        <v>11035.400390999999</v>
      </c>
      <c r="G599" s="39">
        <f t="shared" si="1"/>
        <v>-1.1877580805613297E-2</v>
      </c>
    </row>
    <row r="600" spans="1:7" ht="14.25" customHeight="1" x14ac:dyDescent="0.25">
      <c r="A600" s="121">
        <v>43535</v>
      </c>
      <c r="B600" s="9">
        <v>378.45001200000002</v>
      </c>
      <c r="C600" s="39">
        <f t="shared" si="0"/>
        <v>-3.2263805589426431E-3</v>
      </c>
      <c r="E600" s="121">
        <v>43535</v>
      </c>
      <c r="F600" s="9">
        <v>11168.049805000001</v>
      </c>
      <c r="G600" s="39">
        <f t="shared" si="1"/>
        <v>-1.1781968968119783E-2</v>
      </c>
    </row>
    <row r="601" spans="1:7" ht="14.25" customHeight="1" x14ac:dyDescent="0.25">
      <c r="A601" s="121">
        <v>43536</v>
      </c>
      <c r="B601" s="9">
        <v>379.67498799999998</v>
      </c>
      <c r="C601" s="39">
        <f t="shared" si="0"/>
        <v>2.4763800269905545E-2</v>
      </c>
      <c r="E601" s="121">
        <v>43536</v>
      </c>
      <c r="F601" s="9">
        <v>11301.200194999999</v>
      </c>
      <c r="G601" s="39">
        <f t="shared" si="1"/>
        <v>-3.5708931909392838E-3</v>
      </c>
    </row>
    <row r="602" spans="1:7" ht="14.25" customHeight="1" x14ac:dyDescent="0.25">
      <c r="A602" s="121">
        <v>43537</v>
      </c>
      <c r="B602" s="9">
        <v>370.5</v>
      </c>
      <c r="C602" s="39">
        <f t="shared" si="0"/>
        <v>-1.9322361651319064E-2</v>
      </c>
      <c r="E602" s="121">
        <v>43537</v>
      </c>
      <c r="F602" s="9">
        <v>11341.700194999999</v>
      </c>
      <c r="G602" s="39">
        <f t="shared" si="1"/>
        <v>-1.3662795054336652E-4</v>
      </c>
    </row>
    <row r="603" spans="1:7" ht="14.25" customHeight="1" x14ac:dyDescent="0.25">
      <c r="A603" s="121">
        <v>43538</v>
      </c>
      <c r="B603" s="9">
        <v>377.79998799999998</v>
      </c>
      <c r="C603" s="39">
        <f t="shared" si="0"/>
        <v>6.5271931819284035E-3</v>
      </c>
      <c r="E603" s="121">
        <v>43538</v>
      </c>
      <c r="F603" s="9">
        <v>11343.25</v>
      </c>
      <c r="G603" s="39">
        <f t="shared" si="1"/>
        <v>-7.3160680205466289E-3</v>
      </c>
    </row>
    <row r="604" spans="1:7" ht="14.25" customHeight="1" x14ac:dyDescent="0.25">
      <c r="A604" s="121">
        <v>43539</v>
      </c>
      <c r="B604" s="9">
        <v>375.35000600000001</v>
      </c>
      <c r="C604" s="39">
        <f t="shared" si="0"/>
        <v>-1.9717910990617482E-2</v>
      </c>
      <c r="E604" s="121">
        <v>43539</v>
      </c>
      <c r="F604" s="9">
        <v>11426.849609000001</v>
      </c>
      <c r="G604" s="39">
        <f t="shared" si="1"/>
        <v>-3.0841012544362556E-3</v>
      </c>
    </row>
    <row r="605" spans="1:7" ht="14.25" customHeight="1" x14ac:dyDescent="0.25">
      <c r="A605" s="121">
        <v>43542</v>
      </c>
      <c r="B605" s="9">
        <v>382.89999399999999</v>
      </c>
      <c r="C605" s="39">
        <f t="shared" si="0"/>
        <v>8.6269186697398581E-3</v>
      </c>
      <c r="E605" s="121">
        <v>43542</v>
      </c>
      <c r="F605" s="9">
        <v>11462.200194999999</v>
      </c>
      <c r="G605" s="39">
        <f t="shared" si="1"/>
        <v>-6.0872145971262448E-3</v>
      </c>
    </row>
    <row r="606" spans="1:7" ht="14.25" customHeight="1" x14ac:dyDescent="0.25">
      <c r="A606" s="121">
        <v>43543</v>
      </c>
      <c r="B606" s="9">
        <v>379.625</v>
      </c>
      <c r="C606" s="39">
        <f t="shared" si="0"/>
        <v>9.4395742517452419E-3</v>
      </c>
      <c r="E606" s="121">
        <v>43543</v>
      </c>
      <c r="F606" s="9">
        <v>11532.400390999999</v>
      </c>
      <c r="G606" s="39">
        <f t="shared" si="1"/>
        <v>9.8520414303493453E-4</v>
      </c>
    </row>
    <row r="607" spans="1:7" ht="14.25" customHeight="1" x14ac:dyDescent="0.25">
      <c r="A607" s="121">
        <v>43544</v>
      </c>
      <c r="B607" s="9">
        <v>376.07501200000002</v>
      </c>
      <c r="C607" s="39">
        <f t="shared" si="0"/>
        <v>-2.6576992939242317E-4</v>
      </c>
      <c r="E607" s="121">
        <v>43544</v>
      </c>
      <c r="F607" s="9">
        <v>11521.049805000001</v>
      </c>
      <c r="G607" s="39">
        <f t="shared" si="1"/>
        <v>5.5991945299964652E-3</v>
      </c>
    </row>
    <row r="608" spans="1:7" ht="14.25" customHeight="1" x14ac:dyDescent="0.25">
      <c r="A608" s="121">
        <v>43546</v>
      </c>
      <c r="B608" s="9">
        <v>376.17498799999998</v>
      </c>
      <c r="C608" s="39">
        <f t="shared" si="0"/>
        <v>-2.6512892737203808E-3</v>
      </c>
      <c r="E608" s="121">
        <v>43546</v>
      </c>
      <c r="F608" s="9">
        <v>11456.900390999999</v>
      </c>
      <c r="G608" s="39">
        <f t="shared" si="1"/>
        <v>9.0407020278748806E-3</v>
      </c>
    </row>
    <row r="609" spans="1:7" ht="14.25" customHeight="1" x14ac:dyDescent="0.25">
      <c r="A609" s="121">
        <v>43549</v>
      </c>
      <c r="B609" s="9">
        <v>377.17498799999998</v>
      </c>
      <c r="C609" s="39">
        <f t="shared" si="0"/>
        <v>-7.8258741206240767E-3</v>
      </c>
      <c r="E609" s="121">
        <v>43549</v>
      </c>
      <c r="F609" s="9">
        <v>11354.25</v>
      </c>
      <c r="G609" s="39">
        <f t="shared" si="1"/>
        <v>-1.1233753510548006E-2</v>
      </c>
    </row>
    <row r="610" spans="1:7" ht="14.25" customHeight="1" x14ac:dyDescent="0.25">
      <c r="A610" s="121">
        <v>43550</v>
      </c>
      <c r="B610" s="9">
        <v>380.14999399999999</v>
      </c>
      <c r="C610" s="39">
        <f t="shared" si="0"/>
        <v>6.5752055244949759E-5</v>
      </c>
      <c r="E610" s="121">
        <v>43550</v>
      </c>
      <c r="F610" s="9">
        <v>11483.25</v>
      </c>
      <c r="G610" s="39">
        <f t="shared" si="1"/>
        <v>3.3377045666773686E-3</v>
      </c>
    </row>
    <row r="611" spans="1:7" ht="14.25" customHeight="1" x14ac:dyDescent="0.25">
      <c r="A611" s="121">
        <v>43551</v>
      </c>
      <c r="B611" s="9">
        <v>380.125</v>
      </c>
      <c r="C611" s="39">
        <f t="shared" si="0"/>
        <v>-3.2122878739380134E-3</v>
      </c>
      <c r="E611" s="121">
        <v>43551</v>
      </c>
      <c r="F611" s="9">
        <v>11445.049805000001</v>
      </c>
      <c r="G611" s="39">
        <f t="shared" si="1"/>
        <v>-1.0799498271391483E-2</v>
      </c>
    </row>
    <row r="612" spans="1:7" ht="14.25" customHeight="1" x14ac:dyDescent="0.25">
      <c r="A612" s="121">
        <v>43552</v>
      </c>
      <c r="B612" s="9">
        <v>381.35000600000001</v>
      </c>
      <c r="C612" s="39">
        <f t="shared" si="0"/>
        <v>-6.2157993237011988E-2</v>
      </c>
      <c r="E612" s="121">
        <v>43552</v>
      </c>
      <c r="F612" s="9">
        <v>11570</v>
      </c>
      <c r="G612" s="39">
        <f t="shared" si="1"/>
        <v>-8.4967960543614884E-3</v>
      </c>
    </row>
    <row r="613" spans="1:7" ht="14.25" customHeight="1" x14ac:dyDescent="0.25">
      <c r="A613" s="121">
        <v>43556</v>
      </c>
      <c r="B613" s="9">
        <v>406.625</v>
      </c>
      <c r="C613" s="39">
        <f t="shared" si="0"/>
        <v>-2.7678172328699069E-2</v>
      </c>
      <c r="E613" s="121">
        <v>43556</v>
      </c>
      <c r="F613" s="9">
        <v>11669.150390999999</v>
      </c>
      <c r="G613" s="39">
        <f t="shared" si="1"/>
        <v>-3.7606976118109703E-3</v>
      </c>
    </row>
    <row r="614" spans="1:7" ht="14.25" customHeight="1" x14ac:dyDescent="0.25">
      <c r="A614" s="121">
        <v>43557</v>
      </c>
      <c r="B614" s="9">
        <v>418.20001200000002</v>
      </c>
      <c r="C614" s="39">
        <f t="shared" si="0"/>
        <v>9.2916759846746189E-3</v>
      </c>
      <c r="E614" s="121">
        <v>43557</v>
      </c>
      <c r="F614" s="9">
        <v>11713.200194999999</v>
      </c>
      <c r="G614" s="39">
        <f t="shared" si="1"/>
        <v>5.9472944181551135E-3</v>
      </c>
    </row>
    <row r="615" spans="1:7" ht="14.25" customHeight="1" x14ac:dyDescent="0.25">
      <c r="A615" s="121">
        <v>43558</v>
      </c>
      <c r="B615" s="9">
        <v>414.35000600000001</v>
      </c>
      <c r="C615" s="39">
        <f t="shared" si="0"/>
        <v>-1.7138126773035611E-2</v>
      </c>
      <c r="E615" s="121">
        <v>43558</v>
      </c>
      <c r="F615" s="9">
        <v>11643.950194999999</v>
      </c>
      <c r="G615" s="39">
        <f t="shared" si="1"/>
        <v>3.9619067942748831E-3</v>
      </c>
    </row>
    <row r="616" spans="1:7" ht="14.25" customHeight="1" x14ac:dyDescent="0.25">
      <c r="A616" s="121">
        <v>43559</v>
      </c>
      <c r="B616" s="9">
        <v>421.57501200000002</v>
      </c>
      <c r="C616" s="39">
        <f t="shared" si="0"/>
        <v>-2.0121347556266711E-3</v>
      </c>
      <c r="E616" s="121">
        <v>43559</v>
      </c>
      <c r="F616" s="9">
        <v>11598</v>
      </c>
      <c r="G616" s="39">
        <f t="shared" si="1"/>
        <v>-5.8246601317673008E-3</v>
      </c>
    </row>
    <row r="617" spans="1:7" ht="14.25" customHeight="1" x14ac:dyDescent="0.25">
      <c r="A617" s="121">
        <v>43560</v>
      </c>
      <c r="B617" s="9">
        <v>422.42498799999998</v>
      </c>
      <c r="C617" s="39">
        <f t="shared" si="0"/>
        <v>-5.122510525824242E-3</v>
      </c>
      <c r="E617" s="121">
        <v>43560</v>
      </c>
      <c r="F617" s="9">
        <v>11665.950194999999</v>
      </c>
      <c r="G617" s="39">
        <f t="shared" si="1"/>
        <v>5.2953763626180095E-3</v>
      </c>
    </row>
    <row r="618" spans="1:7" ht="14.25" customHeight="1" x14ac:dyDescent="0.25">
      <c r="A618" s="121">
        <v>43563</v>
      </c>
      <c r="B618" s="9">
        <v>424.60000600000001</v>
      </c>
      <c r="C618" s="39">
        <f t="shared" si="0"/>
        <v>7.8329411203306165E-3</v>
      </c>
      <c r="E618" s="121">
        <v>43563</v>
      </c>
      <c r="F618" s="9">
        <v>11604.5</v>
      </c>
      <c r="G618" s="39">
        <f t="shared" si="1"/>
        <v>-5.7788282054950235E-3</v>
      </c>
    </row>
    <row r="619" spans="1:7" ht="14.25" customHeight="1" x14ac:dyDescent="0.25">
      <c r="A619" s="121">
        <v>43564</v>
      </c>
      <c r="B619" s="9">
        <v>421.29998799999998</v>
      </c>
      <c r="C619" s="39">
        <f t="shared" si="0"/>
        <v>3.5731301640722357E-3</v>
      </c>
      <c r="E619" s="121">
        <v>43564</v>
      </c>
      <c r="F619" s="9">
        <v>11671.950194999999</v>
      </c>
      <c r="G619" s="39">
        <f t="shared" si="1"/>
        <v>7.566308838292235E-3</v>
      </c>
    </row>
    <row r="620" spans="1:7" ht="14.25" customHeight="1" x14ac:dyDescent="0.25">
      <c r="A620" s="121">
        <v>43565</v>
      </c>
      <c r="B620" s="9">
        <v>419.79998799999998</v>
      </c>
      <c r="C620" s="39">
        <f t="shared" si="0"/>
        <v>-1.1537612106307216E-2</v>
      </c>
      <c r="E620" s="121">
        <v>43565</v>
      </c>
      <c r="F620" s="9">
        <v>11584.299805000001</v>
      </c>
      <c r="G620" s="39">
        <f t="shared" si="1"/>
        <v>-1.0693033183133416E-3</v>
      </c>
    </row>
    <row r="621" spans="1:7" ht="14.25" customHeight="1" x14ac:dyDescent="0.25">
      <c r="A621" s="121">
        <v>43566</v>
      </c>
      <c r="B621" s="9">
        <v>424.70001200000002</v>
      </c>
      <c r="C621" s="39">
        <f t="shared" si="0"/>
        <v>-9.4094094178864829E-4</v>
      </c>
      <c r="E621" s="121">
        <v>43566</v>
      </c>
      <c r="F621" s="9">
        <v>11596.700194999999</v>
      </c>
      <c r="G621" s="39">
        <f t="shared" si="1"/>
        <v>-4.0151329045127193E-3</v>
      </c>
    </row>
    <row r="622" spans="1:7" ht="14.25" customHeight="1" x14ac:dyDescent="0.25">
      <c r="A622" s="121">
        <v>43567</v>
      </c>
      <c r="B622" s="9">
        <v>425.10000600000001</v>
      </c>
      <c r="C622" s="39">
        <f t="shared" si="0"/>
        <v>-2.8897758994860023E-2</v>
      </c>
      <c r="E622" s="121">
        <v>43567</v>
      </c>
      <c r="F622" s="9">
        <v>11643.450194999999</v>
      </c>
      <c r="G622" s="39">
        <f t="shared" si="1"/>
        <v>-4.0118059398236428E-3</v>
      </c>
    </row>
    <row r="623" spans="1:7" ht="14.25" customHeight="1" x14ac:dyDescent="0.25">
      <c r="A623" s="121">
        <v>43570</v>
      </c>
      <c r="B623" s="9">
        <v>437.75</v>
      </c>
      <c r="C623" s="39">
        <f t="shared" si="0"/>
        <v>4.5711805618875445E-4</v>
      </c>
      <c r="E623" s="121">
        <v>43570</v>
      </c>
      <c r="F623" s="9">
        <v>11690.349609000001</v>
      </c>
      <c r="G623" s="39">
        <f t="shared" si="1"/>
        <v>-8.212398992882064E-3</v>
      </c>
    </row>
    <row r="624" spans="1:7" ht="14.25" customHeight="1" x14ac:dyDescent="0.25">
      <c r="A624" s="121">
        <v>43571</v>
      </c>
      <c r="B624" s="9">
        <v>437.54998799999998</v>
      </c>
      <c r="C624" s="39">
        <f t="shared" si="0"/>
        <v>-3.3786061162158876E-2</v>
      </c>
      <c r="E624" s="121">
        <v>43571</v>
      </c>
      <c r="F624" s="9">
        <v>11787.150390999999</v>
      </c>
      <c r="G624" s="39">
        <f t="shared" si="1"/>
        <v>2.9227576892261187E-3</v>
      </c>
    </row>
    <row r="625" spans="1:7" ht="14.25" customHeight="1" x14ac:dyDescent="0.25">
      <c r="A625" s="121">
        <v>43573</v>
      </c>
      <c r="B625" s="9">
        <v>452.85000600000001</v>
      </c>
      <c r="C625" s="39">
        <f t="shared" si="0"/>
        <v>1.2124977695702643E-2</v>
      </c>
      <c r="E625" s="121">
        <v>43573</v>
      </c>
      <c r="F625" s="9">
        <v>11752.799805000001</v>
      </c>
      <c r="G625" s="39">
        <f t="shared" si="1"/>
        <v>1.3657362560260733E-2</v>
      </c>
    </row>
    <row r="626" spans="1:7" ht="14.25" customHeight="1" x14ac:dyDescent="0.25">
      <c r="A626" s="121">
        <v>43577</v>
      </c>
      <c r="B626" s="9">
        <v>447.42498799999998</v>
      </c>
      <c r="C626" s="39">
        <f t="shared" si="0"/>
        <v>-2.7304268725789616E-3</v>
      </c>
      <c r="E626" s="121">
        <v>43577</v>
      </c>
      <c r="F626" s="9">
        <v>11594.450194999999</v>
      </c>
      <c r="G626" s="39">
        <f t="shared" si="1"/>
        <v>1.598140946389881E-3</v>
      </c>
    </row>
    <row r="627" spans="1:7" ht="14.25" customHeight="1" x14ac:dyDescent="0.25">
      <c r="A627" s="121">
        <v>43578</v>
      </c>
      <c r="B627" s="9">
        <v>448.64999399999999</v>
      </c>
      <c r="C627" s="39">
        <f t="shared" si="0"/>
        <v>-2.3349298909959293E-3</v>
      </c>
      <c r="E627" s="121">
        <v>43578</v>
      </c>
      <c r="F627" s="9">
        <v>11575.950194999999</v>
      </c>
      <c r="G627" s="39">
        <f t="shared" si="1"/>
        <v>-1.2808994511556038E-2</v>
      </c>
    </row>
    <row r="628" spans="1:7" ht="14.25" customHeight="1" x14ac:dyDescent="0.25">
      <c r="A628" s="121">
        <v>43579</v>
      </c>
      <c r="B628" s="9">
        <v>449.70001200000002</v>
      </c>
      <c r="C628" s="39">
        <f t="shared" si="0"/>
        <v>-1.1114619232899248E-4</v>
      </c>
      <c r="E628" s="121">
        <v>43579</v>
      </c>
      <c r="F628" s="9">
        <v>11726.150390999999</v>
      </c>
      <c r="G628" s="39">
        <f t="shared" si="1"/>
        <v>7.2454936017514182E-3</v>
      </c>
    </row>
    <row r="629" spans="1:7" ht="14.25" customHeight="1" x14ac:dyDescent="0.25">
      <c r="A629" s="121">
        <v>43580</v>
      </c>
      <c r="B629" s="9">
        <v>449.75</v>
      </c>
      <c r="C629" s="39">
        <f t="shared" si="0"/>
        <v>1.7016210973831658E-2</v>
      </c>
      <c r="E629" s="121">
        <v>43580</v>
      </c>
      <c r="F629" s="9">
        <v>11641.799805000001</v>
      </c>
      <c r="G629" s="39">
        <f t="shared" si="1"/>
        <v>-9.6005055230229397E-3</v>
      </c>
    </row>
    <row r="630" spans="1:7" ht="14.25" customHeight="1" x14ac:dyDescent="0.25">
      <c r="A630" s="121">
        <v>43581</v>
      </c>
      <c r="B630" s="9">
        <v>442.22500600000001</v>
      </c>
      <c r="C630" s="39">
        <f t="shared" si="0"/>
        <v>4.2009787113255204E-3</v>
      </c>
      <c r="E630" s="121">
        <v>43581</v>
      </c>
      <c r="F630" s="9">
        <v>11754.650390999999</v>
      </c>
      <c r="G630" s="39">
        <f t="shared" si="1"/>
        <v>5.5327858289766496E-4</v>
      </c>
    </row>
    <row r="631" spans="1:7" ht="14.25" customHeight="1" x14ac:dyDescent="0.25">
      <c r="A631" s="121">
        <v>43585</v>
      </c>
      <c r="B631" s="9">
        <v>440.375</v>
      </c>
      <c r="C631" s="39">
        <f t="shared" si="0"/>
        <v>-7.5497345308503938E-3</v>
      </c>
      <c r="E631" s="121">
        <v>43585</v>
      </c>
      <c r="F631" s="9">
        <v>11748.150390999999</v>
      </c>
      <c r="G631" s="39">
        <f t="shared" si="1"/>
        <v>1.9958115098401841E-3</v>
      </c>
    </row>
    <row r="632" spans="1:7" ht="14.25" customHeight="1" x14ac:dyDescent="0.25">
      <c r="A632" s="121">
        <v>43587</v>
      </c>
      <c r="B632" s="9">
        <v>443.72500600000001</v>
      </c>
      <c r="C632" s="39">
        <f t="shared" si="0"/>
        <v>7.8360389461500368E-3</v>
      </c>
      <c r="E632" s="121">
        <v>43587</v>
      </c>
      <c r="F632" s="9">
        <v>11724.75</v>
      </c>
      <c r="G632" s="39">
        <f t="shared" si="1"/>
        <v>1.0672586394586681E-3</v>
      </c>
    </row>
    <row r="633" spans="1:7" ht="14.25" customHeight="1" x14ac:dyDescent="0.25">
      <c r="A633" s="121">
        <v>43588</v>
      </c>
      <c r="B633" s="9">
        <v>440.27499399999999</v>
      </c>
      <c r="C633" s="39">
        <f t="shared" si="0"/>
        <v>1.7063876007925582E-3</v>
      </c>
      <c r="E633" s="121">
        <v>43588</v>
      </c>
      <c r="F633" s="9">
        <v>11712.25</v>
      </c>
      <c r="G633" s="39">
        <f t="shared" si="1"/>
        <v>9.829069040588001E-3</v>
      </c>
    </row>
    <row r="634" spans="1:7" ht="14.25" customHeight="1" x14ac:dyDescent="0.25">
      <c r="A634" s="121">
        <v>43591</v>
      </c>
      <c r="B634" s="9">
        <v>439.52499399999999</v>
      </c>
      <c r="C634" s="39">
        <f t="shared" si="0"/>
        <v>3.0809745808677569E-3</v>
      </c>
      <c r="E634" s="121">
        <v>43591</v>
      </c>
      <c r="F634" s="9">
        <v>11598.25</v>
      </c>
      <c r="G634" s="39">
        <f t="shared" si="1"/>
        <v>8.7276464039076629E-3</v>
      </c>
    </row>
    <row r="635" spans="1:7" ht="14.25" customHeight="1" x14ac:dyDescent="0.25">
      <c r="A635" s="121">
        <v>43592</v>
      </c>
      <c r="B635" s="9">
        <v>438.17498799999998</v>
      </c>
      <c r="C635" s="39">
        <f t="shared" si="0"/>
        <v>1.6588351254637423E-2</v>
      </c>
      <c r="E635" s="121">
        <v>43592</v>
      </c>
      <c r="F635" s="9">
        <v>11497.900390999999</v>
      </c>
      <c r="G635" s="39">
        <f t="shared" si="1"/>
        <v>1.2188107137521609E-2</v>
      </c>
    </row>
    <row r="636" spans="1:7" ht="14.25" customHeight="1" x14ac:dyDescent="0.25">
      <c r="A636" s="121">
        <v>43593</v>
      </c>
      <c r="B636" s="9">
        <v>431.02499399999999</v>
      </c>
      <c r="C636" s="39">
        <f t="shared" si="0"/>
        <v>-6.3396923244496417E-3</v>
      </c>
      <c r="E636" s="121">
        <v>43593</v>
      </c>
      <c r="F636" s="9">
        <v>11359.450194999999</v>
      </c>
      <c r="G636" s="39">
        <f t="shared" si="1"/>
        <v>5.1009919654119162E-3</v>
      </c>
    </row>
    <row r="637" spans="1:7" ht="14.25" customHeight="1" x14ac:dyDescent="0.25">
      <c r="A637" s="121">
        <v>43594</v>
      </c>
      <c r="B637" s="9">
        <v>433.77499399999999</v>
      </c>
      <c r="C637" s="39">
        <f t="shared" si="0"/>
        <v>-8.6375677803185447E-4</v>
      </c>
      <c r="E637" s="121">
        <v>43594</v>
      </c>
      <c r="F637" s="9">
        <v>11301.799805000001</v>
      </c>
      <c r="G637" s="39">
        <f t="shared" si="1"/>
        <v>2.0302878123006352E-3</v>
      </c>
    </row>
    <row r="638" spans="1:7" ht="14.25" customHeight="1" x14ac:dyDescent="0.25">
      <c r="A638" s="121">
        <v>43595</v>
      </c>
      <c r="B638" s="9">
        <v>434.14999399999999</v>
      </c>
      <c r="C638" s="39">
        <f t="shared" si="0"/>
        <v>3.0990234656990134E-2</v>
      </c>
      <c r="E638" s="121">
        <v>43595</v>
      </c>
      <c r="F638" s="9">
        <v>11278.900390999999</v>
      </c>
      <c r="G638" s="39">
        <f t="shared" si="1"/>
        <v>1.1723883112416678E-2</v>
      </c>
    </row>
    <row r="639" spans="1:7" ht="14.25" customHeight="1" x14ac:dyDescent="0.25">
      <c r="A639" s="121">
        <v>43598</v>
      </c>
      <c r="B639" s="9">
        <v>421.10000600000001</v>
      </c>
      <c r="C639" s="39">
        <f t="shared" si="0"/>
        <v>4.6276165531630609E-2</v>
      </c>
      <c r="E639" s="121">
        <v>43598</v>
      </c>
      <c r="F639" s="9">
        <v>11148.200194999999</v>
      </c>
      <c r="G639" s="39">
        <f t="shared" si="1"/>
        <v>-6.5807594230331556E-3</v>
      </c>
    </row>
    <row r="640" spans="1:7" ht="14.25" customHeight="1" x14ac:dyDescent="0.25">
      <c r="A640" s="121">
        <v>43599</v>
      </c>
      <c r="B640" s="9">
        <v>402.47500600000001</v>
      </c>
      <c r="C640" s="39">
        <f t="shared" si="0"/>
        <v>3.8980331719909778E-2</v>
      </c>
      <c r="E640" s="121">
        <v>43599</v>
      </c>
      <c r="F640" s="9">
        <v>11222.049805000001</v>
      </c>
      <c r="G640" s="39">
        <f t="shared" si="1"/>
        <v>5.8304028860804991E-3</v>
      </c>
    </row>
    <row r="641" spans="1:7" ht="14.25" customHeight="1" x14ac:dyDescent="0.25">
      <c r="A641" s="121">
        <v>43600</v>
      </c>
      <c r="B641" s="9">
        <v>387.375</v>
      </c>
      <c r="C641" s="39">
        <f t="shared" si="0"/>
        <v>2.5822994396595966E-4</v>
      </c>
      <c r="E641" s="121">
        <v>43600</v>
      </c>
      <c r="F641" s="9">
        <v>11157</v>
      </c>
      <c r="G641" s="39">
        <f t="shared" si="1"/>
        <v>-8.8921314083399983E-3</v>
      </c>
    </row>
    <row r="642" spans="1:7" ht="14.25" customHeight="1" x14ac:dyDescent="0.25">
      <c r="A642" s="121">
        <v>43601</v>
      </c>
      <c r="B642" s="9">
        <v>387.27499399999999</v>
      </c>
      <c r="C642" s="39">
        <f t="shared" si="0"/>
        <v>-3.2960888450551673E-2</v>
      </c>
      <c r="E642" s="121">
        <v>43601</v>
      </c>
      <c r="F642" s="9">
        <v>11257.099609000001</v>
      </c>
      <c r="G642" s="39">
        <f t="shared" si="1"/>
        <v>-1.3154098688694882E-2</v>
      </c>
    </row>
    <row r="643" spans="1:7" ht="14.25" customHeight="1" x14ac:dyDescent="0.25">
      <c r="A643" s="121">
        <v>43602</v>
      </c>
      <c r="B643" s="9">
        <v>400.47500600000001</v>
      </c>
      <c r="C643" s="39">
        <f t="shared" si="0"/>
        <v>-1.9344950107131886E-2</v>
      </c>
      <c r="E643" s="121">
        <v>43602</v>
      </c>
      <c r="F643" s="9">
        <v>11407.150390999999</v>
      </c>
      <c r="G643" s="39">
        <f t="shared" si="1"/>
        <v>-3.5601175913596794E-2</v>
      </c>
    </row>
    <row r="644" spans="1:7" ht="14.25" customHeight="1" x14ac:dyDescent="0.25">
      <c r="A644" s="121">
        <v>43605</v>
      </c>
      <c r="B644" s="9">
        <v>408.375</v>
      </c>
      <c r="C644" s="39">
        <f t="shared" si="0"/>
        <v>4.9833738651403614E-3</v>
      </c>
      <c r="E644" s="121">
        <v>43605</v>
      </c>
      <c r="F644" s="9">
        <v>11828.25</v>
      </c>
      <c r="G644" s="39">
        <f t="shared" si="1"/>
        <v>1.0175879869398052E-2</v>
      </c>
    </row>
    <row r="645" spans="1:7" ht="14.25" customHeight="1" x14ac:dyDescent="0.25">
      <c r="A645" s="121">
        <v>43606</v>
      </c>
      <c r="B645" s="9">
        <v>406.35000600000001</v>
      </c>
      <c r="C645" s="39">
        <f t="shared" si="0"/>
        <v>-4.0441029411764085E-3</v>
      </c>
      <c r="E645" s="121">
        <v>43606</v>
      </c>
      <c r="F645" s="9">
        <v>11709.099609000001</v>
      </c>
      <c r="G645" s="39">
        <f t="shared" si="1"/>
        <v>-2.453657046031954E-3</v>
      </c>
    </row>
    <row r="646" spans="1:7" ht="14.25" customHeight="1" x14ac:dyDescent="0.25">
      <c r="A646" s="121">
        <v>43607</v>
      </c>
      <c r="B646" s="9">
        <v>408</v>
      </c>
      <c r="C646" s="39">
        <f t="shared" si="0"/>
        <v>2.1596244131455444E-2</v>
      </c>
      <c r="E646" s="121">
        <v>43607</v>
      </c>
      <c r="F646" s="9">
        <v>11737.900390999999</v>
      </c>
      <c r="G646" s="39">
        <f t="shared" si="1"/>
        <v>6.9357673984817847E-3</v>
      </c>
    </row>
    <row r="647" spans="1:7" ht="14.25" customHeight="1" x14ac:dyDescent="0.25">
      <c r="A647" s="121">
        <v>43608</v>
      </c>
      <c r="B647" s="9">
        <v>399.375</v>
      </c>
      <c r="C647" s="39">
        <f t="shared" si="0"/>
        <v>-2.1199666998830913E-2</v>
      </c>
      <c r="E647" s="121">
        <v>43608</v>
      </c>
      <c r="F647" s="9">
        <v>11657.049805000001</v>
      </c>
      <c r="G647" s="39">
        <f t="shared" si="1"/>
        <v>-1.579265711830613E-2</v>
      </c>
    </row>
    <row r="648" spans="1:7" ht="14.25" customHeight="1" x14ac:dyDescent="0.25">
      <c r="A648" s="121">
        <v>43609</v>
      </c>
      <c r="B648" s="9">
        <v>408.02499399999999</v>
      </c>
      <c r="C648" s="39">
        <f t="shared" si="0"/>
        <v>-2.6193331742243475E-2</v>
      </c>
      <c r="E648" s="121">
        <v>43609</v>
      </c>
      <c r="F648" s="9">
        <v>11844.099609000001</v>
      </c>
      <c r="G648" s="39">
        <f t="shared" si="1"/>
        <v>-6.7632773014109082E-3</v>
      </c>
    </row>
    <row r="649" spans="1:7" ht="14.25" customHeight="1" x14ac:dyDescent="0.25">
      <c r="A649" s="121">
        <v>43612</v>
      </c>
      <c r="B649" s="9">
        <v>419</v>
      </c>
      <c r="C649" s="39">
        <f t="shared" si="0"/>
        <v>3.8933812518717748E-3</v>
      </c>
      <c r="E649" s="121">
        <v>43612</v>
      </c>
      <c r="F649" s="9">
        <v>11924.75</v>
      </c>
      <c r="G649" s="39">
        <f t="shared" si="1"/>
        <v>-3.3532432149219193E-4</v>
      </c>
    </row>
    <row r="650" spans="1:7" ht="14.25" customHeight="1" x14ac:dyDescent="0.25">
      <c r="A650" s="121">
        <v>43613</v>
      </c>
      <c r="B650" s="9">
        <v>417.375</v>
      </c>
      <c r="C650" s="39">
        <f t="shared" si="0"/>
        <v>-7.3136209114914585E-3</v>
      </c>
      <c r="E650" s="121">
        <v>43613</v>
      </c>
      <c r="F650" s="9">
        <v>11928.75</v>
      </c>
      <c r="G650" s="39">
        <f t="shared" si="1"/>
        <v>5.7035513763552537E-3</v>
      </c>
    </row>
    <row r="651" spans="1:7" ht="14.25" customHeight="1" x14ac:dyDescent="0.25">
      <c r="A651" s="121">
        <v>43614</v>
      </c>
      <c r="B651" s="9">
        <v>420.45001200000002</v>
      </c>
      <c r="C651" s="39">
        <f t="shared" si="0"/>
        <v>7.4278326474972456E-3</v>
      </c>
      <c r="E651" s="121">
        <v>43614</v>
      </c>
      <c r="F651" s="9">
        <v>11861.099609000001</v>
      </c>
      <c r="G651" s="39">
        <f t="shared" si="1"/>
        <v>-7.0987350659551529E-3</v>
      </c>
    </row>
    <row r="652" spans="1:7" ht="14.25" customHeight="1" x14ac:dyDescent="0.25">
      <c r="A652" s="121">
        <v>43615</v>
      </c>
      <c r="B652" s="9">
        <v>417.35000600000001</v>
      </c>
      <c r="C652" s="39">
        <f t="shared" si="0"/>
        <v>-1.060867865274906E-2</v>
      </c>
      <c r="E652" s="121">
        <v>43615</v>
      </c>
      <c r="F652" s="9">
        <v>11945.900390999999</v>
      </c>
      <c r="G652" s="39">
        <f t="shared" si="1"/>
        <v>1.9375135352277528E-3</v>
      </c>
    </row>
    <row r="653" spans="1:7" ht="14.25" customHeight="1" x14ac:dyDescent="0.25">
      <c r="A653" s="121">
        <v>43616</v>
      </c>
      <c r="B653" s="9">
        <v>421.82501200000002</v>
      </c>
      <c r="C653" s="39">
        <f t="shared" si="0"/>
        <v>-7.1201458333037815E-3</v>
      </c>
      <c r="E653" s="121">
        <v>43616</v>
      </c>
      <c r="F653" s="9">
        <v>11922.799805000001</v>
      </c>
      <c r="G653" s="39">
        <f t="shared" si="1"/>
        <v>-1.3711322091872757E-2</v>
      </c>
    </row>
    <row r="654" spans="1:7" ht="14.25" customHeight="1" x14ac:dyDescent="0.25">
      <c r="A654" s="121">
        <v>43619</v>
      </c>
      <c r="B654" s="9">
        <v>424.85000600000001</v>
      </c>
      <c r="C654" s="39">
        <f t="shared" si="0"/>
        <v>4.6704250665090541E-3</v>
      </c>
      <c r="E654" s="121">
        <v>43619</v>
      </c>
      <c r="F654" s="9">
        <v>12088.549805000001</v>
      </c>
      <c r="G654" s="39">
        <f t="shared" si="1"/>
        <v>5.5649109584892109E-3</v>
      </c>
    </row>
    <row r="655" spans="1:7" ht="14.25" customHeight="1" x14ac:dyDescent="0.25">
      <c r="A655" s="121">
        <v>43620</v>
      </c>
      <c r="B655" s="9">
        <v>422.875</v>
      </c>
      <c r="C655" s="39">
        <f t="shared" si="0"/>
        <v>4.3344307137231919E-3</v>
      </c>
      <c r="E655" s="121">
        <v>43620</v>
      </c>
      <c r="F655" s="9">
        <v>12021.650390999999</v>
      </c>
      <c r="G655" s="39">
        <f t="shared" si="1"/>
        <v>1.5020613488126555E-2</v>
      </c>
    </row>
    <row r="656" spans="1:7" ht="14.25" customHeight="1" x14ac:dyDescent="0.25">
      <c r="A656" s="121">
        <v>43622</v>
      </c>
      <c r="B656" s="9">
        <v>421.04998799999998</v>
      </c>
      <c r="C656" s="39">
        <f t="shared" si="0"/>
        <v>-7.1332285902288017E-3</v>
      </c>
      <c r="E656" s="121">
        <v>43622</v>
      </c>
      <c r="F656" s="9">
        <v>11843.75</v>
      </c>
      <c r="G656" s="39">
        <f t="shared" si="1"/>
        <v>-2.2661261273766442E-3</v>
      </c>
    </row>
    <row r="657" spans="1:7" ht="14.25" customHeight="1" x14ac:dyDescent="0.25">
      <c r="A657" s="121">
        <v>43623</v>
      </c>
      <c r="B657" s="9">
        <v>424.07501200000002</v>
      </c>
      <c r="C657" s="39">
        <f t="shared" si="0"/>
        <v>-2.1177574852484504E-3</v>
      </c>
      <c r="E657" s="121">
        <v>43623</v>
      </c>
      <c r="F657" s="9">
        <v>11870.650390999999</v>
      </c>
      <c r="G657" s="39">
        <f t="shared" si="1"/>
        <v>-4.3656053703193809E-3</v>
      </c>
    </row>
    <row r="658" spans="1:7" ht="14.25" customHeight="1" x14ac:dyDescent="0.25">
      <c r="A658" s="121">
        <v>43626</v>
      </c>
      <c r="B658" s="9">
        <v>424.97500600000001</v>
      </c>
      <c r="C658" s="39">
        <v>0</v>
      </c>
      <c r="E658" s="121">
        <v>43626</v>
      </c>
      <c r="F658" s="9">
        <v>11922.700194999999</v>
      </c>
      <c r="G658" s="39">
        <f t="shared" si="1"/>
        <v>-3.5852289397795278E-3</v>
      </c>
    </row>
    <row r="659" spans="1:7" ht="14.25" customHeight="1" x14ac:dyDescent="0.25">
      <c r="A659" s="121">
        <v>43627</v>
      </c>
      <c r="B659" s="9">
        <v>419.67498799999998</v>
      </c>
      <c r="C659" s="39">
        <f t="shared" ref="C659:C1235" si="2">B659/B660-1</f>
        <v>4.1873543105779287E-3</v>
      </c>
      <c r="E659" s="121">
        <v>43627</v>
      </c>
      <c r="F659" s="9">
        <v>11965.599609000001</v>
      </c>
      <c r="G659" s="39">
        <f t="shared" si="1"/>
        <v>4.9889480293592303E-3</v>
      </c>
    </row>
    <row r="660" spans="1:7" ht="14.25" customHeight="1" x14ac:dyDescent="0.25">
      <c r="A660" s="121">
        <v>43628</v>
      </c>
      <c r="B660" s="9">
        <v>417.92498799999998</v>
      </c>
      <c r="C660" s="39">
        <f t="shared" si="2"/>
        <v>8.0197345679728915E-3</v>
      </c>
      <c r="E660" s="121">
        <v>43628</v>
      </c>
      <c r="F660" s="9">
        <v>11906.200194999999</v>
      </c>
      <c r="G660" s="39">
        <f t="shared" si="1"/>
        <v>-6.5885321351488724E-4</v>
      </c>
    </row>
    <row r="661" spans="1:7" ht="14.25" customHeight="1" x14ac:dyDescent="0.25">
      <c r="A661" s="121">
        <v>43629</v>
      </c>
      <c r="B661" s="9">
        <v>414.60000600000001</v>
      </c>
      <c r="C661" s="39">
        <f t="shared" si="2"/>
        <v>5.578506104637615E-3</v>
      </c>
      <c r="E661" s="121">
        <v>43629</v>
      </c>
      <c r="F661" s="9">
        <v>11914.049805000001</v>
      </c>
      <c r="G661" s="39">
        <f t="shared" si="1"/>
        <v>7.6755221889597269E-3</v>
      </c>
    </row>
    <row r="662" spans="1:7" ht="14.25" customHeight="1" x14ac:dyDescent="0.25">
      <c r="A662" s="121">
        <v>43630</v>
      </c>
      <c r="B662" s="9">
        <v>412.29998799999998</v>
      </c>
      <c r="C662" s="39">
        <f t="shared" si="2"/>
        <v>-3.6373862440330917E-4</v>
      </c>
      <c r="E662" s="121">
        <v>43630</v>
      </c>
      <c r="F662" s="9">
        <v>11823.299805000001</v>
      </c>
      <c r="G662" s="39">
        <f t="shared" si="1"/>
        <v>1.2949577321805794E-2</v>
      </c>
    </row>
    <row r="663" spans="1:7" ht="14.25" customHeight="1" x14ac:dyDescent="0.25">
      <c r="A663" s="121">
        <v>43633</v>
      </c>
      <c r="B663" s="9">
        <v>412.45001200000002</v>
      </c>
      <c r="C663" s="39">
        <f t="shared" si="2"/>
        <v>-1.126688737289061E-2</v>
      </c>
      <c r="E663" s="121">
        <v>43633</v>
      </c>
      <c r="F663" s="9">
        <v>11672.150390999999</v>
      </c>
      <c r="G663" s="39">
        <f t="shared" si="1"/>
        <v>-1.6550150964376176E-3</v>
      </c>
    </row>
    <row r="664" spans="1:7" ht="14.25" customHeight="1" x14ac:dyDescent="0.25">
      <c r="A664" s="121">
        <v>43634</v>
      </c>
      <c r="B664" s="9">
        <v>417.14999399999999</v>
      </c>
      <c r="C664" s="39">
        <f t="shared" si="2"/>
        <v>-7.7851846297116722E-4</v>
      </c>
      <c r="E664" s="121">
        <v>43634</v>
      </c>
      <c r="F664" s="9">
        <v>11691.5</v>
      </c>
      <c r="G664" s="39">
        <f t="shared" si="1"/>
        <v>4.2599505767348944E-6</v>
      </c>
    </row>
    <row r="665" spans="1:7" ht="14.25" customHeight="1" x14ac:dyDescent="0.25">
      <c r="A665" s="121">
        <v>43635</v>
      </c>
      <c r="B665" s="9">
        <v>417.47500600000001</v>
      </c>
      <c r="C665" s="39">
        <f t="shared" si="2"/>
        <v>8.0893594929067891E-3</v>
      </c>
      <c r="E665" s="121">
        <v>43635</v>
      </c>
      <c r="F665" s="9">
        <v>11691.450194999999</v>
      </c>
      <c r="G665" s="39">
        <f t="shared" si="1"/>
        <v>-1.1857908170811671E-2</v>
      </c>
    </row>
    <row r="666" spans="1:7" ht="14.25" customHeight="1" x14ac:dyDescent="0.25">
      <c r="A666" s="121">
        <v>43636</v>
      </c>
      <c r="B666" s="9">
        <v>414.125</v>
      </c>
      <c r="C666" s="39">
        <f t="shared" si="2"/>
        <v>-5.5231748004516135E-3</v>
      </c>
      <c r="E666" s="121">
        <v>43636</v>
      </c>
      <c r="F666" s="9">
        <v>11831.75</v>
      </c>
      <c r="G666" s="39">
        <f t="shared" si="1"/>
        <v>9.1819751273147787E-3</v>
      </c>
    </row>
    <row r="667" spans="1:7" ht="14.25" customHeight="1" x14ac:dyDescent="0.25">
      <c r="A667" s="121">
        <v>43637</v>
      </c>
      <c r="B667" s="9">
        <v>416.42498799999998</v>
      </c>
      <c r="C667" s="39">
        <f t="shared" si="2"/>
        <v>-1.8849031574927011E-2</v>
      </c>
      <c r="E667" s="121">
        <v>43637</v>
      </c>
      <c r="F667" s="9">
        <v>11724.099609000001</v>
      </c>
      <c r="G667" s="39">
        <f t="shared" si="1"/>
        <v>2.0897391958660805E-3</v>
      </c>
    </row>
    <row r="668" spans="1:7" ht="14.25" customHeight="1" x14ac:dyDescent="0.25">
      <c r="A668" s="121">
        <v>43640</v>
      </c>
      <c r="B668" s="9">
        <v>424.42498799999998</v>
      </c>
      <c r="C668" s="39">
        <f t="shared" si="2"/>
        <v>6.4834139783109812E-4</v>
      </c>
      <c r="E668" s="121">
        <v>43640</v>
      </c>
      <c r="F668" s="9">
        <v>11699.650390999999</v>
      </c>
      <c r="G668" s="39">
        <f t="shared" si="1"/>
        <v>-8.205841791374624E-3</v>
      </c>
    </row>
    <row r="669" spans="1:7" ht="14.25" customHeight="1" x14ac:dyDescent="0.25">
      <c r="A669" s="121">
        <v>43641</v>
      </c>
      <c r="B669" s="9">
        <v>424.14999399999999</v>
      </c>
      <c r="C669" s="39">
        <f t="shared" si="2"/>
        <v>-3.558434385405207E-2</v>
      </c>
      <c r="E669" s="121">
        <v>43641</v>
      </c>
      <c r="F669" s="9">
        <v>11796.450194999999</v>
      </c>
      <c r="G669" s="39">
        <f t="shared" si="1"/>
        <v>-4.3130951834813303E-3</v>
      </c>
    </row>
    <row r="670" spans="1:7" ht="14.25" customHeight="1" x14ac:dyDescent="0.25">
      <c r="A670" s="121">
        <v>43642</v>
      </c>
      <c r="B670" s="9">
        <v>439.79998799999998</v>
      </c>
      <c r="C670" s="39">
        <f t="shared" si="2"/>
        <v>1.161584358826917E-2</v>
      </c>
      <c r="E670" s="121">
        <v>43642</v>
      </c>
      <c r="F670" s="9">
        <v>11847.549805000001</v>
      </c>
      <c r="G670" s="39">
        <f t="shared" si="1"/>
        <v>5.0669043316164952E-4</v>
      </c>
    </row>
    <row r="671" spans="1:7" ht="14.25" customHeight="1" x14ac:dyDescent="0.25">
      <c r="A671" s="121">
        <v>43643</v>
      </c>
      <c r="B671" s="9">
        <v>434.75</v>
      </c>
      <c r="C671" s="39">
        <f t="shared" si="2"/>
        <v>2.5366217346241005E-3</v>
      </c>
      <c r="E671" s="121">
        <v>43643</v>
      </c>
      <c r="F671" s="9">
        <v>11841.549805000001</v>
      </c>
      <c r="G671" s="39">
        <f t="shared" si="1"/>
        <v>4.4703425480774328E-3</v>
      </c>
    </row>
    <row r="672" spans="1:7" ht="14.25" customHeight="1" x14ac:dyDescent="0.25">
      <c r="A672" s="121">
        <v>43644</v>
      </c>
      <c r="B672" s="9">
        <v>433.64999399999999</v>
      </c>
      <c r="C672" s="39">
        <f t="shared" si="2"/>
        <v>-3.4509629760787641E-2</v>
      </c>
      <c r="E672" s="121">
        <v>43644</v>
      </c>
      <c r="F672" s="9">
        <v>11788.849609000001</v>
      </c>
      <c r="G672" s="39">
        <f t="shared" si="1"/>
        <v>-6.4682782606102496E-3</v>
      </c>
    </row>
    <row r="673" spans="1:7" ht="14.25" customHeight="1" x14ac:dyDescent="0.25">
      <c r="A673" s="121">
        <v>43647</v>
      </c>
      <c r="B673" s="9">
        <v>449.14999399999999</v>
      </c>
      <c r="C673" s="39">
        <f t="shared" si="2"/>
        <v>-3.1586878781894256E-2</v>
      </c>
      <c r="E673" s="121">
        <v>43647</v>
      </c>
      <c r="F673" s="9">
        <v>11865.599609000001</v>
      </c>
      <c r="G673" s="39">
        <f t="shared" si="1"/>
        <v>-3.7530705970335587E-3</v>
      </c>
    </row>
    <row r="674" spans="1:7" ht="14.25" customHeight="1" x14ac:dyDescent="0.25">
      <c r="A674" s="121">
        <v>43648</v>
      </c>
      <c r="B674" s="9">
        <v>463.79998799999998</v>
      </c>
      <c r="C674" s="39">
        <f t="shared" si="2"/>
        <v>-4.9346019532126029E-3</v>
      </c>
      <c r="E674" s="121">
        <v>43648</v>
      </c>
      <c r="F674" s="9">
        <v>11910.299805000001</v>
      </c>
      <c r="G674" s="39">
        <f t="shared" si="1"/>
        <v>-5.4127131978087828E-4</v>
      </c>
    </row>
    <row r="675" spans="1:7" ht="14.25" customHeight="1" x14ac:dyDescent="0.25">
      <c r="A675" s="121">
        <v>43649</v>
      </c>
      <c r="B675" s="9">
        <v>466.10000600000001</v>
      </c>
      <c r="C675" s="39">
        <f t="shared" si="2"/>
        <v>6.2607813576653903E-3</v>
      </c>
      <c r="E675" s="121">
        <v>43649</v>
      </c>
      <c r="F675" s="9">
        <v>11916.75</v>
      </c>
      <c r="G675" s="39">
        <f t="shared" si="1"/>
        <v>-2.5111431979408794E-3</v>
      </c>
    </row>
    <row r="676" spans="1:7" ht="14.25" customHeight="1" x14ac:dyDescent="0.25">
      <c r="A676" s="121">
        <v>43650</v>
      </c>
      <c r="B676" s="9">
        <v>463.20001200000002</v>
      </c>
      <c r="C676" s="39">
        <f t="shared" si="2"/>
        <v>4.5126352568781058E-2</v>
      </c>
      <c r="E676" s="121">
        <v>43650</v>
      </c>
      <c r="F676" s="9">
        <v>11946.75</v>
      </c>
      <c r="G676" s="39">
        <f t="shared" si="1"/>
        <v>1.1480643672383328E-2</v>
      </c>
    </row>
    <row r="677" spans="1:7" ht="14.25" customHeight="1" x14ac:dyDescent="0.25">
      <c r="A677" s="121">
        <v>43651</v>
      </c>
      <c r="B677" s="9">
        <v>443.20001200000002</v>
      </c>
      <c r="C677" s="39">
        <f t="shared" si="2"/>
        <v>1.2218809927343033E-2</v>
      </c>
      <c r="E677" s="121">
        <v>43651</v>
      </c>
      <c r="F677" s="9">
        <v>11811.150390999999</v>
      </c>
      <c r="G677" s="39">
        <f t="shared" si="1"/>
        <v>2.1849600344608477E-2</v>
      </c>
    </row>
    <row r="678" spans="1:7" ht="14.25" customHeight="1" x14ac:dyDescent="0.25">
      <c r="A678" s="121">
        <v>43654</v>
      </c>
      <c r="B678" s="9">
        <v>437.85000600000001</v>
      </c>
      <c r="C678" s="39">
        <f t="shared" si="2"/>
        <v>1.3189892581602081E-2</v>
      </c>
      <c r="E678" s="121">
        <v>43654</v>
      </c>
      <c r="F678" s="9">
        <v>11558.599609000001</v>
      </c>
      <c r="G678" s="39">
        <f t="shared" si="1"/>
        <v>2.3357920271660504E-4</v>
      </c>
    </row>
    <row r="679" spans="1:7" ht="14.25" customHeight="1" x14ac:dyDescent="0.25">
      <c r="A679" s="121">
        <v>43655</v>
      </c>
      <c r="B679" s="9">
        <v>432.14999399999999</v>
      </c>
      <c r="C679" s="39">
        <f t="shared" si="2"/>
        <v>1.1705490039173538E-2</v>
      </c>
      <c r="E679" s="121">
        <v>43655</v>
      </c>
      <c r="F679" s="9">
        <v>11555.900390999999</v>
      </c>
      <c r="G679" s="39">
        <f t="shared" si="1"/>
        <v>4.9569957180091162E-3</v>
      </c>
    </row>
    <row r="680" spans="1:7" ht="14.25" customHeight="1" x14ac:dyDescent="0.25">
      <c r="A680" s="121">
        <v>43656</v>
      </c>
      <c r="B680" s="9">
        <v>427.14999399999999</v>
      </c>
      <c r="C680" s="39">
        <f t="shared" si="2"/>
        <v>-4.6802854145744366E-4</v>
      </c>
      <c r="E680" s="121">
        <v>43656</v>
      </c>
      <c r="F680" s="9">
        <v>11498.900390999999</v>
      </c>
      <c r="G680" s="39">
        <f t="shared" si="1"/>
        <v>-7.2520696168006937E-3</v>
      </c>
    </row>
    <row r="681" spans="1:7" ht="14.25" customHeight="1" x14ac:dyDescent="0.25">
      <c r="A681" s="121">
        <v>43657</v>
      </c>
      <c r="B681" s="9">
        <v>427.35000600000001</v>
      </c>
      <c r="C681" s="39">
        <f t="shared" si="2"/>
        <v>9.5677252889505571E-3</v>
      </c>
      <c r="E681" s="121">
        <v>43657</v>
      </c>
      <c r="F681" s="9">
        <v>11582.900390999999</v>
      </c>
      <c r="G681" s="39">
        <f t="shared" si="1"/>
        <v>2.6314988963427322E-3</v>
      </c>
    </row>
    <row r="682" spans="1:7" ht="14.25" customHeight="1" x14ac:dyDescent="0.25">
      <c r="A682" s="121">
        <v>43658</v>
      </c>
      <c r="B682" s="9">
        <v>423.29998799999998</v>
      </c>
      <c r="C682" s="39">
        <f t="shared" si="2"/>
        <v>1.1810513880683438E-4</v>
      </c>
      <c r="E682" s="121">
        <v>43658</v>
      </c>
      <c r="F682" s="9">
        <v>11552.5</v>
      </c>
      <c r="G682" s="39">
        <f t="shared" si="1"/>
        <v>-3.0935905637640149E-3</v>
      </c>
    </row>
    <row r="683" spans="1:7" ht="14.25" customHeight="1" x14ac:dyDescent="0.25">
      <c r="A683" s="121">
        <v>43661</v>
      </c>
      <c r="B683" s="9">
        <v>423.25</v>
      </c>
      <c r="C683" s="39">
        <f t="shared" si="2"/>
        <v>3.5566093657379838E-3</v>
      </c>
      <c r="E683" s="121">
        <v>43661</v>
      </c>
      <c r="F683" s="9">
        <v>11588.349609000001</v>
      </c>
      <c r="G683" s="39">
        <f t="shared" si="1"/>
        <v>-6.366505109435594E-3</v>
      </c>
    </row>
    <row r="684" spans="1:7" ht="14.25" customHeight="1" x14ac:dyDescent="0.25">
      <c r="A684" s="121">
        <v>43662</v>
      </c>
      <c r="B684" s="9">
        <v>421.75</v>
      </c>
      <c r="C684" s="39">
        <f t="shared" si="2"/>
        <v>-6.0098705447052536E-3</v>
      </c>
      <c r="E684" s="121">
        <v>43662</v>
      </c>
      <c r="F684" s="9">
        <v>11662.599609000001</v>
      </c>
      <c r="G684" s="39">
        <f t="shared" si="1"/>
        <v>-2.1305147379678813E-3</v>
      </c>
    </row>
    <row r="685" spans="1:7" ht="14.25" customHeight="1" x14ac:dyDescent="0.25">
      <c r="A685" s="121">
        <v>43663</v>
      </c>
      <c r="B685" s="9">
        <v>424.29998799999998</v>
      </c>
      <c r="C685" s="39">
        <f t="shared" si="2"/>
        <v>1.2286756706955781E-2</v>
      </c>
      <c r="E685" s="121">
        <v>43663</v>
      </c>
      <c r="F685" s="9">
        <v>11687.5</v>
      </c>
      <c r="G685" s="39">
        <f t="shared" si="1"/>
        <v>7.8123986535498791E-3</v>
      </c>
    </row>
    <row r="686" spans="1:7" ht="14.25" customHeight="1" x14ac:dyDescent="0.25">
      <c r="A686" s="121">
        <v>43664</v>
      </c>
      <c r="B686" s="9">
        <v>419.14999399999999</v>
      </c>
      <c r="C686" s="39">
        <f t="shared" si="2"/>
        <v>-6.2825843418468086E-3</v>
      </c>
      <c r="E686" s="121">
        <v>43664</v>
      </c>
      <c r="F686" s="9">
        <v>11596.900390999999</v>
      </c>
      <c r="G686" s="39">
        <f t="shared" si="1"/>
        <v>1.5557097970532174E-2</v>
      </c>
    </row>
    <row r="687" spans="1:7" ht="14.25" customHeight="1" x14ac:dyDescent="0.25">
      <c r="A687" s="121">
        <v>43665</v>
      </c>
      <c r="B687" s="9">
        <v>421.79998799999998</v>
      </c>
      <c r="C687" s="39">
        <f t="shared" si="2"/>
        <v>8.1261808048687101E-3</v>
      </c>
      <c r="E687" s="121">
        <v>43665</v>
      </c>
      <c r="F687" s="9">
        <v>11419.25</v>
      </c>
      <c r="G687" s="39">
        <f t="shared" si="1"/>
        <v>6.4382615981155578E-3</v>
      </c>
    </row>
    <row r="688" spans="1:7" ht="14.25" customHeight="1" x14ac:dyDescent="0.25">
      <c r="A688" s="121">
        <v>43668</v>
      </c>
      <c r="B688" s="9">
        <v>418.39999399999999</v>
      </c>
      <c r="C688" s="39">
        <f t="shared" si="2"/>
        <v>2.1359697615423334E-2</v>
      </c>
      <c r="E688" s="121">
        <v>43668</v>
      </c>
      <c r="F688" s="9">
        <v>11346.200194999999</v>
      </c>
      <c r="G688" s="39">
        <f t="shared" si="1"/>
        <v>1.3370685206337551E-3</v>
      </c>
    </row>
    <row r="689" spans="1:7" ht="14.25" customHeight="1" x14ac:dyDescent="0.25">
      <c r="A689" s="121">
        <v>43669</v>
      </c>
      <c r="B689" s="9">
        <v>409.64999399999999</v>
      </c>
      <c r="C689" s="39">
        <f t="shared" si="2"/>
        <v>1.3608808812700435E-2</v>
      </c>
      <c r="E689" s="121">
        <v>43669</v>
      </c>
      <c r="F689" s="9">
        <v>11331.049805000001</v>
      </c>
      <c r="G689" s="39">
        <f t="shared" si="1"/>
        <v>5.3010745019395067E-3</v>
      </c>
    </row>
    <row r="690" spans="1:7" ht="14.25" customHeight="1" x14ac:dyDescent="0.25">
      <c r="A690" s="121">
        <v>43670</v>
      </c>
      <c r="B690" s="9">
        <v>404.14999399999999</v>
      </c>
      <c r="C690" s="39">
        <f t="shared" si="2"/>
        <v>9.9069721362221586E-4</v>
      </c>
      <c r="E690" s="121">
        <v>43670</v>
      </c>
      <c r="F690" s="9">
        <v>11271.299805000001</v>
      </c>
      <c r="G690" s="39">
        <f t="shared" si="1"/>
        <v>1.7018448327279501E-3</v>
      </c>
    </row>
    <row r="691" spans="1:7" ht="14.25" customHeight="1" x14ac:dyDescent="0.25">
      <c r="A691" s="121">
        <v>43671</v>
      </c>
      <c r="B691" s="9">
        <v>403.75</v>
      </c>
      <c r="C691" s="39">
        <f t="shared" si="2"/>
        <v>-1.2474026966261098E-2</v>
      </c>
      <c r="E691" s="121">
        <v>43671</v>
      </c>
      <c r="F691" s="9">
        <v>11252.150390999999</v>
      </c>
      <c r="G691" s="39">
        <f t="shared" si="1"/>
        <v>-2.849039333903236E-3</v>
      </c>
    </row>
    <row r="692" spans="1:7" ht="14.25" customHeight="1" x14ac:dyDescent="0.25">
      <c r="A692" s="121">
        <v>43672</v>
      </c>
      <c r="B692" s="9">
        <v>408.85000600000001</v>
      </c>
      <c r="C692" s="39">
        <f t="shared" si="2"/>
        <v>6.2761951152212614E-3</v>
      </c>
      <c r="E692" s="121">
        <v>43672</v>
      </c>
      <c r="F692" s="9">
        <v>11284.299805000001</v>
      </c>
      <c r="G692" s="39">
        <f t="shared" si="1"/>
        <v>8.4992321473074117E-3</v>
      </c>
    </row>
    <row r="693" spans="1:7" ht="14.25" customHeight="1" x14ac:dyDescent="0.25">
      <c r="A693" s="121">
        <v>43675</v>
      </c>
      <c r="B693" s="9">
        <v>406.29998799999998</v>
      </c>
      <c r="C693" s="39">
        <f t="shared" si="2"/>
        <v>9.06492997489039E-3</v>
      </c>
      <c r="E693" s="121">
        <v>43675</v>
      </c>
      <c r="F693" s="9">
        <v>11189.200194999999</v>
      </c>
      <c r="G693" s="39">
        <f t="shared" si="1"/>
        <v>9.3636495154720834E-3</v>
      </c>
    </row>
    <row r="694" spans="1:7" ht="14.25" customHeight="1" x14ac:dyDescent="0.25">
      <c r="A694" s="121">
        <v>43676</v>
      </c>
      <c r="B694" s="9">
        <v>402.64999399999999</v>
      </c>
      <c r="C694" s="39">
        <f t="shared" si="2"/>
        <v>-3.9709025701188394E-2</v>
      </c>
      <c r="E694" s="121">
        <v>43676</v>
      </c>
      <c r="F694" s="9">
        <v>11085.400390999999</v>
      </c>
      <c r="G694" s="39">
        <f t="shared" si="1"/>
        <v>-2.9321468789351712E-3</v>
      </c>
    </row>
    <row r="695" spans="1:7" ht="14.25" customHeight="1" x14ac:dyDescent="0.25">
      <c r="A695" s="121">
        <v>43677</v>
      </c>
      <c r="B695" s="9">
        <v>419.29998799999998</v>
      </c>
      <c r="C695" s="39">
        <f t="shared" si="2"/>
        <v>-1.849256502361718E-2</v>
      </c>
      <c r="E695" s="121">
        <v>43677</v>
      </c>
      <c r="F695" s="9">
        <v>11118</v>
      </c>
      <c r="G695" s="39">
        <f t="shared" si="1"/>
        <v>1.2568306010928953E-2</v>
      </c>
    </row>
    <row r="696" spans="1:7" ht="14.25" customHeight="1" x14ac:dyDescent="0.25">
      <c r="A696" s="121">
        <v>43678</v>
      </c>
      <c r="B696" s="9">
        <v>427.20001200000002</v>
      </c>
      <c r="C696" s="39">
        <f t="shared" si="2"/>
        <v>-2.801078470603291E-3</v>
      </c>
      <c r="E696" s="121">
        <v>43678</v>
      </c>
      <c r="F696" s="9">
        <v>10980</v>
      </c>
      <c r="G696" s="39">
        <f t="shared" si="1"/>
        <v>-1.5776173002449712E-3</v>
      </c>
    </row>
    <row r="697" spans="1:7" ht="14.25" customHeight="1" x14ac:dyDescent="0.25">
      <c r="A697" s="121">
        <v>43679</v>
      </c>
      <c r="B697" s="9">
        <v>428.39999399999999</v>
      </c>
      <c r="C697" s="39">
        <f t="shared" si="2"/>
        <v>-1.6303113662456958E-2</v>
      </c>
      <c r="E697" s="121">
        <v>43679</v>
      </c>
      <c r="F697" s="9">
        <v>10997.349609000001</v>
      </c>
      <c r="G697" s="39">
        <f t="shared" si="1"/>
        <v>1.2404949537894616E-2</v>
      </c>
    </row>
    <row r="698" spans="1:7" ht="14.25" customHeight="1" x14ac:dyDescent="0.25">
      <c r="A698" s="121">
        <v>43682</v>
      </c>
      <c r="B698" s="9">
        <v>435.5</v>
      </c>
      <c r="C698" s="39">
        <f t="shared" si="2"/>
        <v>1.5269816567810235E-2</v>
      </c>
      <c r="E698" s="121">
        <v>43682</v>
      </c>
      <c r="F698" s="9">
        <v>10862.599609000001</v>
      </c>
      <c r="G698" s="39">
        <f t="shared" si="1"/>
        <v>-7.823203799693923E-3</v>
      </c>
    </row>
    <row r="699" spans="1:7" ht="14.25" customHeight="1" x14ac:dyDescent="0.25">
      <c r="A699" s="121">
        <v>43683</v>
      </c>
      <c r="B699" s="9">
        <v>428.95001200000002</v>
      </c>
      <c r="C699" s="39">
        <f t="shared" si="2"/>
        <v>-2.673782803899738E-3</v>
      </c>
      <c r="E699" s="121">
        <v>43683</v>
      </c>
      <c r="F699" s="9">
        <v>10948.25</v>
      </c>
      <c r="G699" s="39">
        <f t="shared" si="1"/>
        <v>8.5440560084750761E-3</v>
      </c>
    </row>
    <row r="700" spans="1:7" ht="14.25" customHeight="1" x14ac:dyDescent="0.25">
      <c r="A700" s="121">
        <v>43684</v>
      </c>
      <c r="B700" s="9">
        <v>430.10000600000001</v>
      </c>
      <c r="C700" s="39">
        <f t="shared" si="2"/>
        <v>-3.7062913030450062E-3</v>
      </c>
      <c r="E700" s="121">
        <v>43684</v>
      </c>
      <c r="F700" s="9">
        <v>10855.5</v>
      </c>
      <c r="G700" s="39">
        <f t="shared" si="1"/>
        <v>-1.6039065835093846E-2</v>
      </c>
    </row>
    <row r="701" spans="1:7" ht="14.25" customHeight="1" x14ac:dyDescent="0.25">
      <c r="A701" s="121">
        <v>43685</v>
      </c>
      <c r="B701" s="9">
        <v>431.70001200000002</v>
      </c>
      <c r="C701" s="39">
        <f t="shared" si="2"/>
        <v>3.9535162790698131E-3</v>
      </c>
      <c r="E701" s="121">
        <v>43685</v>
      </c>
      <c r="F701" s="9">
        <v>11032.450194999999</v>
      </c>
      <c r="G701" s="39">
        <f t="shared" si="1"/>
        <v>-6.9489311799172393E-3</v>
      </c>
    </row>
    <row r="702" spans="1:7" ht="14.25" customHeight="1" x14ac:dyDescent="0.25">
      <c r="A702" s="121">
        <v>43686</v>
      </c>
      <c r="B702" s="9">
        <v>430</v>
      </c>
      <c r="C702" s="39">
        <f t="shared" si="2"/>
        <v>1.5108578633967307E-2</v>
      </c>
      <c r="E702" s="121">
        <v>43686</v>
      </c>
      <c r="F702" s="9">
        <v>11109.650390999999</v>
      </c>
      <c r="G702" s="39">
        <f t="shared" si="1"/>
        <v>1.6822561958806048E-2</v>
      </c>
    </row>
    <row r="703" spans="1:7" ht="14.25" customHeight="1" x14ac:dyDescent="0.25">
      <c r="A703" s="121">
        <v>43690</v>
      </c>
      <c r="B703" s="9">
        <v>423.60000600000001</v>
      </c>
      <c r="C703" s="39">
        <f t="shared" si="2"/>
        <v>-1.9330954434607195E-2</v>
      </c>
      <c r="E703" s="121">
        <v>43690</v>
      </c>
      <c r="F703" s="9">
        <v>10925.849609000001</v>
      </c>
      <c r="G703" s="39">
        <f t="shared" si="1"/>
        <v>-9.3886139163553706E-3</v>
      </c>
    </row>
    <row r="704" spans="1:7" ht="14.25" customHeight="1" x14ac:dyDescent="0.25">
      <c r="A704" s="121">
        <v>43691</v>
      </c>
      <c r="B704" s="9">
        <v>431.95001200000002</v>
      </c>
      <c r="C704" s="39">
        <f t="shared" si="2"/>
        <v>1.1829510590248393E-2</v>
      </c>
      <c r="E704" s="121">
        <v>43691</v>
      </c>
      <c r="F704" s="9">
        <v>11029.400390999999</v>
      </c>
      <c r="G704" s="39">
        <f t="shared" si="1"/>
        <v>-1.6654369489637055E-3</v>
      </c>
    </row>
    <row r="705" spans="1:7" ht="14.25" customHeight="1" x14ac:dyDescent="0.25">
      <c r="A705" s="121">
        <v>43693</v>
      </c>
      <c r="B705" s="9">
        <v>426.89999399999999</v>
      </c>
      <c r="C705" s="39">
        <f t="shared" si="2"/>
        <v>1.642855714285707E-2</v>
      </c>
      <c r="E705" s="121">
        <v>43693</v>
      </c>
      <c r="F705" s="9">
        <v>11047.799805000001</v>
      </c>
      <c r="G705" s="39">
        <f t="shared" si="1"/>
        <v>-5.5189442497294294E-4</v>
      </c>
    </row>
    <row r="706" spans="1:7" ht="14.25" customHeight="1" x14ac:dyDescent="0.25">
      <c r="A706" s="121">
        <v>43696</v>
      </c>
      <c r="B706" s="9">
        <v>420</v>
      </c>
      <c r="C706" s="39">
        <f t="shared" si="2"/>
        <v>-1.1648457136647861E-2</v>
      </c>
      <c r="E706" s="121">
        <v>43696</v>
      </c>
      <c r="F706" s="9">
        <v>11053.900390999999</v>
      </c>
      <c r="G706" s="39">
        <f t="shared" si="1"/>
        <v>3.3494046473629968E-3</v>
      </c>
    </row>
    <row r="707" spans="1:7" ht="14.25" customHeight="1" x14ac:dyDescent="0.25">
      <c r="A707" s="121">
        <v>43697</v>
      </c>
      <c r="B707" s="9">
        <v>424.95001200000002</v>
      </c>
      <c r="C707" s="39">
        <f t="shared" si="2"/>
        <v>-1.5272415198227529E-3</v>
      </c>
      <c r="E707" s="121">
        <v>43697</v>
      </c>
      <c r="F707" s="9">
        <v>11017</v>
      </c>
      <c r="G707" s="39">
        <f t="shared" si="1"/>
        <v>9.0028852559771444E-3</v>
      </c>
    </row>
    <row r="708" spans="1:7" ht="14.25" customHeight="1" x14ac:dyDescent="0.25">
      <c r="A708" s="121">
        <v>43698</v>
      </c>
      <c r="B708" s="9">
        <v>425.60000600000001</v>
      </c>
      <c r="C708" s="39">
        <f t="shared" si="2"/>
        <v>7.5757860924590137E-3</v>
      </c>
      <c r="E708" s="121">
        <v>43698</v>
      </c>
      <c r="F708" s="9">
        <v>10918.700194999999</v>
      </c>
      <c r="G708" s="39">
        <f t="shared" si="1"/>
        <v>1.6511015138302554E-2</v>
      </c>
    </row>
    <row r="709" spans="1:7" ht="14.25" customHeight="1" x14ac:dyDescent="0.25">
      <c r="A709" s="121">
        <v>43699</v>
      </c>
      <c r="B709" s="9">
        <v>422.39999399999999</v>
      </c>
      <c r="C709" s="39">
        <f t="shared" si="2"/>
        <v>-1.183998072652459E-4</v>
      </c>
      <c r="E709" s="121">
        <v>43699</v>
      </c>
      <c r="F709" s="9">
        <v>10741.349609000001</v>
      </c>
      <c r="G709" s="39">
        <f t="shared" si="1"/>
        <v>-8.1260651079974044E-3</v>
      </c>
    </row>
    <row r="710" spans="1:7" ht="14.25" customHeight="1" x14ac:dyDescent="0.25">
      <c r="A710" s="121">
        <v>43700</v>
      </c>
      <c r="B710" s="9">
        <v>422.45001200000002</v>
      </c>
      <c r="C710" s="39">
        <f t="shared" si="2"/>
        <v>-3.5392167085955051E-2</v>
      </c>
      <c r="E710" s="121">
        <v>43700</v>
      </c>
      <c r="F710" s="9">
        <v>10829.349609000001</v>
      </c>
      <c r="G710" s="39">
        <f t="shared" si="1"/>
        <v>-2.0664053869390964E-2</v>
      </c>
    </row>
    <row r="711" spans="1:7" ht="14.25" customHeight="1" x14ac:dyDescent="0.25">
      <c r="A711" s="121">
        <v>43703</v>
      </c>
      <c r="B711" s="9">
        <v>437.95001200000002</v>
      </c>
      <c r="C711" s="39">
        <f t="shared" si="2"/>
        <v>-2.2433008928571363E-2</v>
      </c>
      <c r="E711" s="121">
        <v>43703</v>
      </c>
      <c r="F711" s="9">
        <v>11057.849609000001</v>
      </c>
      <c r="G711" s="39">
        <f t="shared" si="1"/>
        <v>-4.2772178879901812E-3</v>
      </c>
    </row>
    <row r="712" spans="1:7" ht="14.25" customHeight="1" x14ac:dyDescent="0.25">
      <c r="A712" s="121">
        <v>43704</v>
      </c>
      <c r="B712" s="9">
        <v>448</v>
      </c>
      <c r="C712" s="39">
        <f t="shared" si="2"/>
        <v>1.3918736938978382E-2</v>
      </c>
      <c r="E712" s="121">
        <v>43704</v>
      </c>
      <c r="F712" s="9">
        <v>11105.349609000001</v>
      </c>
      <c r="G712" s="39">
        <f t="shared" si="1"/>
        <v>5.3638842756518201E-3</v>
      </c>
    </row>
    <row r="713" spans="1:7" ht="14.25" customHeight="1" x14ac:dyDescent="0.25">
      <c r="A713" s="121">
        <v>43705</v>
      </c>
      <c r="B713" s="9">
        <v>441.85000600000001</v>
      </c>
      <c r="C713" s="39">
        <f t="shared" si="2"/>
        <v>-2.601121603894474E-2</v>
      </c>
      <c r="E713" s="121">
        <v>43705</v>
      </c>
      <c r="F713" s="9">
        <v>11046.099609000001</v>
      </c>
      <c r="G713" s="39">
        <f t="shared" si="1"/>
        <v>8.9328759480387099E-3</v>
      </c>
    </row>
    <row r="714" spans="1:7" ht="14.25" customHeight="1" x14ac:dyDescent="0.25">
      <c r="A714" s="121">
        <v>43706</v>
      </c>
      <c r="B714" s="9">
        <v>453.64999399999999</v>
      </c>
      <c r="C714" s="39">
        <f t="shared" si="2"/>
        <v>-1.1332705529048193E-2</v>
      </c>
      <c r="E714" s="121">
        <v>43706</v>
      </c>
      <c r="F714" s="9">
        <v>10948.299805000001</v>
      </c>
      <c r="G714" s="39">
        <f t="shared" si="1"/>
        <v>-6.7992828793685955E-3</v>
      </c>
    </row>
    <row r="715" spans="1:7" ht="14.25" customHeight="1" x14ac:dyDescent="0.25">
      <c r="A715" s="121">
        <v>43707</v>
      </c>
      <c r="B715" s="9">
        <v>458.85000600000001</v>
      </c>
      <c r="C715" s="39">
        <f t="shared" si="2"/>
        <v>-6.2804417975094173E-3</v>
      </c>
      <c r="E715" s="121">
        <v>43707</v>
      </c>
      <c r="F715" s="9">
        <v>11023.25</v>
      </c>
      <c r="G715" s="39">
        <f t="shared" si="1"/>
        <v>2.0869761790711427E-2</v>
      </c>
    </row>
    <row r="716" spans="1:7" ht="14.25" customHeight="1" x14ac:dyDescent="0.25">
      <c r="A716" s="121">
        <v>43711</v>
      </c>
      <c r="B716" s="9">
        <v>461.75</v>
      </c>
      <c r="C716" s="39">
        <f t="shared" si="2"/>
        <v>-8.6550688130049291E-4</v>
      </c>
      <c r="E716" s="121">
        <v>43711</v>
      </c>
      <c r="F716" s="9">
        <v>10797.900390999999</v>
      </c>
      <c r="G716" s="39">
        <f t="shared" si="1"/>
        <v>-4.3108812469231372E-3</v>
      </c>
    </row>
    <row r="717" spans="1:7" ht="14.25" customHeight="1" x14ac:dyDescent="0.25">
      <c r="A717" s="121">
        <v>43712</v>
      </c>
      <c r="B717" s="9">
        <v>462.14999399999999</v>
      </c>
      <c r="C717" s="39">
        <f t="shared" si="2"/>
        <v>2.9297005971276047E-3</v>
      </c>
      <c r="E717" s="121">
        <v>43712</v>
      </c>
      <c r="F717" s="9">
        <v>10844.650390999999</v>
      </c>
      <c r="G717" s="39">
        <f t="shared" si="1"/>
        <v>-2.9959714625482636E-4</v>
      </c>
    </row>
    <row r="718" spans="1:7" ht="14.25" customHeight="1" x14ac:dyDescent="0.25">
      <c r="A718" s="121">
        <v>43713</v>
      </c>
      <c r="B718" s="9">
        <v>460.79998799999998</v>
      </c>
      <c r="C718" s="39">
        <f t="shared" si="2"/>
        <v>-4.6949352637021713E-2</v>
      </c>
      <c r="E718" s="121">
        <v>43713</v>
      </c>
      <c r="F718" s="9">
        <v>10847.900390999999</v>
      </c>
      <c r="G718" s="39">
        <f t="shared" si="1"/>
        <v>-8.9802673301098146E-3</v>
      </c>
    </row>
    <row r="719" spans="1:7" ht="14.25" customHeight="1" x14ac:dyDescent="0.25">
      <c r="A719" s="121">
        <v>43714</v>
      </c>
      <c r="B719" s="9">
        <v>483.5</v>
      </c>
      <c r="C719" s="39">
        <f t="shared" si="2"/>
        <v>-1.8074724022031585E-2</v>
      </c>
      <c r="E719" s="121">
        <v>43714</v>
      </c>
      <c r="F719" s="9">
        <v>10946.200194999999</v>
      </c>
      <c r="G719" s="39">
        <f t="shared" si="1"/>
        <v>-5.1667138663834544E-3</v>
      </c>
    </row>
    <row r="720" spans="1:7" ht="14.25" customHeight="1" x14ac:dyDescent="0.25">
      <c r="A720" s="121">
        <v>43717</v>
      </c>
      <c r="B720" s="9">
        <v>492.39999399999999</v>
      </c>
      <c r="C720" s="39">
        <f t="shared" si="2"/>
        <v>1.0152939857999144E-4</v>
      </c>
      <c r="E720" s="121">
        <v>43717</v>
      </c>
      <c r="F720" s="9">
        <v>11003.049805000001</v>
      </c>
      <c r="G720" s="39">
        <f t="shared" si="1"/>
        <v>-2.9586151692297946E-3</v>
      </c>
    </row>
    <row r="721" spans="1:7" ht="14.25" customHeight="1" x14ac:dyDescent="0.25">
      <c r="A721" s="121">
        <v>43719</v>
      </c>
      <c r="B721" s="9">
        <v>492.35000600000001</v>
      </c>
      <c r="C721" s="39">
        <f t="shared" si="2"/>
        <v>9.741591348544798E-3</v>
      </c>
      <c r="E721" s="121">
        <v>43719</v>
      </c>
      <c r="F721" s="9">
        <v>11035.700194999999</v>
      </c>
      <c r="G721" s="39">
        <f t="shared" si="1"/>
        <v>4.8166579505450891E-3</v>
      </c>
    </row>
    <row r="722" spans="1:7" ht="14.25" customHeight="1" x14ac:dyDescent="0.25">
      <c r="A722" s="121">
        <v>43720</v>
      </c>
      <c r="B722" s="9">
        <v>487.60000600000001</v>
      </c>
      <c r="C722" s="39">
        <f t="shared" si="2"/>
        <v>6.5022064650088751E-3</v>
      </c>
      <c r="E722" s="121">
        <v>43720</v>
      </c>
      <c r="F722" s="9">
        <v>10982.799805000001</v>
      </c>
      <c r="G722" s="39">
        <f t="shared" si="1"/>
        <v>-8.4056900760546283E-3</v>
      </c>
    </row>
    <row r="723" spans="1:7" ht="14.25" customHeight="1" x14ac:dyDescent="0.25">
      <c r="A723" s="121">
        <v>43721</v>
      </c>
      <c r="B723" s="9">
        <v>484.45001200000002</v>
      </c>
      <c r="C723" s="39">
        <f t="shared" si="2"/>
        <v>-5.0317971455960953E-3</v>
      </c>
      <c r="E723" s="121">
        <v>43721</v>
      </c>
      <c r="F723" s="9">
        <v>11075.900390999999</v>
      </c>
      <c r="G723" s="39">
        <f t="shared" si="1"/>
        <v>6.5797601672195061E-3</v>
      </c>
    </row>
    <row r="724" spans="1:7" ht="14.25" customHeight="1" x14ac:dyDescent="0.25">
      <c r="A724" s="121">
        <v>43724</v>
      </c>
      <c r="B724" s="9">
        <v>486.89999399999999</v>
      </c>
      <c r="C724" s="39">
        <f t="shared" si="2"/>
        <v>1.0900031278729738E-2</v>
      </c>
      <c r="E724" s="121">
        <v>43724</v>
      </c>
      <c r="F724" s="9">
        <v>11003.5</v>
      </c>
      <c r="G724" s="39">
        <f t="shared" si="1"/>
        <v>1.7184994612421622E-2</v>
      </c>
    </row>
    <row r="725" spans="1:7" ht="14.25" customHeight="1" x14ac:dyDescent="0.25">
      <c r="A725" s="121">
        <v>43725</v>
      </c>
      <c r="B725" s="9">
        <v>481.64999399999999</v>
      </c>
      <c r="C725" s="39">
        <f t="shared" si="2"/>
        <v>7.6359707112969577E-3</v>
      </c>
      <c r="E725" s="121">
        <v>43725</v>
      </c>
      <c r="F725" s="9">
        <v>10817.599609000001</v>
      </c>
      <c r="G725" s="39">
        <f t="shared" si="1"/>
        <v>-2.1263283261246935E-3</v>
      </c>
    </row>
    <row r="726" spans="1:7" ht="14.25" customHeight="1" x14ac:dyDescent="0.25">
      <c r="A726" s="121">
        <v>43726</v>
      </c>
      <c r="B726" s="9">
        <v>478</v>
      </c>
      <c r="C726" s="39">
        <f t="shared" si="2"/>
        <v>2.3335461057562012E-2</v>
      </c>
      <c r="E726" s="121">
        <v>43726</v>
      </c>
      <c r="F726" s="9">
        <v>10840.650390999999</v>
      </c>
      <c r="G726" s="39">
        <f t="shared" si="1"/>
        <v>1.2690623689809222E-2</v>
      </c>
    </row>
    <row r="727" spans="1:7" ht="14.25" customHeight="1" x14ac:dyDescent="0.25">
      <c r="A727" s="121">
        <v>43727</v>
      </c>
      <c r="B727" s="9">
        <v>467.10000600000001</v>
      </c>
      <c r="C727" s="39">
        <f t="shared" si="2"/>
        <v>-4.6734681632653041E-2</v>
      </c>
      <c r="E727" s="121">
        <v>43727</v>
      </c>
      <c r="F727" s="9">
        <v>10704.799805000001</v>
      </c>
      <c r="G727" s="39">
        <f t="shared" si="1"/>
        <v>-5.05047258476502E-2</v>
      </c>
    </row>
    <row r="728" spans="1:7" ht="14.25" customHeight="1" x14ac:dyDescent="0.25">
      <c r="A728" s="121">
        <v>43728</v>
      </c>
      <c r="B728" s="9">
        <v>490</v>
      </c>
      <c r="C728" s="39">
        <f t="shared" si="2"/>
        <v>-1.1897548036671313E-2</v>
      </c>
      <c r="E728" s="121">
        <v>43728</v>
      </c>
      <c r="F728" s="9">
        <v>11274.200194999999</v>
      </c>
      <c r="G728" s="39">
        <f t="shared" si="1"/>
        <v>-2.8102963269592052E-2</v>
      </c>
    </row>
    <row r="729" spans="1:7" ht="14.25" customHeight="1" x14ac:dyDescent="0.25">
      <c r="A729" s="121">
        <v>43731</v>
      </c>
      <c r="B729" s="9">
        <v>495.89999399999999</v>
      </c>
      <c r="C729" s="39">
        <f t="shared" si="2"/>
        <v>-9.4876661478597857E-3</v>
      </c>
      <c r="E729" s="121">
        <v>43731</v>
      </c>
      <c r="F729" s="9">
        <v>11600.200194999999</v>
      </c>
      <c r="G729" s="39">
        <f t="shared" si="1"/>
        <v>1.0355361314156042E-3</v>
      </c>
    </row>
    <row r="730" spans="1:7" ht="14.25" customHeight="1" x14ac:dyDescent="0.25">
      <c r="A730" s="121">
        <v>43732</v>
      </c>
      <c r="B730" s="9">
        <v>500.64999399999999</v>
      </c>
      <c r="C730" s="39">
        <f t="shared" si="2"/>
        <v>4.8168469643752321E-3</v>
      </c>
      <c r="E730" s="121">
        <v>43732</v>
      </c>
      <c r="F730" s="9">
        <v>11588.200194999999</v>
      </c>
      <c r="G730" s="39">
        <f t="shared" si="1"/>
        <v>1.2936836548077535E-2</v>
      </c>
    </row>
    <row r="731" spans="1:7" ht="14.25" customHeight="1" x14ac:dyDescent="0.25">
      <c r="A731" s="121">
        <v>43733</v>
      </c>
      <c r="B731" s="9">
        <v>498.25</v>
      </c>
      <c r="C731" s="39">
        <f t="shared" si="2"/>
        <v>-4.694378689240386E-3</v>
      </c>
      <c r="E731" s="121">
        <v>43733</v>
      </c>
      <c r="F731" s="9">
        <v>11440.200194999999</v>
      </c>
      <c r="G731" s="39">
        <f t="shared" si="1"/>
        <v>-1.1321211092398697E-2</v>
      </c>
    </row>
    <row r="732" spans="1:7" ht="14.25" customHeight="1" x14ac:dyDescent="0.25">
      <c r="A732" s="121">
        <v>43734</v>
      </c>
      <c r="B732" s="9">
        <v>500.60000600000001</v>
      </c>
      <c r="C732" s="39">
        <f t="shared" si="2"/>
        <v>6.9395796874935911E-3</v>
      </c>
      <c r="E732" s="121">
        <v>43734</v>
      </c>
      <c r="F732" s="9">
        <v>11571.200194999999</v>
      </c>
      <c r="G732" s="39">
        <f t="shared" si="1"/>
        <v>5.1075190232237055E-3</v>
      </c>
    </row>
    <row r="733" spans="1:7" ht="14.25" customHeight="1" x14ac:dyDescent="0.25">
      <c r="A733" s="121">
        <v>43735</v>
      </c>
      <c r="B733" s="9">
        <v>497.14999399999999</v>
      </c>
      <c r="C733" s="39">
        <f t="shared" si="2"/>
        <v>-1.8169274002141522E-2</v>
      </c>
      <c r="E733" s="121">
        <v>43735</v>
      </c>
      <c r="F733" s="9">
        <v>11512.400390999999</v>
      </c>
      <c r="G733" s="39">
        <f t="shared" si="1"/>
        <v>3.3073650898356455E-3</v>
      </c>
    </row>
    <row r="734" spans="1:7" ht="14.25" customHeight="1" x14ac:dyDescent="0.25">
      <c r="A734" s="121">
        <v>43738</v>
      </c>
      <c r="B734" s="9">
        <v>506.35000600000001</v>
      </c>
      <c r="C734" s="39">
        <f t="shared" si="2"/>
        <v>1.5136363635999128E-2</v>
      </c>
      <c r="E734" s="121">
        <v>43738</v>
      </c>
      <c r="F734" s="9">
        <v>11474.450194999999</v>
      </c>
      <c r="G734" s="39">
        <f t="shared" si="1"/>
        <v>1.0083697924917923E-2</v>
      </c>
    </row>
    <row r="735" spans="1:7" ht="14.25" customHeight="1" x14ac:dyDescent="0.25">
      <c r="A735" s="121">
        <v>43739</v>
      </c>
      <c r="B735" s="9">
        <v>498.79998799999998</v>
      </c>
      <c r="C735" s="39">
        <f t="shared" si="2"/>
        <v>-8.3499244532803107E-3</v>
      </c>
      <c r="E735" s="121">
        <v>43739</v>
      </c>
      <c r="F735" s="9">
        <v>11359.900390999999</v>
      </c>
      <c r="G735" s="39">
        <f t="shared" si="1"/>
        <v>4.0569551882623234E-3</v>
      </c>
    </row>
    <row r="736" spans="1:7" ht="14.25" customHeight="1" x14ac:dyDescent="0.25">
      <c r="A736" s="121">
        <v>43741</v>
      </c>
      <c r="B736" s="9">
        <v>503</v>
      </c>
      <c r="C736" s="39">
        <f t="shared" si="2"/>
        <v>2.5693324131647488E-2</v>
      </c>
      <c r="E736" s="121">
        <v>43741</v>
      </c>
      <c r="F736" s="9">
        <v>11314</v>
      </c>
      <c r="G736" s="39">
        <f t="shared" si="1"/>
        <v>1.2461128884315054E-2</v>
      </c>
    </row>
    <row r="737" spans="1:7" ht="14.25" customHeight="1" x14ac:dyDescent="0.25">
      <c r="A737" s="121">
        <v>43742</v>
      </c>
      <c r="B737" s="9">
        <v>490.39999399999999</v>
      </c>
      <c r="C737" s="39">
        <f t="shared" si="2"/>
        <v>-2.8466735139489607E-3</v>
      </c>
      <c r="E737" s="121">
        <v>43742</v>
      </c>
      <c r="F737" s="9">
        <v>11174.75</v>
      </c>
      <c r="G737" s="39">
        <f t="shared" si="1"/>
        <v>4.3454852693518564E-3</v>
      </c>
    </row>
    <row r="738" spans="1:7" ht="14.25" customHeight="1" x14ac:dyDescent="0.25">
      <c r="A738" s="121">
        <v>43745</v>
      </c>
      <c r="B738" s="9">
        <v>491.79998799999998</v>
      </c>
      <c r="C738" s="39">
        <f t="shared" si="2"/>
        <v>1.119568447837116E-3</v>
      </c>
      <c r="E738" s="121">
        <v>43745</v>
      </c>
      <c r="F738" s="9">
        <v>11126.400390999999</v>
      </c>
      <c r="G738" s="39">
        <f t="shared" si="1"/>
        <v>-1.6520327156662074E-2</v>
      </c>
    </row>
    <row r="739" spans="1:7" ht="14.25" customHeight="1" x14ac:dyDescent="0.25">
      <c r="A739" s="121">
        <v>43747</v>
      </c>
      <c r="B739" s="9">
        <v>491.25</v>
      </c>
      <c r="C739" s="39">
        <f t="shared" si="2"/>
        <v>2.9604165690588768E-3</v>
      </c>
      <c r="E739" s="121">
        <v>43747</v>
      </c>
      <c r="F739" s="9">
        <v>11313.299805000001</v>
      </c>
      <c r="G739" s="39">
        <f t="shared" si="1"/>
        <v>7.0096266754677838E-3</v>
      </c>
    </row>
    <row r="740" spans="1:7" ht="14.25" customHeight="1" x14ac:dyDescent="0.25">
      <c r="A740" s="121">
        <v>43748</v>
      </c>
      <c r="B740" s="9">
        <v>489.79998799999998</v>
      </c>
      <c r="C740" s="39">
        <f t="shared" si="2"/>
        <v>-1.666335655494855E-2</v>
      </c>
      <c r="E740" s="121">
        <v>43748</v>
      </c>
      <c r="F740" s="9">
        <v>11234.549805000001</v>
      </c>
      <c r="G740" s="39">
        <f t="shared" si="1"/>
        <v>-6.2361512081812176E-3</v>
      </c>
    </row>
    <row r="741" spans="1:7" ht="14.25" customHeight="1" x14ac:dyDescent="0.25">
      <c r="A741" s="121">
        <v>43749</v>
      </c>
      <c r="B741" s="9">
        <v>498.10000600000001</v>
      </c>
      <c r="C741" s="39">
        <f t="shared" si="2"/>
        <v>-3.6006961824448513E-3</v>
      </c>
      <c r="E741" s="121">
        <v>43749</v>
      </c>
      <c r="F741" s="9">
        <v>11305.049805000001</v>
      </c>
      <c r="G741" s="39">
        <f t="shared" si="1"/>
        <v>-3.1831502762407204E-3</v>
      </c>
    </row>
    <row r="742" spans="1:7" ht="14.25" customHeight="1" x14ac:dyDescent="0.25">
      <c r="A742" s="121">
        <v>43752</v>
      </c>
      <c r="B742" s="9">
        <v>499.89999399999999</v>
      </c>
      <c r="C742" s="39">
        <f t="shared" si="2"/>
        <v>6.5438438322018566E-3</v>
      </c>
      <c r="E742" s="121">
        <v>43752</v>
      </c>
      <c r="F742" s="9">
        <v>11341.150390999999</v>
      </c>
      <c r="G742" s="39">
        <f t="shared" si="1"/>
        <v>-7.625754966795073E-3</v>
      </c>
    </row>
    <row r="743" spans="1:7" ht="14.25" customHeight="1" x14ac:dyDescent="0.25">
      <c r="A743" s="121">
        <v>43753</v>
      </c>
      <c r="B743" s="9">
        <v>496.64999399999999</v>
      </c>
      <c r="C743" s="39">
        <f t="shared" si="2"/>
        <v>2.2197679883708687E-3</v>
      </c>
      <c r="E743" s="121">
        <v>43753</v>
      </c>
      <c r="F743" s="9">
        <v>11428.299805000001</v>
      </c>
      <c r="G743" s="39">
        <f t="shared" si="1"/>
        <v>-3.1141133112351227E-3</v>
      </c>
    </row>
    <row r="744" spans="1:7" ht="14.25" customHeight="1" x14ac:dyDescent="0.25">
      <c r="A744" s="121">
        <v>43754</v>
      </c>
      <c r="B744" s="9">
        <v>495.54998799999998</v>
      </c>
      <c r="C744" s="39">
        <f t="shared" si="2"/>
        <v>-9.7912356529227251E-3</v>
      </c>
      <c r="E744" s="121">
        <v>43754</v>
      </c>
      <c r="F744" s="9">
        <v>11464</v>
      </c>
      <c r="G744" s="39">
        <f t="shared" si="1"/>
        <v>-1.0559806421252982E-2</v>
      </c>
    </row>
    <row r="745" spans="1:7" ht="14.25" customHeight="1" x14ac:dyDescent="0.25">
      <c r="A745" s="121">
        <v>43755</v>
      </c>
      <c r="B745" s="9">
        <v>500.45001200000002</v>
      </c>
      <c r="C745" s="39">
        <f t="shared" si="2"/>
        <v>-5.2985144032885345E-2</v>
      </c>
      <c r="E745" s="121">
        <v>43755</v>
      </c>
      <c r="F745" s="9">
        <v>11586.349609000001</v>
      </c>
      <c r="G745" s="39">
        <f t="shared" si="1"/>
        <v>-6.4741016675204932E-3</v>
      </c>
    </row>
    <row r="746" spans="1:7" ht="14.25" customHeight="1" x14ac:dyDescent="0.25">
      <c r="A746" s="121">
        <v>43756</v>
      </c>
      <c r="B746" s="9">
        <v>528.45001200000002</v>
      </c>
      <c r="C746" s="39">
        <f t="shared" si="2"/>
        <v>1.6250023076923137E-2</v>
      </c>
      <c r="E746" s="121">
        <v>43756</v>
      </c>
      <c r="F746" s="9">
        <v>11661.849609000001</v>
      </c>
      <c r="G746" s="39">
        <f t="shared" si="1"/>
        <v>6.3425770260605585E-3</v>
      </c>
    </row>
    <row r="747" spans="1:7" ht="14.25" customHeight="1" x14ac:dyDescent="0.25">
      <c r="A747" s="121">
        <v>43760</v>
      </c>
      <c r="B747" s="9">
        <v>520</v>
      </c>
      <c r="C747" s="39">
        <f t="shared" si="2"/>
        <v>-1.3282732447817858E-2</v>
      </c>
      <c r="E747" s="121">
        <v>43760</v>
      </c>
      <c r="F747" s="9">
        <v>11588.349609000001</v>
      </c>
      <c r="G747" s="39">
        <f t="shared" si="1"/>
        <v>-1.357278938538653E-3</v>
      </c>
    </row>
    <row r="748" spans="1:7" ht="14.25" customHeight="1" x14ac:dyDescent="0.25">
      <c r="A748" s="121">
        <v>43761</v>
      </c>
      <c r="B748" s="9">
        <v>527</v>
      </c>
      <c r="C748" s="39">
        <f t="shared" si="2"/>
        <v>-2.2535516014370094E-2</v>
      </c>
      <c r="E748" s="121">
        <v>43761</v>
      </c>
      <c r="F748" s="9">
        <v>11604.099609000001</v>
      </c>
      <c r="G748" s="39">
        <f t="shared" si="1"/>
        <v>1.8562326874611568E-3</v>
      </c>
    </row>
    <row r="749" spans="1:7" ht="14.25" customHeight="1" x14ac:dyDescent="0.25">
      <c r="A749" s="121">
        <v>43762</v>
      </c>
      <c r="B749" s="9">
        <v>539.15002400000003</v>
      </c>
      <c r="C749" s="39">
        <f t="shared" si="2"/>
        <v>1.0401139898102318E-2</v>
      </c>
      <c r="E749" s="121">
        <v>43762</v>
      </c>
      <c r="F749" s="9">
        <v>11582.599609000001</v>
      </c>
      <c r="G749" s="39">
        <f t="shared" si="1"/>
        <v>-1.1229222939534989E-4</v>
      </c>
    </row>
    <row r="750" spans="1:7" ht="14.25" customHeight="1" x14ac:dyDescent="0.25">
      <c r="A750" s="121">
        <v>43763</v>
      </c>
      <c r="B750" s="9">
        <v>533.59997599999997</v>
      </c>
      <c r="C750" s="39">
        <f t="shared" si="2"/>
        <v>-2.6168672897196599E-3</v>
      </c>
      <c r="E750" s="121">
        <v>43763</v>
      </c>
      <c r="F750" s="9">
        <v>11583.900390999999</v>
      </c>
      <c r="G750" s="39">
        <f t="shared" si="1"/>
        <v>-1.3878973275862627E-3</v>
      </c>
    </row>
    <row r="751" spans="1:7" ht="14.25" customHeight="1" x14ac:dyDescent="0.25">
      <c r="A751" s="121">
        <v>43765</v>
      </c>
      <c r="B751" s="9">
        <v>535</v>
      </c>
      <c r="C751" s="39">
        <f t="shared" si="2"/>
        <v>-5.5762081784386242E-3</v>
      </c>
      <c r="E751" s="121">
        <v>43765</v>
      </c>
      <c r="F751" s="9">
        <v>11600</v>
      </c>
      <c r="G751" s="39">
        <f t="shared" si="1"/>
        <v>-1.5852379151196527E-2</v>
      </c>
    </row>
    <row r="752" spans="1:7" ht="14.25" customHeight="1" x14ac:dyDescent="0.25">
      <c r="A752" s="121">
        <v>43767</v>
      </c>
      <c r="B752" s="9">
        <v>538</v>
      </c>
      <c r="C752" s="39">
        <f t="shared" si="2"/>
        <v>-2.7877728014380487E-4</v>
      </c>
      <c r="E752" s="121">
        <v>43767</v>
      </c>
      <c r="F752" s="9">
        <v>11786.849609000001</v>
      </c>
      <c r="G752" s="39">
        <f t="shared" si="1"/>
        <v>-4.8336304058518298E-3</v>
      </c>
    </row>
    <row r="753" spans="1:7" ht="14.25" customHeight="1" x14ac:dyDescent="0.25">
      <c r="A753" s="121">
        <v>43768</v>
      </c>
      <c r="B753" s="9">
        <v>538.15002400000003</v>
      </c>
      <c r="C753" s="39">
        <f t="shared" si="2"/>
        <v>-1.4287000327055543E-2</v>
      </c>
      <c r="E753" s="121">
        <v>43768</v>
      </c>
      <c r="F753" s="9">
        <v>11844.099609000001</v>
      </c>
      <c r="G753" s="39">
        <f t="shared" si="1"/>
        <v>-2.8078910416343694E-3</v>
      </c>
    </row>
    <row r="754" spans="1:7" ht="14.25" customHeight="1" x14ac:dyDescent="0.25">
      <c r="A754" s="121">
        <v>43769</v>
      </c>
      <c r="B754" s="9">
        <v>545.95001200000002</v>
      </c>
      <c r="C754" s="39">
        <f t="shared" si="2"/>
        <v>2.847149029515883E-3</v>
      </c>
      <c r="E754" s="121">
        <v>43769</v>
      </c>
      <c r="F754" s="9">
        <v>11877.450194999999</v>
      </c>
      <c r="G754" s="39">
        <f t="shared" si="1"/>
        <v>-1.1058663509322386E-3</v>
      </c>
    </row>
    <row r="755" spans="1:7" ht="14.25" customHeight="1" x14ac:dyDescent="0.25">
      <c r="A755" s="121">
        <v>43770</v>
      </c>
      <c r="B755" s="9">
        <v>544.40002400000003</v>
      </c>
      <c r="C755" s="39">
        <f t="shared" si="2"/>
        <v>-3.6374878420216694E-2</v>
      </c>
      <c r="E755" s="121">
        <v>43770</v>
      </c>
      <c r="F755" s="9">
        <v>11890.599609000001</v>
      </c>
      <c r="G755" s="39">
        <f t="shared" si="1"/>
        <v>-4.2457853690911485E-3</v>
      </c>
    </row>
    <row r="756" spans="1:7" ht="14.25" customHeight="1" x14ac:dyDescent="0.25">
      <c r="A756" s="121">
        <v>43773</v>
      </c>
      <c r="B756" s="9">
        <v>564.95001200000002</v>
      </c>
      <c r="C756" s="39">
        <f t="shared" si="2"/>
        <v>1.8620109156086695E-3</v>
      </c>
      <c r="E756" s="121">
        <v>43773</v>
      </c>
      <c r="F756" s="9">
        <v>11941.299805000001</v>
      </c>
      <c r="G756" s="39">
        <f t="shared" si="1"/>
        <v>2.0222543555248329E-3</v>
      </c>
    </row>
    <row r="757" spans="1:7" ht="14.25" customHeight="1" x14ac:dyDescent="0.25">
      <c r="A757" s="121">
        <v>43774</v>
      </c>
      <c r="B757" s="9">
        <v>563.90002400000003</v>
      </c>
      <c r="C757" s="39">
        <f t="shared" si="2"/>
        <v>-1.2088234311595558E-2</v>
      </c>
      <c r="E757" s="121">
        <v>43774</v>
      </c>
      <c r="F757" s="9">
        <v>11917.200194999999</v>
      </c>
      <c r="G757" s="39">
        <f t="shared" si="1"/>
        <v>-4.0823505497686874E-3</v>
      </c>
    </row>
    <row r="758" spans="1:7" ht="14.25" customHeight="1" x14ac:dyDescent="0.25">
      <c r="A758" s="121">
        <v>43775</v>
      </c>
      <c r="B758" s="9">
        <v>570.79998799999998</v>
      </c>
      <c r="C758" s="39">
        <f t="shared" si="2"/>
        <v>1.7831669425784735E-2</v>
      </c>
      <c r="E758" s="121">
        <v>43775</v>
      </c>
      <c r="F758" s="9">
        <v>11966.049805000001</v>
      </c>
      <c r="G758" s="39">
        <f t="shared" si="1"/>
        <v>-3.8294879514113589E-3</v>
      </c>
    </row>
    <row r="759" spans="1:7" ht="14.25" customHeight="1" x14ac:dyDescent="0.25">
      <c r="A759" s="121">
        <v>43776</v>
      </c>
      <c r="B759" s="9">
        <v>560.79998799999998</v>
      </c>
      <c r="C759" s="39">
        <f t="shared" si="2"/>
        <v>1.8247822060826202E-2</v>
      </c>
      <c r="E759" s="121">
        <v>43776</v>
      </c>
      <c r="F759" s="9">
        <v>12012.049805000001</v>
      </c>
      <c r="G759" s="39">
        <f t="shared" si="1"/>
        <v>8.7250673352703423E-3</v>
      </c>
    </row>
    <row r="760" spans="1:7" ht="14.25" customHeight="1" x14ac:dyDescent="0.25">
      <c r="A760" s="121">
        <v>43777</v>
      </c>
      <c r="B760" s="9">
        <v>550.75</v>
      </c>
      <c r="C760" s="39">
        <f t="shared" si="2"/>
        <v>5.2016351070647282E-3</v>
      </c>
      <c r="E760" s="121">
        <v>43777</v>
      </c>
      <c r="F760" s="9">
        <v>11908.150390999999</v>
      </c>
      <c r="G760" s="39">
        <f t="shared" si="1"/>
        <v>-4.4485887070944141E-4</v>
      </c>
    </row>
    <row r="761" spans="1:7" ht="14.25" customHeight="1" x14ac:dyDescent="0.25">
      <c r="A761" s="121">
        <v>43780</v>
      </c>
      <c r="B761" s="9">
        <v>547.90002400000003</v>
      </c>
      <c r="C761" s="39">
        <f t="shared" si="2"/>
        <v>4.5837915107975746E-3</v>
      </c>
      <c r="E761" s="121">
        <v>43780</v>
      </c>
      <c r="F761" s="9">
        <v>11913.450194999999</v>
      </c>
      <c r="G761" s="39">
        <f t="shared" si="1"/>
        <v>6.1653061157105338E-3</v>
      </c>
    </row>
    <row r="762" spans="1:7" ht="14.25" customHeight="1" x14ac:dyDescent="0.25">
      <c r="A762" s="121">
        <v>43782</v>
      </c>
      <c r="B762" s="9">
        <v>545.40002400000003</v>
      </c>
      <c r="C762" s="39">
        <f t="shared" si="2"/>
        <v>-4.3810953862232216E-3</v>
      </c>
      <c r="E762" s="121">
        <v>43782</v>
      </c>
      <c r="F762" s="9">
        <v>11840.450194999999</v>
      </c>
      <c r="G762" s="39">
        <f t="shared" si="1"/>
        <v>-2.6658649305812965E-3</v>
      </c>
    </row>
    <row r="763" spans="1:7" ht="14.25" customHeight="1" x14ac:dyDescent="0.25">
      <c r="A763" s="121">
        <v>43783</v>
      </c>
      <c r="B763" s="9">
        <v>547.79998799999998</v>
      </c>
      <c r="C763" s="39">
        <f t="shared" si="2"/>
        <v>4.0322802360239773E-3</v>
      </c>
      <c r="E763" s="121">
        <v>43783</v>
      </c>
      <c r="F763" s="9">
        <v>11872.099609000001</v>
      </c>
      <c r="G763" s="39">
        <f t="shared" si="1"/>
        <v>-1.9629846384303651E-3</v>
      </c>
    </row>
    <row r="764" spans="1:7" ht="14.25" customHeight="1" x14ac:dyDescent="0.25">
      <c r="A764" s="121">
        <v>43784</v>
      </c>
      <c r="B764" s="9">
        <v>545.59997599999997</v>
      </c>
      <c r="C764" s="39">
        <f t="shared" si="2"/>
        <v>-8.7210170615836802E-3</v>
      </c>
      <c r="E764" s="121">
        <v>43784</v>
      </c>
      <c r="F764" s="9">
        <v>11895.450194999999</v>
      </c>
      <c r="G764" s="39">
        <f t="shared" si="1"/>
        <v>9.2138457654922234E-4</v>
      </c>
    </row>
    <row r="765" spans="1:7" ht="14.25" customHeight="1" x14ac:dyDescent="0.25">
      <c r="A765" s="121">
        <v>43787</v>
      </c>
      <c r="B765" s="9">
        <v>550.40002400000003</v>
      </c>
      <c r="C765" s="39">
        <f t="shared" si="2"/>
        <v>9.0938497651738004E-5</v>
      </c>
      <c r="E765" s="121">
        <v>43787</v>
      </c>
      <c r="F765" s="9">
        <v>11884.5</v>
      </c>
      <c r="G765" s="39">
        <f t="shared" si="1"/>
        <v>-4.6565448212920746E-3</v>
      </c>
    </row>
    <row r="766" spans="1:7" ht="14.25" customHeight="1" x14ac:dyDescent="0.25">
      <c r="A766" s="121">
        <v>43788</v>
      </c>
      <c r="B766" s="9">
        <v>550.34997599999997</v>
      </c>
      <c r="C766" s="39">
        <f t="shared" si="2"/>
        <v>-3.489701709776416E-2</v>
      </c>
      <c r="E766" s="121">
        <v>43788</v>
      </c>
      <c r="F766" s="9">
        <v>11940.099609000001</v>
      </c>
      <c r="G766" s="39">
        <f t="shared" si="1"/>
        <v>-4.9170356045503683E-3</v>
      </c>
    </row>
    <row r="767" spans="1:7" ht="14.25" customHeight="1" x14ac:dyDescent="0.25">
      <c r="A767" s="121">
        <v>43789</v>
      </c>
      <c r="B767" s="9">
        <v>570.25</v>
      </c>
      <c r="C767" s="39">
        <f t="shared" si="2"/>
        <v>-1.3134851138353332E-3</v>
      </c>
      <c r="E767" s="121">
        <v>43789</v>
      </c>
      <c r="F767" s="9">
        <v>11999.099609000001</v>
      </c>
      <c r="G767" s="39">
        <f t="shared" si="1"/>
        <v>2.5650226427156309E-3</v>
      </c>
    </row>
    <row r="768" spans="1:7" ht="14.25" customHeight="1" x14ac:dyDescent="0.25">
      <c r="A768" s="121">
        <v>43790</v>
      </c>
      <c r="B768" s="9">
        <v>571</v>
      </c>
      <c r="C768" s="39">
        <f t="shared" si="2"/>
        <v>-1.5737435954366052E-3</v>
      </c>
      <c r="E768" s="121">
        <v>43790</v>
      </c>
      <c r="F768" s="9">
        <v>11968.400390999999</v>
      </c>
      <c r="G768" s="39">
        <f t="shared" si="1"/>
        <v>4.5323304763864591E-3</v>
      </c>
    </row>
    <row r="769" spans="1:7" ht="14.25" customHeight="1" x14ac:dyDescent="0.25">
      <c r="A769" s="121">
        <v>43791</v>
      </c>
      <c r="B769" s="9">
        <v>571.90002400000003</v>
      </c>
      <c r="C769" s="39">
        <f t="shared" si="2"/>
        <v>-1.4305390948526897E-2</v>
      </c>
      <c r="E769" s="121">
        <v>43791</v>
      </c>
      <c r="F769" s="9">
        <v>11914.400390999999</v>
      </c>
      <c r="G769" s="39">
        <f t="shared" si="1"/>
        <v>-1.3198021244435254E-2</v>
      </c>
    </row>
    <row r="770" spans="1:7" ht="14.25" customHeight="1" x14ac:dyDescent="0.25">
      <c r="A770" s="121">
        <v>43794</v>
      </c>
      <c r="B770" s="9">
        <v>580.20001200000002</v>
      </c>
      <c r="C770" s="39">
        <f t="shared" si="2"/>
        <v>-1.1920980682813775E-2</v>
      </c>
      <c r="E770" s="121">
        <v>43794</v>
      </c>
      <c r="F770" s="9">
        <v>12073.75</v>
      </c>
      <c r="G770" s="39">
        <f t="shared" si="1"/>
        <v>2.9947418872398046E-3</v>
      </c>
    </row>
    <row r="771" spans="1:7" ht="14.25" customHeight="1" x14ac:dyDescent="0.25">
      <c r="A771" s="121">
        <v>43795</v>
      </c>
      <c r="B771" s="9">
        <v>587.20001200000002</v>
      </c>
      <c r="C771" s="39">
        <f t="shared" si="2"/>
        <v>6.6861376311224685E-3</v>
      </c>
      <c r="E771" s="121">
        <v>43795</v>
      </c>
      <c r="F771" s="9">
        <v>12037.700194999999</v>
      </c>
      <c r="G771" s="39">
        <f t="shared" si="1"/>
        <v>-5.2063102948399775E-3</v>
      </c>
    </row>
    <row r="772" spans="1:7" ht="14.25" customHeight="1" x14ac:dyDescent="0.25">
      <c r="A772" s="121">
        <v>43796</v>
      </c>
      <c r="B772" s="9">
        <v>583.29998799999998</v>
      </c>
      <c r="C772" s="39">
        <f t="shared" si="2"/>
        <v>-7.2334270901218689E-3</v>
      </c>
      <c r="E772" s="121">
        <v>43796</v>
      </c>
      <c r="F772" s="9">
        <v>12100.700194999999</v>
      </c>
      <c r="G772" s="39">
        <f t="shared" si="1"/>
        <v>-4.1518863956589991E-3</v>
      </c>
    </row>
    <row r="773" spans="1:7" ht="14.25" customHeight="1" x14ac:dyDescent="0.25">
      <c r="A773" s="121">
        <v>43797</v>
      </c>
      <c r="B773" s="9">
        <v>587.54998799999998</v>
      </c>
      <c r="C773" s="39">
        <f t="shared" si="2"/>
        <v>3.0729628681178678E-3</v>
      </c>
      <c r="E773" s="121">
        <v>43797</v>
      </c>
      <c r="F773" s="9">
        <v>12151.150390999999</v>
      </c>
      <c r="G773" s="39">
        <f t="shared" si="1"/>
        <v>7.8882044731234391E-3</v>
      </c>
    </row>
    <row r="774" spans="1:7" ht="14.25" customHeight="1" x14ac:dyDescent="0.25">
      <c r="A774" s="121">
        <v>43798</v>
      </c>
      <c r="B774" s="9">
        <v>585.75</v>
      </c>
      <c r="C774" s="39">
        <f t="shared" si="2"/>
        <v>-2.1294718909710131E-3</v>
      </c>
      <c r="E774" s="121">
        <v>43798</v>
      </c>
      <c r="F774" s="9">
        <v>12056.049805000001</v>
      </c>
      <c r="G774" s="39">
        <f t="shared" si="1"/>
        <v>6.5151722854484007E-4</v>
      </c>
    </row>
    <row r="775" spans="1:7" ht="14.25" customHeight="1" x14ac:dyDescent="0.25">
      <c r="A775" s="121">
        <v>43801</v>
      </c>
      <c r="B775" s="9">
        <v>587</v>
      </c>
      <c r="C775" s="39">
        <f t="shared" si="2"/>
        <v>1.5483110778993669E-2</v>
      </c>
      <c r="E775" s="121">
        <v>43801</v>
      </c>
      <c r="F775" s="9">
        <v>12048.200194999999</v>
      </c>
      <c r="G775" s="39">
        <f t="shared" si="1"/>
        <v>4.502175978562617E-3</v>
      </c>
    </row>
    <row r="776" spans="1:7" ht="14.25" customHeight="1" x14ac:dyDescent="0.25">
      <c r="A776" s="121">
        <v>43802</v>
      </c>
      <c r="B776" s="9">
        <v>578.04998799999998</v>
      </c>
      <c r="C776" s="39">
        <f t="shared" si="2"/>
        <v>-1.9922007865486813E-2</v>
      </c>
      <c r="E776" s="121">
        <v>43802</v>
      </c>
      <c r="F776" s="9">
        <v>11994.200194999999</v>
      </c>
      <c r="G776" s="39">
        <f t="shared" si="1"/>
        <v>-4.0686859976257761E-3</v>
      </c>
    </row>
    <row r="777" spans="1:7" ht="14.25" customHeight="1" x14ac:dyDescent="0.25">
      <c r="A777" s="121">
        <v>43803</v>
      </c>
      <c r="B777" s="9">
        <v>589.79998799999998</v>
      </c>
      <c r="C777" s="39">
        <f t="shared" si="2"/>
        <v>-1.8472350735003529E-2</v>
      </c>
      <c r="E777" s="121">
        <v>43803</v>
      </c>
      <c r="F777" s="9">
        <v>12043.200194999999</v>
      </c>
      <c r="G777" s="39">
        <f t="shared" si="1"/>
        <v>2.0634862538422283E-3</v>
      </c>
    </row>
    <row r="778" spans="1:7" ht="14.25" customHeight="1" x14ac:dyDescent="0.25">
      <c r="A778" s="121">
        <v>43804</v>
      </c>
      <c r="B778" s="9">
        <v>600.90002400000003</v>
      </c>
      <c r="C778" s="39">
        <f t="shared" si="2"/>
        <v>-2.4900397414326925E-3</v>
      </c>
      <c r="E778" s="121">
        <v>43804</v>
      </c>
      <c r="F778" s="9">
        <v>12018.400390999999</v>
      </c>
      <c r="G778" s="39">
        <f t="shared" si="1"/>
        <v>8.1282045883486198E-3</v>
      </c>
    </row>
    <row r="779" spans="1:7" ht="14.25" customHeight="1" x14ac:dyDescent="0.25">
      <c r="A779" s="121">
        <v>43805</v>
      </c>
      <c r="B779" s="9">
        <v>602.40002400000003</v>
      </c>
      <c r="C779" s="39">
        <f t="shared" si="2"/>
        <v>-9.8619325498251476E-3</v>
      </c>
      <c r="E779" s="121">
        <v>43805</v>
      </c>
      <c r="F779" s="9">
        <v>11921.5</v>
      </c>
      <c r="G779" s="39">
        <f t="shared" si="1"/>
        <v>-1.3403141361256754E-3</v>
      </c>
    </row>
    <row r="780" spans="1:7" ht="14.25" customHeight="1" x14ac:dyDescent="0.25">
      <c r="A780" s="121">
        <v>43808</v>
      </c>
      <c r="B780" s="9">
        <v>608.40002400000003</v>
      </c>
      <c r="C780" s="39">
        <f t="shared" si="2"/>
        <v>-2.2729040675846801E-2</v>
      </c>
      <c r="E780" s="121">
        <v>43808</v>
      </c>
      <c r="F780" s="9">
        <v>11937.5</v>
      </c>
      <c r="G780" s="39">
        <f t="shared" si="1"/>
        <v>6.806237460968978E-3</v>
      </c>
    </row>
    <row r="781" spans="1:7" ht="14.25" customHeight="1" x14ac:dyDescent="0.25">
      <c r="A781" s="121">
        <v>43809</v>
      </c>
      <c r="B781" s="9">
        <v>622.54998799999998</v>
      </c>
      <c r="C781" s="39">
        <f t="shared" si="2"/>
        <v>1.1618400586867583E-2</v>
      </c>
      <c r="E781" s="121">
        <v>43809</v>
      </c>
      <c r="F781" s="9">
        <v>11856.799805000001</v>
      </c>
      <c r="G781" s="39">
        <f t="shared" si="1"/>
        <v>-4.4794216906205442E-3</v>
      </c>
    </row>
    <row r="782" spans="1:7" ht="14.25" customHeight="1" x14ac:dyDescent="0.25">
      <c r="A782" s="121">
        <v>43810</v>
      </c>
      <c r="B782" s="9">
        <v>615.40002400000003</v>
      </c>
      <c r="C782" s="39">
        <f t="shared" si="2"/>
        <v>3.7515056108892164E-3</v>
      </c>
      <c r="E782" s="121">
        <v>43810</v>
      </c>
      <c r="F782" s="9">
        <v>11910.150390999999</v>
      </c>
      <c r="G782" s="39">
        <f t="shared" si="1"/>
        <v>-5.1495526991901519E-3</v>
      </c>
    </row>
    <row r="783" spans="1:7" ht="14.25" customHeight="1" x14ac:dyDescent="0.25">
      <c r="A783" s="121">
        <v>43811</v>
      </c>
      <c r="B783" s="9">
        <v>613.09997599999997</v>
      </c>
      <c r="C783" s="39">
        <f t="shared" si="2"/>
        <v>4.8347978103167044E-3</v>
      </c>
      <c r="E783" s="121">
        <v>43811</v>
      </c>
      <c r="F783" s="9">
        <v>11971.799805000001</v>
      </c>
      <c r="G783" s="39">
        <f t="shared" si="1"/>
        <v>-9.5063489741832319E-3</v>
      </c>
    </row>
    <row r="784" spans="1:7" ht="14.25" customHeight="1" x14ac:dyDescent="0.25">
      <c r="A784" s="121">
        <v>43812</v>
      </c>
      <c r="B784" s="9">
        <v>610.15002400000003</v>
      </c>
      <c r="C784" s="39">
        <f t="shared" si="2"/>
        <v>6.9312846222040481E-3</v>
      </c>
      <c r="E784" s="121">
        <v>43812</v>
      </c>
      <c r="F784" s="9">
        <v>12086.700194999999</v>
      </c>
      <c r="G784" s="39">
        <f t="shared" si="1"/>
        <v>2.7169516606750932E-3</v>
      </c>
    </row>
    <row r="785" spans="1:7" ht="14.25" customHeight="1" x14ac:dyDescent="0.25">
      <c r="A785" s="121">
        <v>43815</v>
      </c>
      <c r="B785" s="9">
        <v>605.95001200000002</v>
      </c>
      <c r="C785" s="39">
        <f t="shared" si="2"/>
        <v>-2.7155432277370384E-3</v>
      </c>
      <c r="E785" s="121">
        <v>43815</v>
      </c>
      <c r="F785" s="9">
        <v>12053.950194999999</v>
      </c>
      <c r="G785" s="39">
        <f t="shared" si="1"/>
        <v>-9.1286317303740372E-3</v>
      </c>
    </row>
    <row r="786" spans="1:7" ht="14.25" customHeight="1" x14ac:dyDescent="0.25">
      <c r="A786" s="121">
        <v>43816</v>
      </c>
      <c r="B786" s="9">
        <v>607.59997599999997</v>
      </c>
      <c r="C786" s="39">
        <f t="shared" si="2"/>
        <v>7.2109009531702295E-3</v>
      </c>
      <c r="E786" s="121">
        <v>43816</v>
      </c>
      <c r="F786" s="9">
        <v>12165</v>
      </c>
      <c r="G786" s="39">
        <f t="shared" si="1"/>
        <v>-4.6352488565469807E-3</v>
      </c>
    </row>
    <row r="787" spans="1:7" ht="14.25" customHeight="1" x14ac:dyDescent="0.25">
      <c r="A787" s="121">
        <v>43817</v>
      </c>
      <c r="B787" s="9">
        <v>603.25</v>
      </c>
      <c r="C787" s="39">
        <f t="shared" si="2"/>
        <v>-2.8101693797470961E-3</v>
      </c>
      <c r="E787" s="121">
        <v>43817</v>
      </c>
      <c r="F787" s="9">
        <v>12221.650390999999</v>
      </c>
      <c r="G787" s="39">
        <f t="shared" si="1"/>
        <v>-3.1036488164301046E-3</v>
      </c>
    </row>
    <row r="788" spans="1:7" ht="14.25" customHeight="1" x14ac:dyDescent="0.25">
      <c r="A788" s="121">
        <v>43818</v>
      </c>
      <c r="B788" s="9">
        <v>604.95001200000002</v>
      </c>
      <c r="C788" s="39">
        <f t="shared" si="2"/>
        <v>-2.6550808080119559E-2</v>
      </c>
      <c r="E788" s="121">
        <v>43818</v>
      </c>
      <c r="F788" s="9">
        <v>12259.700194999999</v>
      </c>
      <c r="G788" s="39">
        <f t="shared" si="1"/>
        <v>-9.8596865922395693E-4</v>
      </c>
    </row>
    <row r="789" spans="1:7" ht="14.25" customHeight="1" x14ac:dyDescent="0.25">
      <c r="A789" s="121">
        <v>43819</v>
      </c>
      <c r="B789" s="9">
        <v>621.45001200000002</v>
      </c>
      <c r="C789" s="39">
        <f t="shared" si="2"/>
        <v>-1.5446767767171687E-2</v>
      </c>
      <c r="E789" s="121">
        <v>43819</v>
      </c>
      <c r="F789" s="9">
        <v>12271.799805000001</v>
      </c>
      <c r="G789" s="39">
        <f t="shared" si="1"/>
        <v>7.3799147825726052E-4</v>
      </c>
    </row>
    <row r="790" spans="1:7" ht="14.25" customHeight="1" x14ac:dyDescent="0.25">
      <c r="A790" s="121">
        <v>43822</v>
      </c>
      <c r="B790" s="9">
        <v>631.20001200000002</v>
      </c>
      <c r="C790" s="39">
        <f t="shared" si="2"/>
        <v>1.8475210972166201E-2</v>
      </c>
      <c r="E790" s="121">
        <v>43822</v>
      </c>
      <c r="F790" s="9">
        <v>12262.75</v>
      </c>
      <c r="G790" s="39">
        <f t="shared" si="1"/>
        <v>3.9461294742331177E-3</v>
      </c>
    </row>
    <row r="791" spans="1:7" ht="14.25" customHeight="1" x14ac:dyDescent="0.25">
      <c r="A791" s="121">
        <v>43823</v>
      </c>
      <c r="B791" s="9">
        <v>619.75</v>
      </c>
      <c r="C791" s="39">
        <f t="shared" si="2"/>
        <v>7.4778116240470371E-3</v>
      </c>
      <c r="E791" s="121">
        <v>43823</v>
      </c>
      <c r="F791" s="9">
        <v>12214.549805000001</v>
      </c>
      <c r="G791" s="39">
        <f t="shared" si="1"/>
        <v>7.2568044015055566E-3</v>
      </c>
    </row>
    <row r="792" spans="1:7" ht="14.25" customHeight="1" x14ac:dyDescent="0.25">
      <c r="A792" s="121">
        <v>43825</v>
      </c>
      <c r="B792" s="9">
        <v>615.15002400000003</v>
      </c>
      <c r="C792" s="39">
        <f t="shared" si="2"/>
        <v>3.3437417717336881E-3</v>
      </c>
      <c r="E792" s="121">
        <v>43825</v>
      </c>
      <c r="F792" s="9">
        <v>12126.549805000001</v>
      </c>
      <c r="G792" s="39">
        <f t="shared" si="1"/>
        <v>-9.7380327866628535E-3</v>
      </c>
    </row>
    <row r="793" spans="1:7" ht="14.25" customHeight="1" x14ac:dyDescent="0.25">
      <c r="A793" s="121">
        <v>43826</v>
      </c>
      <c r="B793" s="9">
        <v>613.09997599999997</v>
      </c>
      <c r="C793" s="39">
        <f t="shared" si="2"/>
        <v>1.0612523263366924E-3</v>
      </c>
      <c r="E793" s="121">
        <v>43826</v>
      </c>
      <c r="F793" s="9">
        <v>12245.799805000001</v>
      </c>
      <c r="G793" s="39">
        <f t="shared" si="1"/>
        <v>-8.2000059731646147E-4</v>
      </c>
    </row>
    <row r="794" spans="1:7" ht="14.25" customHeight="1" x14ac:dyDescent="0.25">
      <c r="A794" s="121">
        <v>43829</v>
      </c>
      <c r="B794" s="9">
        <v>612.45001200000002</v>
      </c>
      <c r="C794" s="39">
        <f t="shared" si="2"/>
        <v>-5.3592984165651281E-3</v>
      </c>
      <c r="E794" s="121">
        <v>43829</v>
      </c>
      <c r="F794" s="9">
        <v>12255.849609000001</v>
      </c>
      <c r="G794" s="39">
        <f t="shared" si="1"/>
        <v>7.1824605927148788E-3</v>
      </c>
    </row>
    <row r="795" spans="1:7" ht="14.25" customHeight="1" x14ac:dyDescent="0.25">
      <c r="A795" s="121">
        <v>43830</v>
      </c>
      <c r="B795" s="9">
        <v>615.75</v>
      </c>
      <c r="C795" s="39">
        <f t="shared" si="2"/>
        <v>9.7533280759476426E-4</v>
      </c>
      <c r="E795" s="121">
        <v>43830</v>
      </c>
      <c r="F795" s="9">
        <v>12168.450194999999</v>
      </c>
      <c r="G795" s="39">
        <f t="shared" si="1"/>
        <v>-1.153277652370277E-3</v>
      </c>
    </row>
    <row r="796" spans="1:7" ht="14.25" customHeight="1" x14ac:dyDescent="0.25">
      <c r="A796" s="121">
        <v>43831</v>
      </c>
      <c r="B796" s="9">
        <v>615.15002400000003</v>
      </c>
      <c r="C796" s="39">
        <f t="shared" si="2"/>
        <v>-1.0694699466607172E-2</v>
      </c>
      <c r="E796" s="121">
        <v>43831</v>
      </c>
      <c r="F796" s="9">
        <v>12182.5</v>
      </c>
      <c r="G796" s="39">
        <f t="shared" si="1"/>
        <v>-8.11745399171937E-3</v>
      </c>
    </row>
    <row r="797" spans="1:7" ht="14.25" customHeight="1" x14ac:dyDescent="0.25">
      <c r="A797" s="121">
        <v>43832</v>
      </c>
      <c r="B797" s="9">
        <v>621.79998799999998</v>
      </c>
      <c r="C797" s="39">
        <f t="shared" si="2"/>
        <v>-1.2075048792816734E-2</v>
      </c>
      <c r="E797" s="121">
        <v>43832</v>
      </c>
      <c r="F797" s="9">
        <v>12282.200194999999</v>
      </c>
      <c r="G797" s="39">
        <f t="shared" si="1"/>
        <v>4.5433378908821265E-3</v>
      </c>
    </row>
    <row r="798" spans="1:7" ht="14.25" customHeight="1" x14ac:dyDescent="0.25">
      <c r="A798" s="121">
        <v>43833</v>
      </c>
      <c r="B798" s="9">
        <v>629.40002400000003</v>
      </c>
      <c r="C798" s="39">
        <f t="shared" si="2"/>
        <v>6.1546416335316323E-3</v>
      </c>
      <c r="E798" s="121">
        <v>43833</v>
      </c>
      <c r="F798" s="9">
        <v>12226.650390999999</v>
      </c>
      <c r="G798" s="39">
        <f t="shared" si="1"/>
        <v>1.9477996823010768E-2</v>
      </c>
    </row>
    <row r="799" spans="1:7" ht="14.25" customHeight="1" x14ac:dyDescent="0.25">
      <c r="A799" s="121">
        <v>43836</v>
      </c>
      <c r="B799" s="9">
        <v>625.54998799999998</v>
      </c>
      <c r="C799" s="39">
        <f t="shared" si="2"/>
        <v>-7.6935847324778317E-3</v>
      </c>
      <c r="E799" s="121">
        <v>43836</v>
      </c>
      <c r="F799" s="9">
        <v>11993.049805000001</v>
      </c>
      <c r="G799" s="39">
        <f t="shared" si="1"/>
        <v>-4.96976997588916E-3</v>
      </c>
    </row>
    <row r="800" spans="1:7" ht="14.25" customHeight="1" x14ac:dyDescent="0.25">
      <c r="A800" s="121">
        <v>43837</v>
      </c>
      <c r="B800" s="9">
        <v>630.40002400000003</v>
      </c>
      <c r="C800" s="39">
        <f t="shared" si="2"/>
        <v>5.8237319505385354E-3</v>
      </c>
      <c r="E800" s="121">
        <v>43837</v>
      </c>
      <c r="F800" s="9">
        <v>12052.950194999999</v>
      </c>
      <c r="G800" s="39">
        <f t="shared" si="1"/>
        <v>2.2952002974900854E-3</v>
      </c>
    </row>
    <row r="801" spans="1:7" ht="14.25" customHeight="1" x14ac:dyDescent="0.25">
      <c r="A801" s="121">
        <v>43838</v>
      </c>
      <c r="B801" s="9">
        <v>626.75</v>
      </c>
      <c r="C801" s="39">
        <f t="shared" si="2"/>
        <v>-5.8688427782915831E-3</v>
      </c>
      <c r="E801" s="121">
        <v>43838</v>
      </c>
      <c r="F801" s="9">
        <v>12025.349609000001</v>
      </c>
      <c r="G801" s="39">
        <f t="shared" si="1"/>
        <v>-1.5598586751770283E-2</v>
      </c>
    </row>
    <row r="802" spans="1:7" ht="14.25" customHeight="1" x14ac:dyDescent="0.25">
      <c r="A802" s="121">
        <v>43839</v>
      </c>
      <c r="B802" s="9">
        <v>630.45001200000002</v>
      </c>
      <c r="C802" s="39">
        <f t="shared" si="2"/>
        <v>-7.3216252176333541E-3</v>
      </c>
      <c r="E802" s="121">
        <v>43839</v>
      </c>
      <c r="F802" s="9">
        <v>12215.900390999999</v>
      </c>
      <c r="G802" s="39">
        <f t="shared" si="1"/>
        <v>-3.3368754202314221E-3</v>
      </c>
    </row>
    <row r="803" spans="1:7" ht="14.25" customHeight="1" x14ac:dyDescent="0.25">
      <c r="A803" s="121">
        <v>43840</v>
      </c>
      <c r="B803" s="9">
        <v>635.09997599999997</v>
      </c>
      <c r="C803" s="39">
        <f t="shared" si="2"/>
        <v>-1.1286682137277793E-2</v>
      </c>
      <c r="E803" s="121">
        <v>43840</v>
      </c>
      <c r="F803" s="9">
        <v>12256.799805000001</v>
      </c>
      <c r="G803" s="39">
        <f t="shared" si="1"/>
        <v>-5.9004587475284254E-3</v>
      </c>
    </row>
    <row r="804" spans="1:7" ht="14.25" customHeight="1" x14ac:dyDescent="0.25">
      <c r="A804" s="121">
        <v>43843</v>
      </c>
      <c r="B804" s="9">
        <v>642.34997599999997</v>
      </c>
      <c r="C804" s="39">
        <f t="shared" si="2"/>
        <v>1.1689526621803115E-3</v>
      </c>
      <c r="E804" s="121">
        <v>43843</v>
      </c>
      <c r="F804" s="9">
        <v>12329.549805000001</v>
      </c>
      <c r="G804" s="39">
        <f t="shared" si="1"/>
        <v>-2.6491834461702668E-3</v>
      </c>
    </row>
    <row r="805" spans="1:7" ht="14.25" customHeight="1" x14ac:dyDescent="0.25">
      <c r="A805" s="121">
        <v>43844</v>
      </c>
      <c r="B805" s="9">
        <v>641.59997599999997</v>
      </c>
      <c r="C805" s="39">
        <f t="shared" si="2"/>
        <v>-9.1884983557439792E-3</v>
      </c>
      <c r="E805" s="121">
        <v>43844</v>
      </c>
      <c r="F805" s="9">
        <v>12362.299805000001</v>
      </c>
      <c r="G805" s="39">
        <f t="shared" si="1"/>
        <v>1.5392966467770997E-3</v>
      </c>
    </row>
    <row r="806" spans="1:7" ht="14.25" customHeight="1" x14ac:dyDescent="0.25">
      <c r="A806" s="121">
        <v>43845</v>
      </c>
      <c r="B806" s="9">
        <v>647.54998799999998</v>
      </c>
      <c r="C806" s="39">
        <f t="shared" si="2"/>
        <v>-2.6460250116445927E-2</v>
      </c>
      <c r="E806" s="121">
        <v>43845</v>
      </c>
      <c r="F806" s="9">
        <v>12343.299805000001</v>
      </c>
      <c r="G806" s="39">
        <f t="shared" si="1"/>
        <v>-9.8743029420089723E-4</v>
      </c>
    </row>
    <row r="807" spans="1:7" ht="14.25" customHeight="1" x14ac:dyDescent="0.25">
      <c r="A807" s="121">
        <v>43846</v>
      </c>
      <c r="B807" s="9">
        <v>665.15002400000003</v>
      </c>
      <c r="C807" s="39">
        <f t="shared" si="2"/>
        <v>-1.9747939336784648E-2</v>
      </c>
      <c r="E807" s="121">
        <v>43846</v>
      </c>
      <c r="F807" s="9">
        <v>12355.5</v>
      </c>
      <c r="G807" s="39">
        <f t="shared" si="1"/>
        <v>2.5504386612440477E-4</v>
      </c>
    </row>
    <row r="808" spans="1:7" ht="14.25" customHeight="1" x14ac:dyDescent="0.25">
      <c r="A808" s="121">
        <v>43847</v>
      </c>
      <c r="B808" s="9">
        <v>678.54998799999998</v>
      </c>
      <c r="C808" s="39">
        <f t="shared" si="2"/>
        <v>-2.4441090206732907E-2</v>
      </c>
      <c r="E808" s="121">
        <v>43847</v>
      </c>
      <c r="F808" s="9">
        <v>12352.349609000001</v>
      </c>
      <c r="G808" s="39">
        <f t="shared" si="1"/>
        <v>1.0454356687043642E-2</v>
      </c>
    </row>
    <row r="809" spans="1:7" ht="14.25" customHeight="1" x14ac:dyDescent="0.25">
      <c r="A809" s="121">
        <v>43850</v>
      </c>
      <c r="B809" s="9">
        <v>695.54998799999998</v>
      </c>
      <c r="C809" s="39">
        <f t="shared" si="2"/>
        <v>6.5846425470332814E-3</v>
      </c>
      <c r="E809" s="121">
        <v>43850</v>
      </c>
      <c r="F809" s="9">
        <v>12224.549805000001</v>
      </c>
      <c r="G809" s="39">
        <f t="shared" si="1"/>
        <v>4.4947306464286907E-3</v>
      </c>
    </row>
    <row r="810" spans="1:7" ht="14.25" customHeight="1" x14ac:dyDescent="0.25">
      <c r="A810" s="121">
        <v>43851</v>
      </c>
      <c r="B810" s="9">
        <v>691</v>
      </c>
      <c r="C810" s="39">
        <f t="shared" si="2"/>
        <v>1.4386359112395386E-2</v>
      </c>
      <c r="E810" s="121">
        <v>43851</v>
      </c>
      <c r="F810" s="9">
        <v>12169.849609000001</v>
      </c>
      <c r="G810" s="39">
        <f t="shared" si="1"/>
        <v>5.1994495673555186E-3</v>
      </c>
    </row>
    <row r="811" spans="1:7" ht="14.25" customHeight="1" x14ac:dyDescent="0.25">
      <c r="A811" s="121">
        <v>43852</v>
      </c>
      <c r="B811" s="9">
        <v>681.20001200000002</v>
      </c>
      <c r="C811" s="39">
        <f t="shared" si="2"/>
        <v>3.7574418475228022E-3</v>
      </c>
      <c r="E811" s="121">
        <v>43852</v>
      </c>
      <c r="F811" s="9">
        <v>12106.900390999999</v>
      </c>
      <c r="G811" s="39">
        <f t="shared" si="1"/>
        <v>-6.0301403783787899E-3</v>
      </c>
    </row>
    <row r="812" spans="1:7" ht="14.25" customHeight="1" x14ac:dyDescent="0.25">
      <c r="A812" s="121">
        <v>43853</v>
      </c>
      <c r="B812" s="9">
        <v>678.65002400000003</v>
      </c>
      <c r="C812" s="39">
        <f t="shared" si="2"/>
        <v>-1.8653697091814525E-2</v>
      </c>
      <c r="E812" s="121">
        <v>43853</v>
      </c>
      <c r="F812" s="9">
        <v>12180.349609000001</v>
      </c>
      <c r="G812" s="39">
        <f t="shared" si="1"/>
        <v>-5.5436810156552774E-3</v>
      </c>
    </row>
    <row r="813" spans="1:7" ht="14.25" customHeight="1" x14ac:dyDescent="0.25">
      <c r="A813" s="121">
        <v>43854</v>
      </c>
      <c r="B813" s="9">
        <v>691.54998799999998</v>
      </c>
      <c r="C813" s="39">
        <f t="shared" si="2"/>
        <v>-2.2958463231847359E-2</v>
      </c>
      <c r="E813" s="121">
        <v>43854</v>
      </c>
      <c r="F813" s="9">
        <v>12248.25</v>
      </c>
      <c r="G813" s="39">
        <f t="shared" si="1"/>
        <v>1.0665071375526081E-2</v>
      </c>
    </row>
    <row r="814" spans="1:7" ht="14.25" customHeight="1" x14ac:dyDescent="0.25">
      <c r="A814" s="121">
        <v>43857</v>
      </c>
      <c r="B814" s="9">
        <v>707.79998799999998</v>
      </c>
      <c r="C814" s="39">
        <f t="shared" si="2"/>
        <v>-9.5157965692402868E-3</v>
      </c>
      <c r="E814" s="121">
        <v>43857</v>
      </c>
      <c r="F814" s="9">
        <v>12119</v>
      </c>
      <c r="G814" s="39">
        <f t="shared" si="1"/>
        <v>5.2423062776629781E-3</v>
      </c>
    </row>
    <row r="815" spans="1:7" ht="14.25" customHeight="1" x14ac:dyDescent="0.25">
      <c r="A815" s="121">
        <v>43858</v>
      </c>
      <c r="B815" s="9">
        <v>714.59997599999997</v>
      </c>
      <c r="C815" s="39">
        <f t="shared" si="2"/>
        <v>-8.7391424473028945E-3</v>
      </c>
      <c r="E815" s="121">
        <v>43858</v>
      </c>
      <c r="F815" s="9">
        <v>12055.799805000001</v>
      </c>
      <c r="G815" s="39">
        <f t="shared" si="1"/>
        <v>-6.0761115462302229E-3</v>
      </c>
    </row>
    <row r="816" spans="1:7" ht="14.25" customHeight="1" x14ac:dyDescent="0.25">
      <c r="A816" s="121">
        <v>43859</v>
      </c>
      <c r="B816" s="9">
        <v>720.90002400000003</v>
      </c>
      <c r="C816" s="39">
        <f t="shared" si="2"/>
        <v>-3.8689898487938024E-3</v>
      </c>
      <c r="E816" s="121">
        <v>43859</v>
      </c>
      <c r="F816" s="9">
        <v>12129.5</v>
      </c>
      <c r="G816" s="39">
        <f t="shared" si="1"/>
        <v>7.7851240896407159E-3</v>
      </c>
    </row>
    <row r="817" spans="1:7" ht="14.25" customHeight="1" x14ac:dyDescent="0.25">
      <c r="A817" s="121">
        <v>43860</v>
      </c>
      <c r="B817" s="9">
        <v>723.70001200000002</v>
      </c>
      <c r="C817" s="39">
        <f t="shared" si="2"/>
        <v>-1.8245962914056668E-2</v>
      </c>
      <c r="E817" s="121">
        <v>43860</v>
      </c>
      <c r="F817" s="9">
        <v>12035.799805000001</v>
      </c>
      <c r="G817" s="39">
        <f t="shared" si="1"/>
        <v>6.161142141346998E-3</v>
      </c>
    </row>
    <row r="818" spans="1:7" ht="14.25" customHeight="1" x14ac:dyDescent="0.25">
      <c r="A818" s="121">
        <v>43861</v>
      </c>
      <c r="B818" s="9">
        <v>737.15002400000003</v>
      </c>
      <c r="C818" s="39">
        <f t="shared" si="2"/>
        <v>2.2967039343892548E-2</v>
      </c>
      <c r="E818" s="121">
        <v>43861</v>
      </c>
      <c r="F818" s="9">
        <v>11962.099609000001</v>
      </c>
      <c r="G818" s="39">
        <f t="shared" si="1"/>
        <v>2.1711768080586724E-2</v>
      </c>
    </row>
    <row r="819" spans="1:7" ht="14.25" customHeight="1" x14ac:dyDescent="0.25">
      <c r="A819" s="121">
        <v>43864</v>
      </c>
      <c r="B819" s="9">
        <v>720.59997599999997</v>
      </c>
      <c r="C819" s="39">
        <f t="shared" si="2"/>
        <v>-2.4238353419092751E-2</v>
      </c>
      <c r="E819" s="121">
        <v>43864</v>
      </c>
      <c r="F819" s="9">
        <v>11707.900390999999</v>
      </c>
      <c r="G819" s="39">
        <f t="shared" si="1"/>
        <v>-2.2684301388641415E-2</v>
      </c>
    </row>
    <row r="820" spans="1:7" ht="14.25" customHeight="1" x14ac:dyDescent="0.25">
      <c r="A820" s="121">
        <v>43865</v>
      </c>
      <c r="B820" s="9">
        <v>738.5</v>
      </c>
      <c r="C820" s="39">
        <f t="shared" si="2"/>
        <v>-1.01454176530269E-3</v>
      </c>
      <c r="E820" s="121">
        <v>43865</v>
      </c>
      <c r="F820" s="9">
        <v>11979.650390999999</v>
      </c>
      <c r="G820" s="39">
        <f t="shared" si="1"/>
        <v>-9.0577084789613682E-3</v>
      </c>
    </row>
    <row r="821" spans="1:7" ht="14.25" customHeight="1" x14ac:dyDescent="0.25">
      <c r="A821" s="121">
        <v>43866</v>
      </c>
      <c r="B821" s="9">
        <v>739.25</v>
      </c>
      <c r="C821" s="39">
        <f t="shared" si="2"/>
        <v>-4.0563586622621717E-4</v>
      </c>
      <c r="E821" s="121">
        <v>43866</v>
      </c>
      <c r="F821" s="9">
        <v>12089.150390999999</v>
      </c>
      <c r="G821" s="39">
        <f t="shared" si="1"/>
        <v>-4.0204320512126079E-3</v>
      </c>
    </row>
    <row r="822" spans="1:7" ht="14.25" customHeight="1" x14ac:dyDescent="0.25">
      <c r="A822" s="121">
        <v>43867</v>
      </c>
      <c r="B822" s="9">
        <v>739.54998799999998</v>
      </c>
      <c r="C822" s="39">
        <f t="shared" si="2"/>
        <v>-1.552617768824871E-3</v>
      </c>
      <c r="E822" s="121">
        <v>43867</v>
      </c>
      <c r="F822" s="9">
        <v>12137.950194999999</v>
      </c>
      <c r="G822" s="39">
        <f t="shared" si="1"/>
        <v>3.2732221567262076E-3</v>
      </c>
    </row>
    <row r="823" spans="1:7" ht="14.25" customHeight="1" x14ac:dyDescent="0.25">
      <c r="A823" s="121">
        <v>43868</v>
      </c>
      <c r="B823" s="9">
        <v>740.70001200000002</v>
      </c>
      <c r="C823" s="39">
        <f t="shared" si="2"/>
        <v>-1.5223042790197372E-2</v>
      </c>
      <c r="E823" s="121">
        <v>43868</v>
      </c>
      <c r="F823" s="9">
        <v>12098.349609000001</v>
      </c>
      <c r="G823" s="39">
        <f t="shared" si="1"/>
        <v>5.5562156838300236E-3</v>
      </c>
    </row>
    <row r="824" spans="1:7" ht="14.25" customHeight="1" x14ac:dyDescent="0.25">
      <c r="A824" s="121">
        <v>43871</v>
      </c>
      <c r="B824" s="9">
        <v>752.15002400000003</v>
      </c>
      <c r="C824" s="39">
        <f t="shared" si="2"/>
        <v>-3.8232804115841179E-2</v>
      </c>
      <c r="E824" s="121">
        <v>43871</v>
      </c>
      <c r="F824" s="9">
        <v>12031.5</v>
      </c>
      <c r="G824" s="39">
        <f t="shared" si="1"/>
        <v>-6.3099619696895815E-3</v>
      </c>
    </row>
    <row r="825" spans="1:7" ht="14.25" customHeight="1" x14ac:dyDescent="0.25">
      <c r="A825" s="121">
        <v>43872</v>
      </c>
      <c r="B825" s="9">
        <v>782.04998799999998</v>
      </c>
      <c r="C825" s="39">
        <f t="shared" si="2"/>
        <v>-1.3186135015772926E-2</v>
      </c>
      <c r="E825" s="121">
        <v>43872</v>
      </c>
      <c r="F825" s="9">
        <v>12107.900390999999</v>
      </c>
      <c r="G825" s="39">
        <f t="shared" si="1"/>
        <v>-7.6467726542372993E-3</v>
      </c>
    </row>
    <row r="826" spans="1:7" ht="14.25" customHeight="1" x14ac:dyDescent="0.25">
      <c r="A826" s="121">
        <v>43873</v>
      </c>
      <c r="B826" s="9">
        <v>792.5</v>
      </c>
      <c r="C826" s="39">
        <f t="shared" si="2"/>
        <v>3.7363207457865588E-3</v>
      </c>
      <c r="E826" s="121">
        <v>43873</v>
      </c>
      <c r="F826" s="9">
        <v>12201.200194999999</v>
      </c>
      <c r="G826" s="39">
        <f t="shared" si="1"/>
        <v>2.1807446741655134E-3</v>
      </c>
    </row>
    <row r="827" spans="1:7" ht="14.25" customHeight="1" x14ac:dyDescent="0.25">
      <c r="A827" s="121">
        <v>43874</v>
      </c>
      <c r="B827" s="9">
        <v>789.54998799999998</v>
      </c>
      <c r="C827" s="39">
        <f t="shared" si="2"/>
        <v>-6.8553610062893622E-3</v>
      </c>
      <c r="E827" s="121">
        <v>43874</v>
      </c>
      <c r="F827" s="9">
        <v>12174.650390999999</v>
      </c>
      <c r="G827" s="39">
        <f t="shared" si="1"/>
        <v>5.0522514242277161E-3</v>
      </c>
    </row>
    <row r="828" spans="1:7" ht="14.25" customHeight="1" x14ac:dyDescent="0.25">
      <c r="A828" s="121">
        <v>43875</v>
      </c>
      <c r="B828" s="9">
        <v>795</v>
      </c>
      <c r="C828" s="39">
        <f t="shared" si="2"/>
        <v>-2.5556139747928364E-2</v>
      </c>
      <c r="E828" s="121">
        <v>43875</v>
      </c>
      <c r="F828" s="9">
        <v>12113.450194999999</v>
      </c>
      <c r="G828" s="39">
        <f t="shared" si="1"/>
        <v>5.6160978179231602E-3</v>
      </c>
    </row>
    <row r="829" spans="1:7" ht="14.25" customHeight="1" x14ac:dyDescent="0.25">
      <c r="A829" s="121">
        <v>43878</v>
      </c>
      <c r="B829" s="9">
        <v>815.84997599999997</v>
      </c>
      <c r="C829" s="39">
        <f t="shared" si="2"/>
        <v>-4.2886056708368869E-4</v>
      </c>
      <c r="E829" s="121">
        <v>43878</v>
      </c>
      <c r="F829" s="9">
        <v>12045.799805000001</v>
      </c>
      <c r="G829" s="39">
        <f t="shared" si="1"/>
        <v>4.4444281842819233E-3</v>
      </c>
    </row>
    <row r="830" spans="1:7" ht="14.25" customHeight="1" x14ac:dyDescent="0.25">
      <c r="A830" s="121">
        <v>43879</v>
      </c>
      <c r="B830" s="9">
        <v>816.20001200000002</v>
      </c>
      <c r="C830" s="39">
        <f t="shared" si="2"/>
        <v>2.8875543027602202E-3</v>
      </c>
      <c r="E830" s="121">
        <v>43879</v>
      </c>
      <c r="F830" s="9">
        <v>11992.5</v>
      </c>
      <c r="G830" s="39">
        <f t="shared" si="1"/>
        <v>-1.1001277158685152E-2</v>
      </c>
    </row>
    <row r="831" spans="1:7" ht="14.25" customHeight="1" x14ac:dyDescent="0.25">
      <c r="A831" s="121">
        <v>43880</v>
      </c>
      <c r="B831" s="9">
        <v>813.84997599999997</v>
      </c>
      <c r="C831" s="39">
        <f t="shared" si="2"/>
        <v>1.0805380041819301E-2</v>
      </c>
      <c r="E831" s="121">
        <v>43880</v>
      </c>
      <c r="F831" s="9">
        <v>12125.900390999999</v>
      </c>
      <c r="G831" s="39">
        <f t="shared" si="1"/>
        <v>3.7291070957821137E-3</v>
      </c>
    </row>
    <row r="832" spans="1:7" ht="14.25" customHeight="1" x14ac:dyDescent="0.25">
      <c r="A832" s="121">
        <v>43881</v>
      </c>
      <c r="B832" s="9">
        <v>805.15002400000003</v>
      </c>
      <c r="C832" s="39">
        <f t="shared" si="2"/>
        <v>7.3819505786676398E-3</v>
      </c>
      <c r="E832" s="121">
        <v>43881</v>
      </c>
      <c r="F832" s="9">
        <v>12080.849609000001</v>
      </c>
      <c r="G832" s="39">
        <f t="shared" si="1"/>
        <v>2.1256294460309855E-2</v>
      </c>
    </row>
    <row r="833" spans="1:7" ht="14.25" customHeight="1" x14ac:dyDescent="0.25">
      <c r="A833" s="121">
        <v>43885</v>
      </c>
      <c r="B833" s="9">
        <v>799.25</v>
      </c>
      <c r="C833" s="39">
        <f t="shared" si="2"/>
        <v>9.2814443455553342E-3</v>
      </c>
      <c r="E833" s="121">
        <v>43885</v>
      </c>
      <c r="F833" s="9">
        <v>11829.400390999999</v>
      </c>
      <c r="G833" s="39">
        <f t="shared" si="1"/>
        <v>2.6699666005003397E-3</v>
      </c>
    </row>
    <row r="834" spans="1:7" ht="14.25" customHeight="1" x14ac:dyDescent="0.25">
      <c r="A834" s="121">
        <v>43886</v>
      </c>
      <c r="B834" s="9">
        <v>791.90002400000003</v>
      </c>
      <c r="C834" s="39">
        <f t="shared" si="2"/>
        <v>3.9238876640419917E-2</v>
      </c>
      <c r="E834" s="121">
        <v>43886</v>
      </c>
      <c r="F834" s="9">
        <v>11797.900390999999</v>
      </c>
      <c r="G834" s="39">
        <f t="shared" si="1"/>
        <v>1.0223949222931017E-2</v>
      </c>
    </row>
    <row r="835" spans="1:7" ht="14.25" customHeight="1" x14ac:dyDescent="0.25">
      <c r="A835" s="121">
        <v>43887</v>
      </c>
      <c r="B835" s="9">
        <v>762</v>
      </c>
      <c r="C835" s="39">
        <f t="shared" si="2"/>
        <v>5.7158730141377401E-2</v>
      </c>
      <c r="E835" s="121">
        <v>43887</v>
      </c>
      <c r="F835" s="9">
        <v>11678.5</v>
      </c>
      <c r="G835" s="39">
        <f t="shared" si="1"/>
        <v>3.885414779783547E-3</v>
      </c>
    </row>
    <row r="836" spans="1:7" ht="14.25" customHeight="1" x14ac:dyDescent="0.25">
      <c r="A836" s="121">
        <v>43888</v>
      </c>
      <c r="B836" s="9">
        <v>720.79998799999998</v>
      </c>
      <c r="C836" s="39">
        <f t="shared" si="2"/>
        <v>3.4888712132088884E-2</v>
      </c>
      <c r="E836" s="121">
        <v>43888</v>
      </c>
      <c r="F836" s="9">
        <v>11633.299805000001</v>
      </c>
      <c r="G836" s="39">
        <f t="shared" si="1"/>
        <v>3.8525213024750649E-2</v>
      </c>
    </row>
    <row r="837" spans="1:7" ht="14.25" customHeight="1" x14ac:dyDescent="0.25">
      <c r="A837" s="121">
        <v>43889</v>
      </c>
      <c r="B837" s="9">
        <v>696.5</v>
      </c>
      <c r="C837" s="39">
        <f t="shared" si="2"/>
        <v>5.9213978305696635E-3</v>
      </c>
      <c r="E837" s="121">
        <v>43889</v>
      </c>
      <c r="F837" s="9">
        <v>11201.75</v>
      </c>
      <c r="G837" s="39">
        <f t="shared" si="1"/>
        <v>6.1979295322360795E-3</v>
      </c>
    </row>
    <row r="838" spans="1:7" ht="14.25" customHeight="1" x14ac:dyDescent="0.25">
      <c r="A838" s="121">
        <v>43892</v>
      </c>
      <c r="B838" s="9">
        <v>692.40002400000003</v>
      </c>
      <c r="C838" s="39">
        <f t="shared" si="2"/>
        <v>-7.1694864180273932E-3</v>
      </c>
      <c r="E838" s="121">
        <v>43892</v>
      </c>
      <c r="F838" s="9">
        <v>11132.75</v>
      </c>
      <c r="G838" s="39">
        <f t="shared" si="1"/>
        <v>-1.5088496982496924E-2</v>
      </c>
    </row>
    <row r="839" spans="1:7" ht="14.25" customHeight="1" x14ac:dyDescent="0.25">
      <c r="A839" s="121">
        <v>43893</v>
      </c>
      <c r="B839" s="9">
        <v>697.40002400000003</v>
      </c>
      <c r="C839" s="39">
        <f t="shared" si="2"/>
        <v>7.8763088452695751E-3</v>
      </c>
      <c r="E839" s="121">
        <v>43893</v>
      </c>
      <c r="F839" s="9">
        <v>11303.299805000001</v>
      </c>
      <c r="G839" s="39">
        <f t="shared" si="1"/>
        <v>4.6484583592569795E-3</v>
      </c>
    </row>
    <row r="840" spans="1:7" ht="14.25" customHeight="1" x14ac:dyDescent="0.25">
      <c r="A840" s="121">
        <v>43894</v>
      </c>
      <c r="B840" s="9">
        <v>691.95001200000002</v>
      </c>
      <c r="C840" s="39">
        <f t="shared" si="2"/>
        <v>-1.641789339019184E-2</v>
      </c>
      <c r="E840" s="121">
        <v>43894</v>
      </c>
      <c r="F840" s="9">
        <v>11251</v>
      </c>
      <c r="G840" s="39">
        <f t="shared" si="1"/>
        <v>-1.5973023338361481E-3</v>
      </c>
    </row>
    <row r="841" spans="1:7" ht="14.25" customHeight="1" x14ac:dyDescent="0.25">
      <c r="A841" s="121">
        <v>43895</v>
      </c>
      <c r="B841" s="9">
        <v>703.5</v>
      </c>
      <c r="C841" s="39">
        <f t="shared" si="2"/>
        <v>7.8239987283756918E-4</v>
      </c>
      <c r="E841" s="121">
        <v>43895</v>
      </c>
      <c r="F841" s="9">
        <v>11269</v>
      </c>
      <c r="G841" s="39">
        <f t="shared" si="1"/>
        <v>2.5438015554881011E-2</v>
      </c>
    </row>
    <row r="842" spans="1:7" ht="14.25" customHeight="1" x14ac:dyDescent="0.25">
      <c r="A842" s="121">
        <v>43896</v>
      </c>
      <c r="B842" s="9">
        <v>702.95001200000002</v>
      </c>
      <c r="C842" s="39">
        <f t="shared" si="2"/>
        <v>6.241968790437169E-2</v>
      </c>
      <c r="E842" s="121">
        <v>43896</v>
      </c>
      <c r="F842" s="9">
        <v>10989.450194999999</v>
      </c>
      <c r="G842" s="39">
        <f t="shared" si="1"/>
        <v>5.147611000982244E-2</v>
      </c>
    </row>
    <row r="843" spans="1:7" ht="14.25" customHeight="1" x14ac:dyDescent="0.25">
      <c r="A843" s="121">
        <v>43899</v>
      </c>
      <c r="B843" s="9">
        <v>661.65002400000003</v>
      </c>
      <c r="C843" s="39">
        <f t="shared" si="2"/>
        <v>-1.7667529080261701E-2</v>
      </c>
      <c r="E843" s="121">
        <v>43899</v>
      </c>
      <c r="F843" s="9">
        <v>10451.450194999999</v>
      </c>
      <c r="G843" s="39">
        <f t="shared" si="1"/>
        <v>-6.6455631264417114E-4</v>
      </c>
    </row>
    <row r="844" spans="1:7" ht="14.25" customHeight="1" x14ac:dyDescent="0.25">
      <c r="A844" s="121">
        <v>43901</v>
      </c>
      <c r="B844" s="9">
        <v>673.54998799999998</v>
      </c>
      <c r="C844" s="39">
        <f t="shared" si="2"/>
        <v>2.5892925612238438E-2</v>
      </c>
      <c r="E844" s="121">
        <v>43901</v>
      </c>
      <c r="F844" s="9">
        <v>10458.400390999999</v>
      </c>
      <c r="G844" s="39">
        <f t="shared" si="1"/>
        <v>9.0535597941698631E-2</v>
      </c>
    </row>
    <row r="845" spans="1:7" ht="14.25" customHeight="1" x14ac:dyDescent="0.25">
      <c r="A845" s="121">
        <v>43902</v>
      </c>
      <c r="B845" s="9">
        <v>656.54998799999998</v>
      </c>
      <c r="C845" s="39">
        <f t="shared" si="2"/>
        <v>1.194512969072381E-2</v>
      </c>
      <c r="E845" s="121">
        <v>43902</v>
      </c>
      <c r="F845" s="9">
        <v>9590.1503909999992</v>
      </c>
      <c r="G845" s="39">
        <f t="shared" si="1"/>
        <v>-3.6669257960613044E-2</v>
      </c>
    </row>
    <row r="846" spans="1:7" ht="14.25" customHeight="1" x14ac:dyDescent="0.25">
      <c r="A846" s="121">
        <v>43903</v>
      </c>
      <c r="B846" s="9">
        <v>648.79998799999998</v>
      </c>
      <c r="C846" s="39">
        <f t="shared" si="2"/>
        <v>1.4621902923664276E-2</v>
      </c>
      <c r="E846" s="121">
        <v>43903</v>
      </c>
      <c r="F846" s="9">
        <v>9955.2001949999994</v>
      </c>
      <c r="G846" s="39">
        <f t="shared" si="1"/>
        <v>8.2392825340248832E-2</v>
      </c>
    </row>
    <row r="847" spans="1:7" ht="14.25" customHeight="1" x14ac:dyDescent="0.25">
      <c r="A847" s="121">
        <v>43906</v>
      </c>
      <c r="B847" s="9">
        <v>639.45001200000002</v>
      </c>
      <c r="C847" s="39">
        <f t="shared" si="2"/>
        <v>2.7476559266389478E-2</v>
      </c>
      <c r="E847" s="121">
        <v>43906</v>
      </c>
      <c r="F847" s="9">
        <v>9197.4003909999992</v>
      </c>
      <c r="G847" s="39">
        <f t="shared" si="1"/>
        <v>2.5688558780119219E-2</v>
      </c>
    </row>
    <row r="848" spans="1:7" ht="14.25" customHeight="1" x14ac:dyDescent="0.25">
      <c r="A848" s="121">
        <v>43907</v>
      </c>
      <c r="B848" s="9">
        <v>622.34997599999997</v>
      </c>
      <c r="C848" s="39">
        <f t="shared" si="2"/>
        <v>3.7509378845086427E-2</v>
      </c>
      <c r="E848" s="121">
        <v>43907</v>
      </c>
      <c r="F848" s="9">
        <v>8967.0498050000006</v>
      </c>
      <c r="G848" s="39">
        <f t="shared" si="1"/>
        <v>5.8833602337114099E-2</v>
      </c>
    </row>
    <row r="849" spans="1:7" ht="14.25" customHeight="1" x14ac:dyDescent="0.25">
      <c r="A849" s="121">
        <v>43908</v>
      </c>
      <c r="B849" s="9">
        <v>599.84997599999997</v>
      </c>
      <c r="C849" s="39">
        <f t="shared" si="2"/>
        <v>6.1211810703228675E-2</v>
      </c>
      <c r="E849" s="121">
        <v>43908</v>
      </c>
      <c r="F849" s="9">
        <v>8468.7998050000006</v>
      </c>
      <c r="G849" s="39">
        <f t="shared" si="1"/>
        <v>2.4850347633758707E-2</v>
      </c>
    </row>
    <row r="850" spans="1:7" ht="14.25" customHeight="1" x14ac:dyDescent="0.25">
      <c r="A850" s="121">
        <v>43909</v>
      </c>
      <c r="B850" s="9">
        <v>565.25</v>
      </c>
      <c r="C850" s="39">
        <f t="shared" si="2"/>
        <v>-4.8480748391160566E-2</v>
      </c>
      <c r="E850" s="121">
        <v>43909</v>
      </c>
      <c r="F850" s="9">
        <v>8263.4501949999994</v>
      </c>
      <c r="G850" s="39">
        <f t="shared" si="1"/>
        <v>-5.5114372531167355E-2</v>
      </c>
    </row>
    <row r="851" spans="1:7" ht="14.25" customHeight="1" x14ac:dyDescent="0.25">
      <c r="A851" s="121">
        <v>43910</v>
      </c>
      <c r="B851" s="9">
        <v>594.04998799999998</v>
      </c>
      <c r="C851" s="39">
        <f t="shared" si="2"/>
        <v>0.17227427331031087</v>
      </c>
      <c r="E851" s="121">
        <v>43910</v>
      </c>
      <c r="F851" s="9">
        <v>8745.4501949999994</v>
      </c>
      <c r="G851" s="39">
        <f t="shared" si="1"/>
        <v>0.14916726717256323</v>
      </c>
    </row>
    <row r="852" spans="1:7" ht="14.25" customHeight="1" x14ac:dyDescent="0.25">
      <c r="A852" s="121">
        <v>43913</v>
      </c>
      <c r="B852" s="9">
        <v>506.75</v>
      </c>
      <c r="C852" s="39">
        <f t="shared" si="2"/>
        <v>-1.9351717464925033E-2</v>
      </c>
      <c r="E852" s="121">
        <v>43913</v>
      </c>
      <c r="F852" s="9">
        <v>7610.25</v>
      </c>
      <c r="G852" s="39">
        <f t="shared" si="1"/>
        <v>-2.4458221620083598E-2</v>
      </c>
    </row>
    <row r="853" spans="1:7" ht="14.25" customHeight="1" x14ac:dyDescent="0.25">
      <c r="A853" s="121">
        <v>43914</v>
      </c>
      <c r="B853" s="9">
        <v>516.75</v>
      </c>
      <c r="C853" s="39">
        <f t="shared" si="2"/>
        <v>7.5062893738526704E-3</v>
      </c>
      <c r="E853" s="121">
        <v>43914</v>
      </c>
      <c r="F853" s="9">
        <v>7801.0498049999997</v>
      </c>
      <c r="G853" s="39">
        <f t="shared" si="1"/>
        <v>-6.2131419572772573E-2</v>
      </c>
    </row>
    <row r="854" spans="1:7" ht="14.25" customHeight="1" x14ac:dyDescent="0.25">
      <c r="A854" s="121">
        <v>43915</v>
      </c>
      <c r="B854" s="9">
        <v>512.90002400000003</v>
      </c>
      <c r="C854" s="39">
        <f t="shared" si="2"/>
        <v>-0.108155024510034</v>
      </c>
      <c r="E854" s="121">
        <v>43915</v>
      </c>
      <c r="F854" s="9">
        <v>8317.8496090000008</v>
      </c>
      <c r="G854" s="39">
        <f t="shared" si="1"/>
        <v>-3.7447486092928695E-2</v>
      </c>
    </row>
    <row r="855" spans="1:7" ht="14.25" customHeight="1" x14ac:dyDescent="0.25">
      <c r="A855" s="121">
        <v>43916</v>
      </c>
      <c r="B855" s="9">
        <v>575.09997599999997</v>
      </c>
      <c r="C855" s="39">
        <f t="shared" si="2"/>
        <v>-4.1180414295040046E-2</v>
      </c>
      <c r="E855" s="121">
        <v>43916</v>
      </c>
      <c r="F855" s="9">
        <v>8641.4501949999994</v>
      </c>
      <c r="G855" s="39">
        <f t="shared" si="1"/>
        <v>-2.1708155076355373E-3</v>
      </c>
    </row>
    <row r="856" spans="1:7" ht="14.25" customHeight="1" x14ac:dyDescent="0.25">
      <c r="A856" s="121">
        <v>43917</v>
      </c>
      <c r="B856" s="9">
        <v>599.79998799999998</v>
      </c>
      <c r="C856" s="39">
        <f t="shared" si="2"/>
        <v>6.2070326270236009E-3</v>
      </c>
      <c r="E856" s="121">
        <v>43917</v>
      </c>
      <c r="F856" s="9">
        <v>8660.25</v>
      </c>
      <c r="G856" s="39">
        <f t="shared" si="1"/>
        <v>4.5785029633979235E-2</v>
      </c>
    </row>
    <row r="857" spans="1:7" ht="14.25" customHeight="1" x14ac:dyDescent="0.25">
      <c r="A857" s="121">
        <v>43920</v>
      </c>
      <c r="B857" s="9">
        <v>596.09997599999997</v>
      </c>
      <c r="C857" s="39">
        <f t="shared" si="2"/>
        <v>-4.7583870822262009E-3</v>
      </c>
      <c r="E857" s="121">
        <v>43920</v>
      </c>
      <c r="F857" s="9">
        <v>8281.0996090000008</v>
      </c>
      <c r="G857" s="39">
        <f t="shared" si="1"/>
        <v>-3.6829448518507668E-2</v>
      </c>
    </row>
    <row r="858" spans="1:7" ht="14.25" customHeight="1" x14ac:dyDescent="0.25">
      <c r="A858" s="121">
        <v>43921</v>
      </c>
      <c r="B858" s="9">
        <v>598.95001200000002</v>
      </c>
      <c r="C858" s="39">
        <f t="shared" si="2"/>
        <v>2.4985088730456351E-2</v>
      </c>
      <c r="E858" s="121">
        <v>43921</v>
      </c>
      <c r="F858" s="9">
        <v>8597.75</v>
      </c>
      <c r="G858" s="39">
        <f t="shared" si="1"/>
        <v>4.1671739456491386E-2</v>
      </c>
    </row>
    <row r="859" spans="1:7" ht="14.25" customHeight="1" x14ac:dyDescent="0.25">
      <c r="A859" s="121">
        <v>43922</v>
      </c>
      <c r="B859" s="9">
        <v>584.34997599999997</v>
      </c>
      <c r="C859" s="39">
        <f t="shared" si="2"/>
        <v>-2.6975293187417426E-2</v>
      </c>
      <c r="E859" s="121">
        <v>43922</v>
      </c>
      <c r="F859" s="9">
        <v>8253.7998050000006</v>
      </c>
      <c r="G859" s="39">
        <f t="shared" si="1"/>
        <v>2.1029714255770271E-2</v>
      </c>
    </row>
    <row r="860" spans="1:7" ht="14.25" customHeight="1" x14ac:dyDescent="0.25">
      <c r="A860" s="121">
        <v>43924</v>
      </c>
      <c r="B860" s="9">
        <v>600.54998799999998</v>
      </c>
      <c r="C860" s="39">
        <f t="shared" si="2"/>
        <v>-3.3864203366700263E-2</v>
      </c>
      <c r="E860" s="121">
        <v>43924</v>
      </c>
      <c r="F860" s="9">
        <v>8083.7998049999997</v>
      </c>
      <c r="G860" s="39">
        <f t="shared" si="1"/>
        <v>-8.0571458143418706E-2</v>
      </c>
    </row>
    <row r="861" spans="1:7" ht="14.25" customHeight="1" x14ac:dyDescent="0.25">
      <c r="A861" s="121">
        <v>43928</v>
      </c>
      <c r="B861" s="9">
        <v>621.59997599999997</v>
      </c>
      <c r="C861" s="39">
        <f t="shared" si="2"/>
        <v>5.6625143761532826E-3</v>
      </c>
      <c r="E861" s="121">
        <v>43928</v>
      </c>
      <c r="F861" s="9">
        <v>8792.2001949999994</v>
      </c>
      <c r="G861" s="39">
        <f t="shared" si="1"/>
        <v>4.9664460637233176E-3</v>
      </c>
    </row>
    <row r="862" spans="1:7" ht="14.25" customHeight="1" x14ac:dyDescent="0.25">
      <c r="A862" s="121">
        <v>43929</v>
      </c>
      <c r="B862" s="9">
        <v>618.09997599999997</v>
      </c>
      <c r="C862" s="39">
        <f t="shared" si="2"/>
        <v>-5.6306308480295053E-3</v>
      </c>
      <c r="E862" s="121">
        <v>43929</v>
      </c>
      <c r="F862" s="9">
        <v>8748.75</v>
      </c>
      <c r="G862" s="39">
        <f t="shared" si="1"/>
        <v>-3.9854517215606289E-2</v>
      </c>
    </row>
    <row r="863" spans="1:7" ht="14.25" customHeight="1" x14ac:dyDescent="0.25">
      <c r="A863" s="121">
        <v>43930</v>
      </c>
      <c r="B863" s="9">
        <v>621.59997599999997</v>
      </c>
      <c r="C863" s="39">
        <f t="shared" si="2"/>
        <v>3.5517467141719106E-3</v>
      </c>
      <c r="E863" s="121">
        <v>43930</v>
      </c>
      <c r="F863" s="9">
        <v>9111.9003909999992</v>
      </c>
      <c r="G863" s="39">
        <f t="shared" si="1"/>
        <v>1.3125723370098097E-2</v>
      </c>
    </row>
    <row r="864" spans="1:7" ht="14.25" customHeight="1" x14ac:dyDescent="0.25">
      <c r="A864" s="121">
        <v>43934</v>
      </c>
      <c r="B864" s="9">
        <v>619.40002400000003</v>
      </c>
      <c r="C864" s="39">
        <f t="shared" si="2"/>
        <v>8.794827361563673E-3</v>
      </c>
      <c r="E864" s="121">
        <v>43934</v>
      </c>
      <c r="F864" s="9">
        <v>8993.8496090000008</v>
      </c>
      <c r="G864" s="39">
        <f t="shared" si="1"/>
        <v>7.6803923114827644E-3</v>
      </c>
    </row>
    <row r="865" spans="1:7" ht="14.25" customHeight="1" x14ac:dyDescent="0.25">
      <c r="A865" s="121">
        <v>43936</v>
      </c>
      <c r="B865" s="9">
        <v>614</v>
      </c>
      <c r="C865" s="39">
        <f t="shared" si="2"/>
        <v>1.6135705419942026E-2</v>
      </c>
      <c r="E865" s="121">
        <v>43936</v>
      </c>
      <c r="F865" s="9">
        <v>8925.2998050000006</v>
      </c>
      <c r="G865" s="39">
        <f t="shared" si="1"/>
        <v>-7.5060049666033635E-3</v>
      </c>
    </row>
    <row r="866" spans="1:7" ht="14.25" customHeight="1" x14ac:dyDescent="0.25">
      <c r="A866" s="121">
        <v>43937</v>
      </c>
      <c r="B866" s="9">
        <v>604.25</v>
      </c>
      <c r="C866" s="39">
        <f t="shared" si="2"/>
        <v>-7.9625286342155377E-3</v>
      </c>
      <c r="E866" s="121">
        <v>43937</v>
      </c>
      <c r="F866" s="9">
        <v>8992.7998050000006</v>
      </c>
      <c r="G866" s="39">
        <f t="shared" si="1"/>
        <v>-2.956270483179102E-2</v>
      </c>
    </row>
    <row r="867" spans="1:7" ht="14.25" customHeight="1" x14ac:dyDescent="0.25">
      <c r="A867" s="121">
        <v>43938</v>
      </c>
      <c r="B867" s="9">
        <v>609.09997599999997</v>
      </c>
      <c r="C867" s="39">
        <f t="shared" si="2"/>
        <v>2.4687295247687313E-3</v>
      </c>
      <c r="E867" s="121">
        <v>43938</v>
      </c>
      <c r="F867" s="9">
        <v>9266.75</v>
      </c>
      <c r="G867" s="39">
        <f t="shared" si="1"/>
        <v>5.2909420978264343E-4</v>
      </c>
    </row>
    <row r="868" spans="1:7" ht="14.25" customHeight="1" x14ac:dyDescent="0.25">
      <c r="A868" s="121">
        <v>43941</v>
      </c>
      <c r="B868" s="9">
        <v>607.59997599999997</v>
      </c>
      <c r="C868" s="39">
        <f t="shared" si="2"/>
        <v>1.3934044221943997E-2</v>
      </c>
      <c r="E868" s="121">
        <v>43941</v>
      </c>
      <c r="F868" s="9">
        <v>9261.8496090000008</v>
      </c>
      <c r="G868" s="39">
        <f t="shared" si="1"/>
        <v>3.1219837321605493E-2</v>
      </c>
    </row>
    <row r="869" spans="1:7" ht="14.25" customHeight="1" x14ac:dyDescent="0.25">
      <c r="A869" s="121">
        <v>43942</v>
      </c>
      <c r="B869" s="9">
        <v>599.25</v>
      </c>
      <c r="C869" s="39">
        <f t="shared" si="2"/>
        <v>-2.6401299756295682E-2</v>
      </c>
      <c r="E869" s="121">
        <v>43942</v>
      </c>
      <c r="F869" s="9">
        <v>8981.4501949999994</v>
      </c>
      <c r="G869" s="39">
        <f t="shared" si="1"/>
        <v>-2.2405887950665559E-2</v>
      </c>
    </row>
    <row r="870" spans="1:7" ht="14.25" customHeight="1" x14ac:dyDescent="0.25">
      <c r="A870" s="121">
        <v>43943</v>
      </c>
      <c r="B870" s="9">
        <v>615.5</v>
      </c>
      <c r="C870" s="39">
        <f t="shared" si="2"/>
        <v>-2.4368390181372934E-4</v>
      </c>
      <c r="E870" s="121">
        <v>43943</v>
      </c>
      <c r="F870" s="9">
        <v>9187.2998050000006</v>
      </c>
      <c r="G870" s="39">
        <f t="shared" si="1"/>
        <v>-1.35926497691915E-2</v>
      </c>
    </row>
    <row r="871" spans="1:7" ht="14.25" customHeight="1" x14ac:dyDescent="0.25">
      <c r="A871" s="121">
        <v>43944</v>
      </c>
      <c r="B871" s="9">
        <v>615.65002400000003</v>
      </c>
      <c r="C871" s="39">
        <f t="shared" si="2"/>
        <v>1.9119431317441427E-2</v>
      </c>
      <c r="E871" s="121">
        <v>43944</v>
      </c>
      <c r="F871" s="9">
        <v>9313.9003909999992</v>
      </c>
      <c r="G871" s="39">
        <f t="shared" si="1"/>
        <v>1.7423314819920988E-2</v>
      </c>
    </row>
    <row r="872" spans="1:7" ht="14.25" customHeight="1" x14ac:dyDescent="0.25">
      <c r="A872" s="121">
        <v>43945</v>
      </c>
      <c r="B872" s="9">
        <v>604.09997599999997</v>
      </c>
      <c r="C872" s="39">
        <f t="shared" si="2"/>
        <v>2.2396947324760941E-3</v>
      </c>
      <c r="E872" s="121">
        <v>43945</v>
      </c>
      <c r="F872" s="9">
        <v>9154.4003909999992</v>
      </c>
      <c r="G872" s="39">
        <f t="shared" si="1"/>
        <v>-1.3778849712557939E-2</v>
      </c>
    </row>
    <row r="873" spans="1:7" ht="14.25" customHeight="1" x14ac:dyDescent="0.25">
      <c r="A873" s="121">
        <v>43948</v>
      </c>
      <c r="B873" s="9">
        <v>602.75</v>
      </c>
      <c r="C873" s="39">
        <f t="shared" si="2"/>
        <v>-1.0750021547678013E-2</v>
      </c>
      <c r="E873" s="121">
        <v>43948</v>
      </c>
      <c r="F873" s="9">
        <v>9282.2998050000006</v>
      </c>
      <c r="G873" s="39">
        <f t="shared" si="1"/>
        <v>-1.0510780617028592E-2</v>
      </c>
    </row>
    <row r="874" spans="1:7" ht="14.25" customHeight="1" x14ac:dyDescent="0.25">
      <c r="A874" s="121">
        <v>43949</v>
      </c>
      <c r="B874" s="9">
        <v>609.29998799999998</v>
      </c>
      <c r="C874" s="39">
        <f t="shared" si="2"/>
        <v>-9.0265726870581986E-3</v>
      </c>
      <c r="E874" s="121">
        <v>43949</v>
      </c>
      <c r="F874" s="9">
        <v>9380.9003909999992</v>
      </c>
      <c r="G874" s="39">
        <f t="shared" si="1"/>
        <v>-1.8051178388524658E-2</v>
      </c>
    </row>
    <row r="875" spans="1:7" ht="14.25" customHeight="1" x14ac:dyDescent="0.25">
      <c r="A875" s="121">
        <v>43950</v>
      </c>
      <c r="B875" s="9">
        <v>614.84997599999997</v>
      </c>
      <c r="C875" s="39">
        <f t="shared" si="2"/>
        <v>-3.29506328962057E-2</v>
      </c>
      <c r="E875" s="121">
        <v>43950</v>
      </c>
      <c r="F875" s="9">
        <v>9553.3496090000008</v>
      </c>
      <c r="G875" s="39">
        <f t="shared" si="1"/>
        <v>-3.1090657090188656E-2</v>
      </c>
    </row>
    <row r="876" spans="1:7" ht="14.25" customHeight="1" x14ac:dyDescent="0.25">
      <c r="A876" s="121">
        <v>43951</v>
      </c>
      <c r="B876" s="9">
        <v>635.79998799999998</v>
      </c>
      <c r="C876" s="39">
        <f t="shared" si="2"/>
        <v>4.6067786365273866E-2</v>
      </c>
      <c r="E876" s="121">
        <v>43951</v>
      </c>
      <c r="F876" s="9">
        <v>9859.9003909999992</v>
      </c>
      <c r="G876" s="39">
        <f t="shared" si="1"/>
        <v>6.0945864421369622E-2</v>
      </c>
    </row>
    <row r="877" spans="1:7" ht="14.25" customHeight="1" x14ac:dyDescent="0.25">
      <c r="A877" s="121">
        <v>43955</v>
      </c>
      <c r="B877" s="9">
        <v>607.79998799999998</v>
      </c>
      <c r="C877" s="39">
        <f t="shared" si="2"/>
        <v>2.3086476658846777E-3</v>
      </c>
      <c r="E877" s="121">
        <v>43955</v>
      </c>
      <c r="F877" s="9">
        <v>9293.5</v>
      </c>
      <c r="G877" s="39">
        <f t="shared" si="1"/>
        <v>9.5485785536513212E-3</v>
      </c>
    </row>
    <row r="878" spans="1:7" ht="14.25" customHeight="1" x14ac:dyDescent="0.25">
      <c r="A878" s="121">
        <v>43956</v>
      </c>
      <c r="B878" s="9">
        <v>606.40002400000003</v>
      </c>
      <c r="C878" s="39">
        <f t="shared" si="2"/>
        <v>1.8173401979317827E-3</v>
      </c>
      <c r="E878" s="121">
        <v>43956</v>
      </c>
      <c r="F878" s="9">
        <v>9205.5996090000008</v>
      </c>
      <c r="G878" s="39">
        <f t="shared" si="1"/>
        <v>-7.0436289082979053E-3</v>
      </c>
    </row>
    <row r="879" spans="1:7" ht="14.25" customHeight="1" x14ac:dyDescent="0.25">
      <c r="A879" s="121">
        <v>43957</v>
      </c>
      <c r="B879" s="9">
        <v>605.29998799999998</v>
      </c>
      <c r="C879" s="39">
        <f t="shared" si="2"/>
        <v>8.581127708161107E-3</v>
      </c>
      <c r="E879" s="121">
        <v>43957</v>
      </c>
      <c r="F879" s="9">
        <v>9270.9003909999992</v>
      </c>
      <c r="G879" s="39">
        <f t="shared" si="1"/>
        <v>7.8106530047206135E-3</v>
      </c>
    </row>
    <row r="880" spans="1:7" ht="14.25" customHeight="1" x14ac:dyDescent="0.25">
      <c r="A880" s="121">
        <v>43958</v>
      </c>
      <c r="B880" s="9">
        <v>600.15002400000003</v>
      </c>
      <c r="C880" s="39">
        <f t="shared" si="2"/>
        <v>-5.056346053255667E-3</v>
      </c>
      <c r="E880" s="121">
        <v>43958</v>
      </c>
      <c r="F880" s="9">
        <v>9199.0498050000006</v>
      </c>
      <c r="G880" s="39">
        <f t="shared" si="1"/>
        <v>-5.6693719937306319E-3</v>
      </c>
    </row>
    <row r="881" spans="1:7" ht="14.25" customHeight="1" x14ac:dyDescent="0.25">
      <c r="A881" s="121">
        <v>43959</v>
      </c>
      <c r="B881" s="9">
        <v>603.20001200000002</v>
      </c>
      <c r="C881" s="39">
        <f t="shared" si="2"/>
        <v>-1.4861956848511326E-2</v>
      </c>
      <c r="E881" s="121">
        <v>43959</v>
      </c>
      <c r="F881" s="9">
        <v>9251.5</v>
      </c>
      <c r="G881" s="39">
        <f t="shared" si="1"/>
        <v>1.3312629600403802E-3</v>
      </c>
    </row>
    <row r="882" spans="1:7" ht="14.25" customHeight="1" x14ac:dyDescent="0.25">
      <c r="A882" s="121">
        <v>43962</v>
      </c>
      <c r="B882" s="9">
        <v>612.29998799999998</v>
      </c>
      <c r="C882" s="39">
        <f t="shared" si="2"/>
        <v>-8.159269089280663E-4</v>
      </c>
      <c r="E882" s="121">
        <v>43962</v>
      </c>
      <c r="F882" s="9">
        <v>9239.2001949999994</v>
      </c>
      <c r="G882" s="39">
        <f t="shared" si="1"/>
        <v>4.637651174009827E-3</v>
      </c>
    </row>
    <row r="883" spans="1:7" ht="14.25" customHeight="1" x14ac:dyDescent="0.25">
      <c r="A883" s="121">
        <v>43963</v>
      </c>
      <c r="B883" s="9">
        <v>612.79998799999998</v>
      </c>
      <c r="C883" s="39">
        <f t="shared" si="2"/>
        <v>1.8801012913880477E-3</v>
      </c>
      <c r="E883" s="121">
        <v>43963</v>
      </c>
      <c r="F883" s="9">
        <v>9196.5498050000006</v>
      </c>
      <c r="G883" s="39">
        <f t="shared" si="1"/>
        <v>-1.9928492296205191E-2</v>
      </c>
    </row>
    <row r="884" spans="1:7" ht="14.25" customHeight="1" x14ac:dyDescent="0.25">
      <c r="A884" s="121">
        <v>43964</v>
      </c>
      <c r="B884" s="9">
        <v>611.65002400000003</v>
      </c>
      <c r="C884" s="39">
        <f t="shared" si="2"/>
        <v>6.2516215349823767E-3</v>
      </c>
      <c r="E884" s="121">
        <v>43964</v>
      </c>
      <c r="F884" s="9">
        <v>9383.5498050000006</v>
      </c>
      <c r="G884" s="39">
        <f t="shared" si="1"/>
        <v>2.6337787317820105E-2</v>
      </c>
    </row>
    <row r="885" spans="1:7" ht="14.25" customHeight="1" x14ac:dyDescent="0.25">
      <c r="A885" s="121">
        <v>43965</v>
      </c>
      <c r="B885" s="9">
        <v>607.84997599999997</v>
      </c>
      <c r="C885" s="39">
        <f t="shared" si="2"/>
        <v>1.7407253813897183E-2</v>
      </c>
      <c r="E885" s="121">
        <v>43965</v>
      </c>
      <c r="F885" s="9">
        <v>9142.75</v>
      </c>
      <c r="G885" s="39">
        <f t="shared" si="1"/>
        <v>6.4577959061362655E-4</v>
      </c>
    </row>
    <row r="886" spans="1:7" ht="14.25" customHeight="1" x14ac:dyDescent="0.25">
      <c r="A886" s="121">
        <v>43966</v>
      </c>
      <c r="B886" s="9">
        <v>597.45001200000002</v>
      </c>
      <c r="C886" s="39">
        <f t="shared" si="2"/>
        <v>1.7195941793994418E-2</v>
      </c>
      <c r="E886" s="121">
        <v>43966</v>
      </c>
      <c r="F886" s="9">
        <v>9136.8496090000008</v>
      </c>
      <c r="G886" s="39">
        <f t="shared" si="1"/>
        <v>3.5542414529793565E-2</v>
      </c>
    </row>
    <row r="887" spans="1:7" ht="14.25" customHeight="1" x14ac:dyDescent="0.25">
      <c r="A887" s="121">
        <v>43969</v>
      </c>
      <c r="B887" s="9">
        <v>587.34997599999997</v>
      </c>
      <c r="C887" s="39">
        <f t="shared" si="2"/>
        <v>-2.8049002708237736E-2</v>
      </c>
      <c r="E887" s="121">
        <v>43969</v>
      </c>
      <c r="F887" s="9">
        <v>8823.25</v>
      </c>
      <c r="G887" s="39">
        <f t="shared" si="1"/>
        <v>-6.2900081606687142E-3</v>
      </c>
    </row>
    <row r="888" spans="1:7" ht="14.25" customHeight="1" x14ac:dyDescent="0.25">
      <c r="A888" s="121">
        <v>43970</v>
      </c>
      <c r="B888" s="9">
        <v>604.29998799999998</v>
      </c>
      <c r="C888" s="39">
        <f t="shared" si="2"/>
        <v>-1.4995944580277087E-2</v>
      </c>
      <c r="E888" s="121">
        <v>43970</v>
      </c>
      <c r="F888" s="9">
        <v>8879.0996090000008</v>
      </c>
      <c r="G888" s="39">
        <f t="shared" si="1"/>
        <v>-2.067492045283037E-2</v>
      </c>
    </row>
    <row r="889" spans="1:7" ht="14.25" customHeight="1" x14ac:dyDescent="0.25">
      <c r="A889" s="121">
        <v>43971</v>
      </c>
      <c r="B889" s="9">
        <v>613.5</v>
      </c>
      <c r="C889" s="39">
        <f t="shared" si="2"/>
        <v>-6.4358717748505989E-2</v>
      </c>
      <c r="E889" s="121">
        <v>43971</v>
      </c>
      <c r="F889" s="9">
        <v>9066.5498050000006</v>
      </c>
      <c r="G889" s="39">
        <f t="shared" si="1"/>
        <v>-4.3596645161290137E-3</v>
      </c>
    </row>
    <row r="890" spans="1:7" ht="14.25" customHeight="1" x14ac:dyDescent="0.25">
      <c r="A890" s="121">
        <v>43972</v>
      </c>
      <c r="B890" s="9">
        <v>655.70001200000002</v>
      </c>
      <c r="C890" s="39">
        <f t="shared" si="2"/>
        <v>-3.2681676346217881E-3</v>
      </c>
      <c r="E890" s="121">
        <v>43972</v>
      </c>
      <c r="F890" s="9">
        <v>9106.25</v>
      </c>
      <c r="G890" s="39">
        <f t="shared" si="1"/>
        <v>7.4121193683103215E-3</v>
      </c>
    </row>
    <row r="891" spans="1:7" ht="14.25" customHeight="1" x14ac:dyDescent="0.25">
      <c r="A891" s="121">
        <v>43973</v>
      </c>
      <c r="B891" s="9">
        <v>657.84997599999997</v>
      </c>
      <c r="C891" s="39">
        <f t="shared" si="2"/>
        <v>-5.2922055296180659E-3</v>
      </c>
      <c r="E891" s="121">
        <v>43973</v>
      </c>
      <c r="F891" s="9">
        <v>9039.25</v>
      </c>
      <c r="G891" s="39">
        <f t="shared" si="1"/>
        <v>1.1297085762391745E-3</v>
      </c>
    </row>
    <row r="892" spans="1:7" ht="14.25" customHeight="1" x14ac:dyDescent="0.25">
      <c r="A892" s="121">
        <v>43977</v>
      </c>
      <c r="B892" s="9">
        <v>661.34997599999997</v>
      </c>
      <c r="C892" s="39">
        <f t="shared" si="2"/>
        <v>2.2653415382958064E-2</v>
      </c>
      <c r="E892" s="121">
        <v>43977</v>
      </c>
      <c r="F892" s="9">
        <v>9029.0498050000006</v>
      </c>
      <c r="G892" s="39">
        <f t="shared" si="1"/>
        <v>-3.0692637535889578E-2</v>
      </c>
    </row>
    <row r="893" spans="1:7" ht="14.25" customHeight="1" x14ac:dyDescent="0.25">
      <c r="A893" s="121">
        <v>43978</v>
      </c>
      <c r="B893" s="9">
        <v>646.70001200000002</v>
      </c>
      <c r="C893" s="39">
        <f t="shared" si="2"/>
        <v>7.4777813063300336E-3</v>
      </c>
      <c r="E893" s="121">
        <v>43978</v>
      </c>
      <c r="F893" s="9">
        <v>9314.9501949999994</v>
      </c>
      <c r="G893" s="39">
        <f t="shared" si="1"/>
        <v>-1.8456014290292311E-2</v>
      </c>
    </row>
    <row r="894" spans="1:7" ht="14.25" customHeight="1" x14ac:dyDescent="0.25">
      <c r="A894" s="121">
        <v>43979</v>
      </c>
      <c r="B894" s="9">
        <v>641.90002400000003</v>
      </c>
      <c r="C894" s="39">
        <f t="shared" si="2"/>
        <v>-5.1215674546726819E-2</v>
      </c>
      <c r="E894" s="121">
        <v>43979</v>
      </c>
      <c r="F894" s="9">
        <v>9490.0996090000008</v>
      </c>
      <c r="G894" s="39">
        <f t="shared" si="1"/>
        <v>-9.4151746642546774E-3</v>
      </c>
    </row>
    <row r="895" spans="1:7" ht="14.25" customHeight="1" x14ac:dyDescent="0.25">
      <c r="A895" s="121">
        <v>43980</v>
      </c>
      <c r="B895" s="9">
        <v>676.54998799999998</v>
      </c>
      <c r="C895" s="39">
        <f t="shared" si="2"/>
        <v>-4.7582162514213988E-2</v>
      </c>
      <c r="E895" s="121">
        <v>43980</v>
      </c>
      <c r="F895" s="9">
        <v>9580.2998050000006</v>
      </c>
      <c r="G895" s="39">
        <f t="shared" si="1"/>
        <v>-2.5020030858186271E-2</v>
      </c>
    </row>
    <row r="896" spans="1:7" ht="14.25" customHeight="1" x14ac:dyDescent="0.25">
      <c r="A896" s="121">
        <v>43983</v>
      </c>
      <c r="B896" s="9">
        <v>710.34997599999997</v>
      </c>
      <c r="C896" s="39">
        <f t="shared" si="2"/>
        <v>-3.7335746176910378E-2</v>
      </c>
      <c r="E896" s="121">
        <v>43983</v>
      </c>
      <c r="F896" s="9">
        <v>9826.1503909999992</v>
      </c>
      <c r="G896" s="39">
        <f t="shared" si="1"/>
        <v>-1.5326955736774006E-2</v>
      </c>
    </row>
    <row r="897" spans="1:7" ht="14.25" customHeight="1" x14ac:dyDescent="0.25">
      <c r="A897" s="121">
        <v>43984</v>
      </c>
      <c r="B897" s="9">
        <v>737.90002400000003</v>
      </c>
      <c r="C897" s="39">
        <f t="shared" si="2"/>
        <v>-3.6432442461725389E-2</v>
      </c>
      <c r="E897" s="121">
        <v>43984</v>
      </c>
      <c r="F897" s="9">
        <v>9979.0996090000008</v>
      </c>
      <c r="G897" s="39">
        <f t="shared" si="1"/>
        <v>-8.1945821069262514E-3</v>
      </c>
    </row>
    <row r="898" spans="1:7" ht="14.25" customHeight="1" x14ac:dyDescent="0.25">
      <c r="A898" s="121">
        <v>43985</v>
      </c>
      <c r="B898" s="9">
        <v>765.79998799999998</v>
      </c>
      <c r="C898" s="39">
        <f t="shared" si="2"/>
        <v>-1.4287598992274053E-2</v>
      </c>
      <c r="E898" s="121">
        <v>43985</v>
      </c>
      <c r="F898" s="9">
        <v>10061.549805000001</v>
      </c>
      <c r="G898" s="39">
        <f t="shared" si="1"/>
        <v>3.2356041185270801E-3</v>
      </c>
    </row>
    <row r="899" spans="1:7" ht="14.25" customHeight="1" x14ac:dyDescent="0.25">
      <c r="A899" s="121">
        <v>43986</v>
      </c>
      <c r="B899" s="9">
        <v>776.90002400000003</v>
      </c>
      <c r="C899" s="39">
        <f t="shared" si="2"/>
        <v>2.8393688078993673E-2</v>
      </c>
      <c r="E899" s="121">
        <v>43986</v>
      </c>
      <c r="F899" s="9">
        <v>10029.099609000001</v>
      </c>
      <c r="G899" s="39">
        <f t="shared" si="1"/>
        <v>-1.1146628440879547E-2</v>
      </c>
    </row>
    <row r="900" spans="1:7" ht="14.25" customHeight="1" x14ac:dyDescent="0.25">
      <c r="A900" s="121">
        <v>43987</v>
      </c>
      <c r="B900" s="9">
        <v>755.45001200000002</v>
      </c>
      <c r="C900" s="39">
        <f t="shared" si="2"/>
        <v>4.8580747334348029E-2</v>
      </c>
      <c r="E900" s="121">
        <v>43987</v>
      </c>
      <c r="F900" s="9">
        <v>10142.150390999999</v>
      </c>
      <c r="G900" s="39">
        <f t="shared" si="1"/>
        <v>-2.488313541230025E-3</v>
      </c>
    </row>
    <row r="901" spans="1:7" ht="14.25" customHeight="1" x14ac:dyDescent="0.25">
      <c r="A901" s="121">
        <v>43990</v>
      </c>
      <c r="B901" s="9">
        <v>720.45001200000002</v>
      </c>
      <c r="C901" s="39">
        <f t="shared" si="2"/>
        <v>9.1673609970326142E-2</v>
      </c>
      <c r="E901" s="121">
        <v>43990</v>
      </c>
      <c r="F901" s="9">
        <v>10167.450194999999</v>
      </c>
      <c r="G901" s="39">
        <f t="shared" si="1"/>
        <v>1.2023888490059864E-2</v>
      </c>
    </row>
    <row r="902" spans="1:7" ht="14.25" customHeight="1" x14ac:dyDescent="0.25">
      <c r="A902" s="121">
        <v>43991</v>
      </c>
      <c r="B902" s="9">
        <v>659.95001200000002</v>
      </c>
      <c r="C902" s="39">
        <f t="shared" si="2"/>
        <v>-2.1644023808062074E-2</v>
      </c>
      <c r="E902" s="121">
        <v>43991</v>
      </c>
      <c r="F902" s="9">
        <v>10046.650390999999</v>
      </c>
      <c r="G902" s="39">
        <f t="shared" si="1"/>
        <v>-6.8702023312970928E-3</v>
      </c>
    </row>
    <row r="903" spans="1:7" ht="14.25" customHeight="1" x14ac:dyDescent="0.25">
      <c r="A903" s="121">
        <v>43992</v>
      </c>
      <c r="B903" s="9">
        <v>674.54998799999998</v>
      </c>
      <c r="C903" s="39">
        <f t="shared" si="2"/>
        <v>1.8496150116191767E-2</v>
      </c>
      <c r="E903" s="121">
        <v>43992</v>
      </c>
      <c r="F903" s="9">
        <v>10116.150390999999</v>
      </c>
      <c r="G903" s="39">
        <f t="shared" si="1"/>
        <v>2.1626983538678868E-2</v>
      </c>
    </row>
    <row r="904" spans="1:7" ht="14.25" customHeight="1" x14ac:dyDescent="0.25">
      <c r="A904" s="121">
        <v>43993</v>
      </c>
      <c r="B904" s="9">
        <v>662.29998799999998</v>
      </c>
      <c r="C904" s="39">
        <f t="shared" si="2"/>
        <v>1.0219664803648554E-2</v>
      </c>
      <c r="E904" s="121">
        <v>43993</v>
      </c>
      <c r="F904" s="9">
        <v>9902</v>
      </c>
      <c r="G904" s="39">
        <f t="shared" si="1"/>
        <v>-7.109305038680902E-3</v>
      </c>
    </row>
    <row r="905" spans="1:7" ht="14.25" customHeight="1" x14ac:dyDescent="0.25">
      <c r="A905" s="121">
        <v>43994</v>
      </c>
      <c r="B905" s="9">
        <v>655.59997599999997</v>
      </c>
      <c r="C905" s="39">
        <f t="shared" si="2"/>
        <v>7.5302964647863124E-3</v>
      </c>
      <c r="E905" s="121">
        <v>43994</v>
      </c>
      <c r="F905" s="9">
        <v>9972.9003909999992</v>
      </c>
      <c r="G905" s="39">
        <f t="shared" si="1"/>
        <v>1.6222239607555089E-2</v>
      </c>
    </row>
    <row r="906" spans="1:7" ht="14.25" customHeight="1" x14ac:dyDescent="0.25">
      <c r="A906" s="121">
        <v>43997</v>
      </c>
      <c r="B906" s="9">
        <v>650.70001200000002</v>
      </c>
      <c r="C906" s="39">
        <f t="shared" si="2"/>
        <v>1.8230223329571471E-2</v>
      </c>
      <c r="E906" s="121">
        <v>43997</v>
      </c>
      <c r="F906" s="9">
        <v>9813.7001949999994</v>
      </c>
      <c r="G906" s="39">
        <f t="shared" si="1"/>
        <v>-1.0116986584627896E-2</v>
      </c>
    </row>
    <row r="907" spans="1:7" ht="14.25" customHeight="1" x14ac:dyDescent="0.25">
      <c r="A907" s="121">
        <v>43998</v>
      </c>
      <c r="B907" s="9">
        <v>639.04998799999998</v>
      </c>
      <c r="C907" s="39">
        <f t="shared" si="2"/>
        <v>-4.6920780677406349E-4</v>
      </c>
      <c r="E907" s="121">
        <v>43998</v>
      </c>
      <c r="F907" s="9">
        <v>9914</v>
      </c>
      <c r="G907" s="39">
        <f t="shared" si="1"/>
        <v>3.3244721211733719E-3</v>
      </c>
    </row>
    <row r="908" spans="1:7" ht="14.25" customHeight="1" x14ac:dyDescent="0.25">
      <c r="A908" s="121">
        <v>43999</v>
      </c>
      <c r="B908" s="9">
        <v>639.34997599999997</v>
      </c>
      <c r="C908" s="39">
        <f t="shared" si="2"/>
        <v>5.82073760764934E-3</v>
      </c>
      <c r="E908" s="121">
        <v>43999</v>
      </c>
      <c r="F908" s="9">
        <v>9881.1503909999992</v>
      </c>
      <c r="G908" s="39">
        <f t="shared" si="1"/>
        <v>-2.085882802556549E-2</v>
      </c>
    </row>
    <row r="909" spans="1:7" ht="14.25" customHeight="1" x14ac:dyDescent="0.25">
      <c r="A909" s="121">
        <v>44000</v>
      </c>
      <c r="B909" s="9">
        <v>635.65002400000003</v>
      </c>
      <c r="C909" s="39">
        <f t="shared" si="2"/>
        <v>1.0236598425197307E-3</v>
      </c>
      <c r="E909" s="121">
        <v>44000</v>
      </c>
      <c r="F909" s="9">
        <v>10091.650390999999</v>
      </c>
      <c r="G909" s="39">
        <f t="shared" si="1"/>
        <v>-1.4910584726285703E-2</v>
      </c>
    </row>
    <row r="910" spans="1:7" ht="14.25" customHeight="1" x14ac:dyDescent="0.25">
      <c r="A910" s="121">
        <v>44001</v>
      </c>
      <c r="B910" s="9">
        <v>635</v>
      </c>
      <c r="C910" s="39">
        <f t="shared" si="2"/>
        <v>-8.2773513967331347E-3</v>
      </c>
      <c r="E910" s="121">
        <v>44001</v>
      </c>
      <c r="F910" s="9">
        <v>10244.400390999999</v>
      </c>
      <c r="G910" s="39">
        <f t="shared" si="1"/>
        <v>-6.4783732966791074E-3</v>
      </c>
    </row>
    <row r="911" spans="1:7" ht="14.25" customHeight="1" x14ac:dyDescent="0.25">
      <c r="A911" s="121">
        <v>44004</v>
      </c>
      <c r="B911" s="9">
        <v>640.29998799999998</v>
      </c>
      <c r="C911" s="39">
        <f t="shared" si="2"/>
        <v>-1.560461805326252E-2</v>
      </c>
      <c r="E911" s="121">
        <v>44004</v>
      </c>
      <c r="F911" s="9">
        <v>10311.200194999999</v>
      </c>
      <c r="G911" s="39">
        <f t="shared" si="1"/>
        <v>-1.5261178970489953E-2</v>
      </c>
    </row>
    <row r="912" spans="1:7" ht="14.25" customHeight="1" x14ac:dyDescent="0.25">
      <c r="A912" s="121">
        <v>44005</v>
      </c>
      <c r="B912" s="9">
        <v>650.45001200000002</v>
      </c>
      <c r="C912" s="39">
        <f t="shared" si="2"/>
        <v>1.5614021098652175E-2</v>
      </c>
      <c r="E912" s="121">
        <v>44005</v>
      </c>
      <c r="F912" s="9">
        <v>10471</v>
      </c>
      <c r="G912" s="39">
        <f t="shared" si="1"/>
        <v>1.6079124153147273E-2</v>
      </c>
    </row>
    <row r="913" spans="1:7" ht="14.25" customHeight="1" x14ac:dyDescent="0.25">
      <c r="A913" s="121">
        <v>44006</v>
      </c>
      <c r="B913" s="9">
        <v>640.45001200000002</v>
      </c>
      <c r="C913" s="39">
        <f t="shared" si="2"/>
        <v>7.8131102527434493E-4</v>
      </c>
      <c r="E913" s="121">
        <v>44006</v>
      </c>
      <c r="F913" s="9">
        <v>10305.299805000001</v>
      </c>
      <c r="G913" s="39">
        <f t="shared" si="1"/>
        <v>1.5938937473187753E-3</v>
      </c>
    </row>
    <row r="914" spans="1:7" ht="14.25" customHeight="1" x14ac:dyDescent="0.25">
      <c r="A914" s="121">
        <v>44007</v>
      </c>
      <c r="B914" s="9">
        <v>639.95001200000002</v>
      </c>
      <c r="C914" s="39">
        <f t="shared" si="2"/>
        <v>5.6573208702377364E-3</v>
      </c>
      <c r="E914" s="121">
        <v>44007</v>
      </c>
      <c r="F914" s="9">
        <v>10288.900390999999</v>
      </c>
      <c r="G914" s="39">
        <f t="shared" si="1"/>
        <v>-9.062853606857435E-3</v>
      </c>
    </row>
    <row r="915" spans="1:7" ht="14.25" customHeight="1" x14ac:dyDescent="0.25">
      <c r="A915" s="121">
        <v>44008</v>
      </c>
      <c r="B915" s="9">
        <v>636.34997599999997</v>
      </c>
      <c r="C915" s="39">
        <f t="shared" si="2"/>
        <v>7.281323308270693E-3</v>
      </c>
      <c r="E915" s="121">
        <v>44008</v>
      </c>
      <c r="F915" s="9">
        <v>10383</v>
      </c>
      <c r="G915" s="39">
        <f t="shared" si="1"/>
        <v>6.8460888176544721E-3</v>
      </c>
    </row>
    <row r="916" spans="1:7" ht="14.25" customHeight="1" x14ac:dyDescent="0.25">
      <c r="A916" s="121">
        <v>44011</v>
      </c>
      <c r="B916" s="9">
        <v>631.75</v>
      </c>
      <c r="C916" s="39">
        <f t="shared" si="2"/>
        <v>-2.5262115112165695E-3</v>
      </c>
      <c r="E916" s="121">
        <v>44011</v>
      </c>
      <c r="F916" s="9">
        <v>10312.400390999999</v>
      </c>
      <c r="G916" s="39">
        <f t="shared" si="1"/>
        <v>9.998721028672275E-4</v>
      </c>
    </row>
    <row r="917" spans="1:7" ht="14.25" customHeight="1" x14ac:dyDescent="0.25">
      <c r="A917" s="121">
        <v>44012</v>
      </c>
      <c r="B917" s="9">
        <v>633.34997599999997</v>
      </c>
      <c r="C917" s="39">
        <f t="shared" si="2"/>
        <v>7.9573489153756949E-3</v>
      </c>
      <c r="E917" s="121">
        <v>44012</v>
      </c>
      <c r="F917" s="9">
        <v>10302.099609000001</v>
      </c>
      <c r="G917" s="39">
        <f t="shared" si="1"/>
        <v>-1.226745781584504E-2</v>
      </c>
    </row>
    <row r="918" spans="1:7" ht="14.25" customHeight="1" x14ac:dyDescent="0.25">
      <c r="A918" s="121">
        <v>44013</v>
      </c>
      <c r="B918" s="9">
        <v>628.34997599999997</v>
      </c>
      <c r="C918" s="39">
        <f t="shared" si="2"/>
        <v>-4.041920911386887E-3</v>
      </c>
      <c r="E918" s="121">
        <v>44013</v>
      </c>
      <c r="F918" s="9">
        <v>10430.049805000001</v>
      </c>
      <c r="G918" s="39">
        <f t="shared" si="1"/>
        <v>-1.1528984689845867E-2</v>
      </c>
    </row>
    <row r="919" spans="1:7" ht="14.25" customHeight="1" x14ac:dyDescent="0.25">
      <c r="A919" s="121">
        <v>44014</v>
      </c>
      <c r="B919" s="9">
        <v>630.90002400000003</v>
      </c>
      <c r="C919" s="39">
        <f t="shared" si="2"/>
        <v>-3.8555299508284624E-2</v>
      </c>
      <c r="E919" s="121">
        <v>44014</v>
      </c>
      <c r="F919" s="9">
        <v>10551.700194999999</v>
      </c>
      <c r="G919" s="39">
        <f t="shared" si="1"/>
        <v>-5.2463071409265538E-3</v>
      </c>
    </row>
    <row r="920" spans="1:7" ht="14.25" customHeight="1" x14ac:dyDescent="0.25">
      <c r="A920" s="121">
        <v>44015</v>
      </c>
      <c r="B920" s="9">
        <v>656.20001200000002</v>
      </c>
      <c r="C920" s="39">
        <f t="shared" si="2"/>
        <v>2.0615958608511953E-3</v>
      </c>
      <c r="E920" s="121">
        <v>44015</v>
      </c>
      <c r="F920" s="9">
        <v>10607.349609000001</v>
      </c>
      <c r="G920" s="39">
        <f t="shared" si="1"/>
        <v>-1.4521168592644851E-2</v>
      </c>
    </row>
    <row r="921" spans="1:7" ht="14.25" customHeight="1" x14ac:dyDescent="0.25">
      <c r="A921" s="121">
        <v>44018</v>
      </c>
      <c r="B921" s="9">
        <v>654.84997599999997</v>
      </c>
      <c r="C921" s="39">
        <f t="shared" si="2"/>
        <v>7.0741653210302236E-3</v>
      </c>
      <c r="E921" s="121">
        <v>44018</v>
      </c>
      <c r="F921" s="9">
        <v>10763.650390999999</v>
      </c>
      <c r="G921" s="39">
        <f t="shared" si="1"/>
        <v>-3.3334412408387859E-3</v>
      </c>
    </row>
    <row r="922" spans="1:7" ht="14.25" customHeight="1" x14ac:dyDescent="0.25">
      <c r="A922" s="121">
        <v>44019</v>
      </c>
      <c r="B922" s="9">
        <v>650.25</v>
      </c>
      <c r="C922" s="39">
        <f t="shared" si="2"/>
        <v>7.2806321545466623E-3</v>
      </c>
      <c r="E922" s="121">
        <v>44019</v>
      </c>
      <c r="F922" s="9">
        <v>10799.650390999999</v>
      </c>
      <c r="G922" s="39">
        <f t="shared" si="1"/>
        <v>8.771024075846956E-3</v>
      </c>
    </row>
    <row r="923" spans="1:7" ht="14.25" customHeight="1" x14ac:dyDescent="0.25">
      <c r="A923" s="121">
        <v>44020</v>
      </c>
      <c r="B923" s="9">
        <v>645.54998799999998</v>
      </c>
      <c r="C923" s="39">
        <f t="shared" si="2"/>
        <v>3.9657667185069023E-3</v>
      </c>
      <c r="E923" s="121">
        <v>44020</v>
      </c>
      <c r="F923" s="9">
        <v>10705.75</v>
      </c>
      <c r="G923" s="39">
        <f t="shared" si="1"/>
        <v>-9.9598364127850836E-3</v>
      </c>
    </row>
    <row r="924" spans="1:7" ht="14.25" customHeight="1" x14ac:dyDescent="0.25">
      <c r="A924" s="121">
        <v>44021</v>
      </c>
      <c r="B924" s="9">
        <v>643</v>
      </c>
      <c r="C924" s="39">
        <f t="shared" si="2"/>
        <v>1.1722149540816407E-2</v>
      </c>
      <c r="E924" s="121">
        <v>44021</v>
      </c>
      <c r="F924" s="9">
        <v>10813.450194999999</v>
      </c>
      <c r="G924" s="39">
        <f t="shared" si="1"/>
        <v>4.2162128539671162E-3</v>
      </c>
    </row>
    <row r="925" spans="1:7" ht="14.25" customHeight="1" x14ac:dyDescent="0.25">
      <c r="A925" s="121">
        <v>44022</v>
      </c>
      <c r="B925" s="9">
        <v>635.54998799999998</v>
      </c>
      <c r="C925" s="39">
        <f t="shared" si="2"/>
        <v>1.5498941235079666E-2</v>
      </c>
      <c r="E925" s="121">
        <v>44022</v>
      </c>
      <c r="F925" s="9">
        <v>10768.049805000001</v>
      </c>
      <c r="G925" s="39">
        <f t="shared" si="1"/>
        <v>-3.2075674946562271E-3</v>
      </c>
    </row>
    <row r="926" spans="1:7" ht="14.25" customHeight="1" x14ac:dyDescent="0.25">
      <c r="A926" s="121">
        <v>44025</v>
      </c>
      <c r="B926" s="9">
        <v>625.84997599999997</v>
      </c>
      <c r="C926" s="39">
        <f t="shared" si="2"/>
        <v>8.8659631059613275E-3</v>
      </c>
      <c r="E926" s="121">
        <v>44025</v>
      </c>
      <c r="F926" s="9">
        <v>10802.700194999999</v>
      </c>
      <c r="G926" s="39">
        <f t="shared" si="1"/>
        <v>1.8416531292062777E-2</v>
      </c>
    </row>
    <row r="927" spans="1:7" ht="14.25" customHeight="1" x14ac:dyDescent="0.25">
      <c r="A927" s="121">
        <v>44026</v>
      </c>
      <c r="B927" s="9">
        <v>620.34997599999997</v>
      </c>
      <c r="C927" s="39">
        <f t="shared" si="2"/>
        <v>-2.0109395885820058E-3</v>
      </c>
      <c r="E927" s="121">
        <v>44026</v>
      </c>
      <c r="F927" s="9">
        <v>10607.349609000001</v>
      </c>
      <c r="G927" s="39">
        <f t="shared" si="1"/>
        <v>-1.0218856115661312E-3</v>
      </c>
    </row>
    <row r="928" spans="1:7" ht="14.25" customHeight="1" x14ac:dyDescent="0.25">
      <c r="A928" s="121">
        <v>44027</v>
      </c>
      <c r="B928" s="9">
        <v>621.59997599999997</v>
      </c>
      <c r="C928" s="39">
        <f t="shared" si="2"/>
        <v>-1.2051097114528231E-3</v>
      </c>
      <c r="E928" s="121">
        <v>44027</v>
      </c>
      <c r="F928" s="9">
        <v>10618.200194999999</v>
      </c>
      <c r="G928" s="39">
        <f t="shared" si="1"/>
        <v>-1.1336179199106566E-2</v>
      </c>
    </row>
    <row r="929" spans="1:7" ht="14.25" customHeight="1" x14ac:dyDescent="0.25">
      <c r="A929" s="121">
        <v>44028</v>
      </c>
      <c r="B929" s="9">
        <v>622.34997599999997</v>
      </c>
      <c r="C929" s="39">
        <f t="shared" si="2"/>
        <v>-7.3371655027578697E-3</v>
      </c>
      <c r="E929" s="121">
        <v>44028</v>
      </c>
      <c r="F929" s="9">
        <v>10739.950194999999</v>
      </c>
      <c r="G929" s="39">
        <f t="shared" si="1"/>
        <v>-1.4837135227235954E-2</v>
      </c>
    </row>
    <row r="930" spans="1:7" ht="14.25" customHeight="1" x14ac:dyDescent="0.25">
      <c r="A930" s="121">
        <v>44029</v>
      </c>
      <c r="B930" s="9">
        <v>626.95001200000002</v>
      </c>
      <c r="C930" s="39">
        <f t="shared" si="2"/>
        <v>7.4723189613816743E-3</v>
      </c>
      <c r="E930" s="121">
        <v>44029</v>
      </c>
      <c r="F930" s="9">
        <v>10901.700194999999</v>
      </c>
      <c r="G930" s="39">
        <f t="shared" si="1"/>
        <v>-1.0932481525300353E-2</v>
      </c>
    </row>
    <row r="931" spans="1:7" ht="14.25" customHeight="1" x14ac:dyDescent="0.25">
      <c r="A931" s="121">
        <v>44032</v>
      </c>
      <c r="B931" s="9">
        <v>622.29998799999998</v>
      </c>
      <c r="C931" s="39">
        <f t="shared" si="2"/>
        <v>-1.1236147672551988E-3</v>
      </c>
      <c r="E931" s="121">
        <v>44032</v>
      </c>
      <c r="F931" s="9">
        <v>11022.200194999999</v>
      </c>
      <c r="G931" s="39">
        <f t="shared" si="1"/>
        <v>-1.2546736097113098E-2</v>
      </c>
    </row>
    <row r="932" spans="1:7" ht="14.25" customHeight="1" x14ac:dyDescent="0.25">
      <c r="A932" s="121">
        <v>44033</v>
      </c>
      <c r="B932" s="9">
        <v>623</v>
      </c>
      <c r="C932" s="39">
        <f t="shared" si="2"/>
        <v>-5.5072422921431663E-3</v>
      </c>
      <c r="E932" s="121">
        <v>44033</v>
      </c>
      <c r="F932" s="9">
        <v>11162.25</v>
      </c>
      <c r="G932" s="39">
        <f t="shared" si="1"/>
        <v>2.6633842984911116E-3</v>
      </c>
    </row>
    <row r="933" spans="1:7" ht="14.25" customHeight="1" x14ac:dyDescent="0.25">
      <c r="A933" s="121">
        <v>44034</v>
      </c>
      <c r="B933" s="9">
        <v>626.45001200000002</v>
      </c>
      <c r="C933" s="39">
        <f t="shared" si="2"/>
        <v>2.9619533638920448E-3</v>
      </c>
      <c r="E933" s="121">
        <v>44034</v>
      </c>
      <c r="F933" s="9">
        <v>11132.599609000001</v>
      </c>
      <c r="G933" s="39">
        <f t="shared" si="1"/>
        <v>-7.3871832658963799E-3</v>
      </c>
    </row>
    <row r="934" spans="1:7" ht="14.25" customHeight="1" x14ac:dyDescent="0.25">
      <c r="A934" s="121">
        <v>44035</v>
      </c>
      <c r="B934" s="9">
        <v>624.59997599999997</v>
      </c>
      <c r="C934" s="39">
        <f t="shared" si="2"/>
        <v>8.2324067796608613E-3</v>
      </c>
      <c r="E934" s="121">
        <v>44035</v>
      </c>
      <c r="F934" s="9">
        <v>11215.450194999999</v>
      </c>
      <c r="G934" s="39">
        <f t="shared" si="1"/>
        <v>1.902762001225744E-3</v>
      </c>
    </row>
    <row r="935" spans="1:7" ht="14.25" customHeight="1" x14ac:dyDescent="0.25">
      <c r="A935" s="121">
        <v>44036</v>
      </c>
      <c r="B935" s="9">
        <v>619.5</v>
      </c>
      <c r="C935" s="39">
        <f t="shared" si="2"/>
        <v>1.5740245322567681E-2</v>
      </c>
      <c r="E935" s="121">
        <v>44036</v>
      </c>
      <c r="F935" s="9">
        <v>11194.150390999999</v>
      </c>
      <c r="G935" s="39">
        <f t="shared" si="1"/>
        <v>5.6011235462565256E-3</v>
      </c>
    </row>
    <row r="936" spans="1:7" ht="14.25" customHeight="1" x14ac:dyDescent="0.25">
      <c r="A936" s="121">
        <v>44039</v>
      </c>
      <c r="B936" s="9">
        <v>609.90002400000003</v>
      </c>
      <c r="C936" s="39">
        <f t="shared" si="2"/>
        <v>1.7432666262086949E-2</v>
      </c>
      <c r="E936" s="121">
        <v>44039</v>
      </c>
      <c r="F936" s="9">
        <v>11131.799805000001</v>
      </c>
      <c r="G936" s="39">
        <f t="shared" si="1"/>
        <v>-1.493290175362405E-2</v>
      </c>
    </row>
    <row r="937" spans="1:7" ht="14.25" customHeight="1" x14ac:dyDescent="0.25">
      <c r="A937" s="121">
        <v>44040</v>
      </c>
      <c r="B937" s="9">
        <v>599.45001200000002</v>
      </c>
      <c r="C937" s="39">
        <f t="shared" si="2"/>
        <v>-3.1594979227204112E-3</v>
      </c>
      <c r="E937" s="121">
        <v>44040</v>
      </c>
      <c r="F937" s="9">
        <v>11300.549805000001</v>
      </c>
      <c r="G937" s="39">
        <f t="shared" si="1"/>
        <v>8.7210129038517437E-3</v>
      </c>
    </row>
    <row r="938" spans="1:7" ht="14.25" customHeight="1" x14ac:dyDescent="0.25">
      <c r="A938" s="121">
        <v>44041</v>
      </c>
      <c r="B938" s="9">
        <v>601.34997599999997</v>
      </c>
      <c r="C938" s="39">
        <f t="shared" si="2"/>
        <v>1.7771008591866311E-2</v>
      </c>
      <c r="E938" s="121">
        <v>44041</v>
      </c>
      <c r="F938" s="9">
        <v>11202.849609000001</v>
      </c>
      <c r="G938" s="39">
        <f t="shared" si="1"/>
        <v>9.0702444529695558E-3</v>
      </c>
    </row>
    <row r="939" spans="1:7" ht="14.25" customHeight="1" x14ac:dyDescent="0.25">
      <c r="A939" s="121">
        <v>44042</v>
      </c>
      <c r="B939" s="9">
        <v>590.84997599999997</v>
      </c>
      <c r="C939" s="39">
        <f t="shared" si="2"/>
        <v>-7.308528078457166E-3</v>
      </c>
      <c r="E939" s="121">
        <v>44042</v>
      </c>
      <c r="F939" s="9">
        <v>11102.150390999999</v>
      </c>
      <c r="G939" s="39">
        <f t="shared" si="1"/>
        <v>2.5918025091185015E-3</v>
      </c>
    </row>
    <row r="940" spans="1:7" ht="14.25" customHeight="1" x14ac:dyDescent="0.25">
      <c r="A940" s="121">
        <v>44043</v>
      </c>
      <c r="B940" s="9">
        <v>595.20001200000002</v>
      </c>
      <c r="C940" s="39">
        <f t="shared" si="2"/>
        <v>1.0933042016982863E-3</v>
      </c>
      <c r="E940" s="121">
        <v>44043</v>
      </c>
      <c r="F940" s="9">
        <v>11073.450194999999</v>
      </c>
      <c r="G940" s="39">
        <f t="shared" si="1"/>
        <v>1.6696407555207182E-2</v>
      </c>
    </row>
    <row r="941" spans="1:7" ht="14.25" customHeight="1" x14ac:dyDescent="0.25">
      <c r="A941" s="121">
        <v>44046</v>
      </c>
      <c r="B941" s="9">
        <v>594.54998799999998</v>
      </c>
      <c r="C941" s="39">
        <f t="shared" si="2"/>
        <v>-3.1283115274949091E-2</v>
      </c>
      <c r="E941" s="121">
        <v>44046</v>
      </c>
      <c r="F941" s="9">
        <v>10891.599609000001</v>
      </c>
      <c r="G941" s="39">
        <f t="shared" si="1"/>
        <v>-1.8354736576462805E-2</v>
      </c>
    </row>
    <row r="942" spans="1:7" ht="14.25" customHeight="1" x14ac:dyDescent="0.25">
      <c r="A942" s="121">
        <v>44047</v>
      </c>
      <c r="B942" s="9">
        <v>613.75</v>
      </c>
      <c r="C942" s="39">
        <f t="shared" si="2"/>
        <v>-2.7106248158119906E-2</v>
      </c>
      <c r="E942" s="121">
        <v>44047</v>
      </c>
      <c r="F942" s="9">
        <v>11095.25</v>
      </c>
      <c r="G942" s="39">
        <f t="shared" si="1"/>
        <v>-5.7652608167046981E-4</v>
      </c>
    </row>
    <row r="943" spans="1:7" ht="14.25" customHeight="1" x14ac:dyDescent="0.25">
      <c r="A943" s="121">
        <v>44048</v>
      </c>
      <c r="B943" s="9">
        <v>630.84997599999997</v>
      </c>
      <c r="C943" s="39">
        <f t="shared" si="2"/>
        <v>7.9245404170702471E-5</v>
      </c>
      <c r="E943" s="121">
        <v>44048</v>
      </c>
      <c r="F943" s="9">
        <v>11101.650390999999</v>
      </c>
      <c r="G943" s="39">
        <f t="shared" si="1"/>
        <v>-8.7945247663059334E-3</v>
      </c>
    </row>
    <row r="944" spans="1:7" ht="14.25" customHeight="1" x14ac:dyDescent="0.25">
      <c r="A944" s="121">
        <v>44049</v>
      </c>
      <c r="B944" s="9">
        <v>630.79998799999998</v>
      </c>
      <c r="C944" s="39">
        <f t="shared" si="2"/>
        <v>-1.0043979722963448E-2</v>
      </c>
      <c r="E944" s="121">
        <v>44049</v>
      </c>
      <c r="F944" s="9">
        <v>11200.150390999999</v>
      </c>
      <c r="G944" s="39">
        <f t="shared" si="1"/>
        <v>-1.2394642650689347E-3</v>
      </c>
    </row>
    <row r="945" spans="1:7" ht="14.25" customHeight="1" x14ac:dyDescent="0.25">
      <c r="A945" s="121">
        <v>44050</v>
      </c>
      <c r="B945" s="9">
        <v>637.20001200000002</v>
      </c>
      <c r="C945" s="39">
        <f t="shared" si="2"/>
        <v>-4.2194278773772798E-3</v>
      </c>
      <c r="E945" s="121">
        <v>44050</v>
      </c>
      <c r="F945" s="9">
        <v>11214.049805000001</v>
      </c>
      <c r="G945" s="39">
        <f t="shared" si="1"/>
        <v>-4.9778027846726358E-3</v>
      </c>
    </row>
    <row r="946" spans="1:7" ht="14.25" customHeight="1" x14ac:dyDescent="0.25">
      <c r="A946" s="121">
        <v>44053</v>
      </c>
      <c r="B946" s="9">
        <v>639.90002400000003</v>
      </c>
      <c r="C946" s="39">
        <f t="shared" si="2"/>
        <v>1.3462147096782395E-2</v>
      </c>
      <c r="E946" s="121">
        <v>44053</v>
      </c>
      <c r="F946" s="9">
        <v>11270.150390999999</v>
      </c>
      <c r="G946" s="39">
        <f t="shared" si="1"/>
        <v>-4.6235026716715533E-3</v>
      </c>
    </row>
    <row r="947" spans="1:7" ht="14.25" customHeight="1" x14ac:dyDescent="0.25">
      <c r="A947" s="121">
        <v>44054</v>
      </c>
      <c r="B947" s="9">
        <v>631.40002400000003</v>
      </c>
      <c r="C947" s="39">
        <f t="shared" si="2"/>
        <v>3.4965225016556634E-3</v>
      </c>
      <c r="E947" s="121">
        <v>44054</v>
      </c>
      <c r="F947" s="9">
        <v>11322.5</v>
      </c>
      <c r="G947" s="39">
        <f t="shared" si="1"/>
        <v>1.2468261215106136E-3</v>
      </c>
    </row>
    <row r="948" spans="1:7" ht="14.25" customHeight="1" x14ac:dyDescent="0.25">
      <c r="A948" s="121">
        <v>44055</v>
      </c>
      <c r="B948" s="9">
        <v>629.20001200000002</v>
      </c>
      <c r="C948" s="39">
        <f t="shared" si="2"/>
        <v>-3.9717212683121339E-4</v>
      </c>
      <c r="E948" s="121">
        <v>44055</v>
      </c>
      <c r="F948" s="9">
        <v>11308.400390999999</v>
      </c>
      <c r="G948" s="39">
        <f t="shared" si="1"/>
        <v>7.035291393537868E-4</v>
      </c>
    </row>
    <row r="949" spans="1:7" ht="14.25" customHeight="1" x14ac:dyDescent="0.25">
      <c r="A949" s="121">
        <v>44056</v>
      </c>
      <c r="B949" s="9">
        <v>629.45001200000002</v>
      </c>
      <c r="C949" s="39">
        <f t="shared" si="2"/>
        <v>-9.5226729851149994E-4</v>
      </c>
      <c r="E949" s="121">
        <v>44056</v>
      </c>
      <c r="F949" s="9">
        <v>11300.450194999999</v>
      </c>
      <c r="G949" s="39">
        <f t="shared" si="1"/>
        <v>1.0918360385289594E-2</v>
      </c>
    </row>
    <row r="950" spans="1:7" ht="14.25" customHeight="1" x14ac:dyDescent="0.25">
      <c r="A950" s="121">
        <v>44057</v>
      </c>
      <c r="B950" s="9">
        <v>630.04998799999998</v>
      </c>
      <c r="C950" s="39">
        <f t="shared" si="2"/>
        <v>-1.6084935404135914E-2</v>
      </c>
      <c r="E950" s="121">
        <v>44057</v>
      </c>
      <c r="F950" s="9">
        <v>11178.400390999999</v>
      </c>
      <c r="G950" s="39">
        <f t="shared" si="1"/>
        <v>-6.1081719188321726E-3</v>
      </c>
    </row>
    <row r="951" spans="1:7" ht="14.25" customHeight="1" x14ac:dyDescent="0.25">
      <c r="A951" s="121">
        <v>44060</v>
      </c>
      <c r="B951" s="9">
        <v>640.34997599999997</v>
      </c>
      <c r="C951" s="39">
        <f t="shared" si="2"/>
        <v>-9.2828966083229325E-3</v>
      </c>
      <c r="E951" s="121">
        <v>44060</v>
      </c>
      <c r="F951" s="9">
        <v>11247.099609000001</v>
      </c>
      <c r="G951" s="39">
        <f t="shared" si="1"/>
        <v>-1.2142797959468488E-2</v>
      </c>
    </row>
    <row r="952" spans="1:7" ht="14.25" customHeight="1" x14ac:dyDescent="0.25">
      <c r="A952" s="121">
        <v>44061</v>
      </c>
      <c r="B952" s="9">
        <v>646.34997599999997</v>
      </c>
      <c r="C952" s="39">
        <f t="shared" si="2"/>
        <v>-1.6990284649188725E-3</v>
      </c>
      <c r="E952" s="121">
        <v>44061</v>
      </c>
      <c r="F952" s="9">
        <v>11385.349609000001</v>
      </c>
      <c r="G952" s="39">
        <f t="shared" si="1"/>
        <v>-2.0205095552381369E-3</v>
      </c>
    </row>
    <row r="953" spans="1:7" ht="14.25" customHeight="1" x14ac:dyDescent="0.25">
      <c r="A953" s="121">
        <v>44062</v>
      </c>
      <c r="B953" s="9">
        <v>647.45001200000002</v>
      </c>
      <c r="C953" s="39">
        <f t="shared" si="2"/>
        <v>1.0141196471340486E-2</v>
      </c>
      <c r="E953" s="121">
        <v>44062</v>
      </c>
      <c r="F953" s="9">
        <v>11408.400390999999</v>
      </c>
      <c r="G953" s="39">
        <f t="shared" si="1"/>
        <v>8.504110106053453E-3</v>
      </c>
    </row>
    <row r="954" spans="1:7" ht="14.25" customHeight="1" x14ac:dyDescent="0.25">
      <c r="A954" s="121">
        <v>44063</v>
      </c>
      <c r="B954" s="9">
        <v>640.95001200000002</v>
      </c>
      <c r="C954" s="39">
        <f t="shared" si="2"/>
        <v>-4.678175438596055E-4</v>
      </c>
      <c r="E954" s="121">
        <v>44063</v>
      </c>
      <c r="F954" s="9">
        <v>11312.200194999999</v>
      </c>
      <c r="G954" s="39">
        <f t="shared" si="1"/>
        <v>-5.2234879913455323E-3</v>
      </c>
    </row>
    <row r="955" spans="1:7" ht="14.25" customHeight="1" x14ac:dyDescent="0.25">
      <c r="A955" s="121">
        <v>44064</v>
      </c>
      <c r="B955" s="9">
        <v>641.25</v>
      </c>
      <c r="C955" s="39">
        <f t="shared" si="2"/>
        <v>5.0940438871474036E-3</v>
      </c>
      <c r="E955" s="121">
        <v>44064</v>
      </c>
      <c r="F955" s="9">
        <v>11371.599609000001</v>
      </c>
      <c r="G955" s="39">
        <f t="shared" si="1"/>
        <v>-8.2720095920669756E-3</v>
      </c>
    </row>
    <row r="956" spans="1:7" ht="14.25" customHeight="1" x14ac:dyDescent="0.25">
      <c r="A956" s="121">
        <v>44067</v>
      </c>
      <c r="B956" s="9">
        <v>638</v>
      </c>
      <c r="C956" s="39">
        <f t="shared" si="2"/>
        <v>-2.9692513341741389E-3</v>
      </c>
      <c r="E956" s="121">
        <v>44067</v>
      </c>
      <c r="F956" s="9">
        <v>11466.450194999999</v>
      </c>
      <c r="G956" s="39">
        <f t="shared" si="1"/>
        <v>-5.0555078559133548E-4</v>
      </c>
    </row>
    <row r="957" spans="1:7" ht="14.25" customHeight="1" x14ac:dyDescent="0.25">
      <c r="A957" s="121">
        <v>44068</v>
      </c>
      <c r="B957" s="9">
        <v>639.90002400000003</v>
      </c>
      <c r="C957" s="39">
        <f t="shared" si="2"/>
        <v>9.3858284258252489E-4</v>
      </c>
      <c r="E957" s="121">
        <v>44068</v>
      </c>
      <c r="F957" s="9">
        <v>11472.25</v>
      </c>
      <c r="G957" s="39">
        <f t="shared" si="1"/>
        <v>-6.6971680074282558E-3</v>
      </c>
    </row>
    <row r="958" spans="1:7" ht="14.25" customHeight="1" x14ac:dyDescent="0.25">
      <c r="A958" s="121">
        <v>44069</v>
      </c>
      <c r="B958" s="9">
        <v>639.29998799999998</v>
      </c>
      <c r="C958" s="39">
        <f t="shared" si="2"/>
        <v>-8.5955774107893124E-4</v>
      </c>
      <c r="E958" s="121">
        <v>44069</v>
      </c>
      <c r="F958" s="9">
        <v>11549.599609000001</v>
      </c>
      <c r="G958" s="39">
        <f t="shared" si="1"/>
        <v>-8.3486307502644852E-4</v>
      </c>
    </row>
    <row r="959" spans="1:7" ht="14.25" customHeight="1" x14ac:dyDescent="0.25">
      <c r="A959" s="121">
        <v>44070</v>
      </c>
      <c r="B959" s="9">
        <v>639.84997599999997</v>
      </c>
      <c r="C959" s="39">
        <f t="shared" si="2"/>
        <v>-3.067717124110303E-2</v>
      </c>
      <c r="E959" s="121">
        <v>44070</v>
      </c>
      <c r="F959" s="9">
        <v>11559.25</v>
      </c>
      <c r="G959" s="39">
        <f t="shared" si="1"/>
        <v>-7.585220299960671E-3</v>
      </c>
    </row>
    <row r="960" spans="1:7" ht="14.25" customHeight="1" x14ac:dyDescent="0.25">
      <c r="A960" s="121">
        <v>44071</v>
      </c>
      <c r="B960" s="9">
        <v>660.09997599999997</v>
      </c>
      <c r="C960" s="39">
        <f t="shared" si="2"/>
        <v>7.1711196641639496E-3</v>
      </c>
      <c r="E960" s="121">
        <v>44071</v>
      </c>
      <c r="F960" s="9">
        <v>11647.599609000001</v>
      </c>
      <c r="G960" s="39">
        <f t="shared" si="1"/>
        <v>2.2840799912184462E-2</v>
      </c>
    </row>
    <row r="961" spans="1:7" ht="14.25" customHeight="1" x14ac:dyDescent="0.25">
      <c r="A961" s="121">
        <v>44074</v>
      </c>
      <c r="B961" s="9">
        <v>655.40002400000003</v>
      </c>
      <c r="C961" s="39">
        <f t="shared" si="2"/>
        <v>1.9284640746500825E-2</v>
      </c>
      <c r="E961" s="121">
        <v>44074</v>
      </c>
      <c r="F961" s="9">
        <v>11387.5</v>
      </c>
      <c r="G961" s="39">
        <f t="shared" si="1"/>
        <v>-7.2143152939124766E-3</v>
      </c>
    </row>
    <row r="962" spans="1:7" ht="14.25" customHeight="1" x14ac:dyDescent="0.25">
      <c r="A962" s="121">
        <v>44075</v>
      </c>
      <c r="B962" s="9">
        <v>643</v>
      </c>
      <c r="C962" s="39">
        <f t="shared" si="2"/>
        <v>-1.3201460459477676E-3</v>
      </c>
      <c r="E962" s="121">
        <v>44075</v>
      </c>
      <c r="F962" s="9">
        <v>11470.25</v>
      </c>
      <c r="G962" s="39">
        <f t="shared" si="1"/>
        <v>-5.6133506718681891E-3</v>
      </c>
    </row>
    <row r="963" spans="1:7" ht="14.25" customHeight="1" x14ac:dyDescent="0.25">
      <c r="A963" s="121">
        <v>44076</v>
      </c>
      <c r="B963" s="9">
        <v>643.84997599999997</v>
      </c>
      <c r="C963" s="39">
        <f t="shared" si="2"/>
        <v>-9.3091979944288639E-3</v>
      </c>
      <c r="E963" s="121">
        <v>44076</v>
      </c>
      <c r="F963" s="9">
        <v>11535</v>
      </c>
      <c r="G963" s="39">
        <f t="shared" si="1"/>
        <v>6.5494145472655418E-4</v>
      </c>
    </row>
    <row r="964" spans="1:7" ht="14.25" customHeight="1" x14ac:dyDescent="0.25">
      <c r="A964" s="121">
        <v>44077</v>
      </c>
      <c r="B964" s="9">
        <v>649.90002400000003</v>
      </c>
      <c r="C964" s="39">
        <f t="shared" si="2"/>
        <v>-1.0279448341267372E-2</v>
      </c>
      <c r="E964" s="121">
        <v>44077</v>
      </c>
      <c r="F964" s="9">
        <v>11527.450194999999</v>
      </c>
      <c r="G964" s="39">
        <f t="shared" si="1"/>
        <v>1.7081626515166093E-2</v>
      </c>
    </row>
    <row r="965" spans="1:7" ht="14.25" customHeight="1" x14ac:dyDescent="0.25">
      <c r="A965" s="121">
        <v>44078</v>
      </c>
      <c r="B965" s="9">
        <v>656.65002400000003</v>
      </c>
      <c r="C965" s="39">
        <f t="shared" si="2"/>
        <v>1.2567500385505026E-2</v>
      </c>
      <c r="E965" s="121">
        <v>44078</v>
      </c>
      <c r="F965" s="9">
        <v>11333.849609000001</v>
      </c>
      <c r="G965" s="39">
        <f t="shared" si="1"/>
        <v>-1.8670280063998179E-3</v>
      </c>
    </row>
    <row r="966" spans="1:7" ht="14.25" customHeight="1" x14ac:dyDescent="0.25">
      <c r="A966" s="121">
        <v>44081</v>
      </c>
      <c r="B966" s="9">
        <v>648.5</v>
      </c>
      <c r="C966" s="39">
        <f t="shared" si="2"/>
        <v>5.5822233928153331E-3</v>
      </c>
      <c r="E966" s="121">
        <v>44081</v>
      </c>
      <c r="F966" s="9">
        <v>11355.049805000001</v>
      </c>
      <c r="G966" s="39">
        <f t="shared" si="1"/>
        <v>3.3311859492277662E-3</v>
      </c>
    </row>
    <row r="967" spans="1:7" ht="14.25" customHeight="1" x14ac:dyDescent="0.25">
      <c r="A967" s="121">
        <v>44082</v>
      </c>
      <c r="B967" s="9">
        <v>644.90002400000003</v>
      </c>
      <c r="C967" s="39">
        <f t="shared" si="2"/>
        <v>1.4631919998688181E-2</v>
      </c>
      <c r="E967" s="121">
        <v>44082</v>
      </c>
      <c r="F967" s="9">
        <v>11317.349609000001</v>
      </c>
      <c r="G967" s="39">
        <f t="shared" si="1"/>
        <v>3.4890591416918415E-3</v>
      </c>
    </row>
    <row r="968" spans="1:7" ht="14.25" customHeight="1" x14ac:dyDescent="0.25">
      <c r="A968" s="121">
        <v>44083</v>
      </c>
      <c r="B968" s="9">
        <v>635.59997599999997</v>
      </c>
      <c r="C968" s="39">
        <f t="shared" si="2"/>
        <v>-5.6320962647291584E-3</v>
      </c>
      <c r="E968" s="121">
        <v>44083</v>
      </c>
      <c r="F968" s="9">
        <v>11278</v>
      </c>
      <c r="G968" s="39">
        <f t="shared" si="1"/>
        <v>-1.4957311614297919E-2</v>
      </c>
    </row>
    <row r="969" spans="1:7" ht="14.25" customHeight="1" x14ac:dyDescent="0.25">
      <c r="A969" s="121">
        <v>44084</v>
      </c>
      <c r="B969" s="9">
        <v>639.20001200000002</v>
      </c>
      <c r="C969" s="39">
        <f t="shared" si="2"/>
        <v>-3.7405924092490661E-3</v>
      </c>
      <c r="E969" s="121">
        <v>44084</v>
      </c>
      <c r="F969" s="9">
        <v>11449.25</v>
      </c>
      <c r="G969" s="39">
        <f t="shared" si="1"/>
        <v>-1.3258546848263775E-3</v>
      </c>
    </row>
    <row r="970" spans="1:7" ht="14.25" customHeight="1" x14ac:dyDescent="0.25">
      <c r="A970" s="121">
        <v>44085</v>
      </c>
      <c r="B970" s="9">
        <v>641.59997599999997</v>
      </c>
      <c r="C970" s="39">
        <f t="shared" si="2"/>
        <v>-2.9129152907769851E-2</v>
      </c>
      <c r="E970" s="121">
        <v>44085</v>
      </c>
      <c r="F970" s="9">
        <v>11464.450194999999</v>
      </c>
      <c r="G970" s="39">
        <f t="shared" si="1"/>
        <v>2.1328919380521061E-3</v>
      </c>
    </row>
    <row r="971" spans="1:7" ht="14.25" customHeight="1" x14ac:dyDescent="0.25">
      <c r="A971" s="121">
        <v>44088</v>
      </c>
      <c r="B971" s="9">
        <v>660.84997599999997</v>
      </c>
      <c r="C971" s="39">
        <f t="shared" si="2"/>
        <v>-5.2683075584245564E-3</v>
      </c>
      <c r="E971" s="121">
        <v>44088</v>
      </c>
      <c r="F971" s="9">
        <v>11440.049805000001</v>
      </c>
      <c r="G971" s="39">
        <f t="shared" si="1"/>
        <v>-7.0952456546349296E-3</v>
      </c>
    </row>
    <row r="972" spans="1:7" ht="14.25" customHeight="1" x14ac:dyDescent="0.25">
      <c r="A972" s="121">
        <v>44089</v>
      </c>
      <c r="B972" s="9">
        <v>664.34997599999997</v>
      </c>
      <c r="C972" s="39">
        <f t="shared" si="2"/>
        <v>-1.6870179800221985E-2</v>
      </c>
      <c r="E972" s="121">
        <v>44089</v>
      </c>
      <c r="F972" s="9">
        <v>11521.799805000001</v>
      </c>
      <c r="G972" s="39">
        <f t="shared" si="1"/>
        <v>-7.1308238053617856E-3</v>
      </c>
    </row>
    <row r="973" spans="1:7" ht="14.25" customHeight="1" x14ac:dyDescent="0.25">
      <c r="A973" s="121">
        <v>44090</v>
      </c>
      <c r="B973" s="9">
        <v>675.75</v>
      </c>
      <c r="C973" s="39">
        <f t="shared" si="2"/>
        <v>5.5803571428572063E-3</v>
      </c>
      <c r="E973" s="121">
        <v>44090</v>
      </c>
      <c r="F973" s="9">
        <v>11604.549805000001</v>
      </c>
      <c r="G973" s="39">
        <f t="shared" si="1"/>
        <v>7.6805688560452889E-3</v>
      </c>
    </row>
    <row r="974" spans="1:7" ht="14.25" customHeight="1" x14ac:dyDescent="0.25">
      <c r="A974" s="121">
        <v>44091</v>
      </c>
      <c r="B974" s="9">
        <v>672</v>
      </c>
      <c r="C974" s="39">
        <f t="shared" si="2"/>
        <v>-2.6713980885377797E-3</v>
      </c>
      <c r="E974" s="121">
        <v>44091</v>
      </c>
      <c r="F974" s="9">
        <v>11516.099609000001</v>
      </c>
      <c r="G974" s="39">
        <f t="shared" si="1"/>
        <v>9.6909711133275067E-4</v>
      </c>
    </row>
    <row r="975" spans="1:7" ht="14.25" customHeight="1" x14ac:dyDescent="0.25">
      <c r="A975" s="121">
        <v>44092</v>
      </c>
      <c r="B975" s="9">
        <v>673.79998799999998</v>
      </c>
      <c r="C975" s="39">
        <f t="shared" si="2"/>
        <v>3.1695012648415677E-2</v>
      </c>
      <c r="E975" s="121">
        <v>44092</v>
      </c>
      <c r="F975" s="9">
        <v>11504.950194999999</v>
      </c>
      <c r="G975" s="39">
        <f t="shared" si="1"/>
        <v>2.2612262903537239E-2</v>
      </c>
    </row>
    <row r="976" spans="1:7" ht="14.25" customHeight="1" x14ac:dyDescent="0.25">
      <c r="A976" s="121">
        <v>44095</v>
      </c>
      <c r="B976" s="9">
        <v>653.09997599999997</v>
      </c>
      <c r="C976" s="39">
        <f t="shared" si="2"/>
        <v>2.4149229591044596E-2</v>
      </c>
      <c r="E976" s="121">
        <v>44095</v>
      </c>
      <c r="F976" s="9">
        <v>11250.549805000001</v>
      </c>
      <c r="G976" s="39">
        <f t="shared" si="1"/>
        <v>8.687686147863305E-3</v>
      </c>
    </row>
    <row r="977" spans="1:7" ht="14.25" customHeight="1" x14ac:dyDescent="0.25">
      <c r="A977" s="121">
        <v>44096</v>
      </c>
      <c r="B977" s="9">
        <v>637.70001200000002</v>
      </c>
      <c r="C977" s="39">
        <f t="shared" si="2"/>
        <v>-1.6881232706159599E-2</v>
      </c>
      <c r="E977" s="121">
        <v>44096</v>
      </c>
      <c r="F977" s="9">
        <v>11153.650390999999</v>
      </c>
      <c r="G977" s="39">
        <f t="shared" si="1"/>
        <v>1.9584150671936307E-3</v>
      </c>
    </row>
    <row r="978" spans="1:7" ht="14.25" customHeight="1" x14ac:dyDescent="0.25">
      <c r="A978" s="121">
        <v>44097</v>
      </c>
      <c r="B978" s="9">
        <v>648.65002400000003</v>
      </c>
      <c r="C978" s="39">
        <f t="shared" si="2"/>
        <v>2.5858036233269877E-2</v>
      </c>
      <c r="E978" s="121">
        <v>44097</v>
      </c>
      <c r="F978" s="9">
        <v>11131.849609000001</v>
      </c>
      <c r="G978" s="39">
        <f t="shared" si="1"/>
        <v>3.0197427237715679E-2</v>
      </c>
    </row>
    <row r="979" spans="1:7" ht="14.25" customHeight="1" x14ac:dyDescent="0.25">
      <c r="A979" s="121">
        <v>44098</v>
      </c>
      <c r="B979" s="9">
        <v>632.29998799999998</v>
      </c>
      <c r="C979" s="39">
        <f t="shared" si="2"/>
        <v>-1.3033693416360626E-2</v>
      </c>
      <c r="E979" s="121">
        <v>44098</v>
      </c>
      <c r="F979" s="9">
        <v>10805.549805000001</v>
      </c>
      <c r="G979" s="39">
        <f t="shared" si="1"/>
        <v>-2.2144313024592188E-2</v>
      </c>
    </row>
    <row r="980" spans="1:7" ht="14.25" customHeight="1" x14ac:dyDescent="0.25">
      <c r="A980" s="121">
        <v>44099</v>
      </c>
      <c r="B980" s="9">
        <v>640.65002400000003</v>
      </c>
      <c r="C980" s="39">
        <f t="shared" si="2"/>
        <v>-2.5330844825756982E-2</v>
      </c>
      <c r="E980" s="121">
        <v>44099</v>
      </c>
      <c r="F980" s="9">
        <v>11050.25</v>
      </c>
      <c r="G980" s="39">
        <f t="shared" si="1"/>
        <v>-1.5791495747455309E-2</v>
      </c>
    </row>
    <row r="981" spans="1:7" ht="14.25" customHeight="1" x14ac:dyDescent="0.25">
      <c r="A981" s="121">
        <v>44102</v>
      </c>
      <c r="B981" s="9">
        <v>657.29998799999998</v>
      </c>
      <c r="C981" s="39">
        <f t="shared" si="2"/>
        <v>-5.3225269858736546E-4</v>
      </c>
      <c r="E981" s="121">
        <v>44102</v>
      </c>
      <c r="F981" s="9">
        <v>11227.549805000001</v>
      </c>
      <c r="G981" s="39">
        <f t="shared" si="1"/>
        <v>4.5885138834744765E-4</v>
      </c>
    </row>
    <row r="982" spans="1:7" ht="14.25" customHeight="1" x14ac:dyDescent="0.25">
      <c r="A982" s="121">
        <v>44103</v>
      </c>
      <c r="B982" s="9">
        <v>657.65002400000003</v>
      </c>
      <c r="C982" s="39">
        <f t="shared" si="2"/>
        <v>-1.3500337022413378E-2</v>
      </c>
      <c r="E982" s="121">
        <v>44103</v>
      </c>
      <c r="F982" s="9">
        <v>11222.400390999999</v>
      </c>
      <c r="G982" s="39">
        <f t="shared" si="1"/>
        <v>-2.2359904544562159E-3</v>
      </c>
    </row>
    <row r="983" spans="1:7" ht="14.25" customHeight="1" x14ac:dyDescent="0.25">
      <c r="A983" s="121">
        <v>44104</v>
      </c>
      <c r="B983" s="9">
        <v>666.65002400000003</v>
      </c>
      <c r="C983" s="39">
        <f t="shared" si="2"/>
        <v>1.3145933130699117E-2</v>
      </c>
      <c r="E983" s="121">
        <v>44104</v>
      </c>
      <c r="F983" s="9">
        <v>11247.549805000001</v>
      </c>
      <c r="G983" s="39">
        <f t="shared" si="1"/>
        <v>-1.4837621878580731E-2</v>
      </c>
    </row>
    <row r="984" spans="1:7" ht="14.25" customHeight="1" x14ac:dyDescent="0.25">
      <c r="A984" s="121">
        <v>44105</v>
      </c>
      <c r="B984" s="9">
        <v>658</v>
      </c>
      <c r="C984" s="39">
        <f t="shared" si="2"/>
        <v>-2.4028495567573471E-2</v>
      </c>
      <c r="E984" s="121">
        <v>44105</v>
      </c>
      <c r="F984" s="9">
        <v>11416.950194999999</v>
      </c>
      <c r="G984" s="39">
        <f t="shared" si="1"/>
        <v>-7.510804846998953E-3</v>
      </c>
    </row>
    <row r="985" spans="1:7" ht="14.25" customHeight="1" x14ac:dyDescent="0.25">
      <c r="A985" s="121">
        <v>44109</v>
      </c>
      <c r="B985" s="9">
        <v>674.20001200000002</v>
      </c>
      <c r="C985" s="39">
        <f t="shared" si="2"/>
        <v>-5.0911412643881437E-3</v>
      </c>
      <c r="E985" s="121">
        <v>44109</v>
      </c>
      <c r="F985" s="9">
        <v>11503.349609000001</v>
      </c>
      <c r="G985" s="39">
        <f t="shared" si="1"/>
        <v>-1.3637911293350902E-2</v>
      </c>
    </row>
    <row r="986" spans="1:7" ht="14.25" customHeight="1" x14ac:dyDescent="0.25">
      <c r="A986" s="121">
        <v>44110</v>
      </c>
      <c r="B986" s="9">
        <v>677.65002400000003</v>
      </c>
      <c r="C986" s="39">
        <f t="shared" si="2"/>
        <v>9.1586358897990383E-3</v>
      </c>
      <c r="E986" s="121">
        <v>44110</v>
      </c>
      <c r="F986" s="9">
        <v>11662.400390999999</v>
      </c>
      <c r="G986" s="39">
        <f t="shared" si="1"/>
        <v>-6.5124965858144312E-3</v>
      </c>
    </row>
    <row r="987" spans="1:7" ht="14.25" customHeight="1" x14ac:dyDescent="0.25">
      <c r="A987" s="121">
        <v>44111</v>
      </c>
      <c r="B987" s="9">
        <v>671.5</v>
      </c>
      <c r="C987" s="39">
        <f t="shared" si="2"/>
        <v>3.2600357359994225E-2</v>
      </c>
      <c r="E987" s="121">
        <v>44111</v>
      </c>
      <c r="F987" s="9">
        <v>11738.849609000001</v>
      </c>
      <c r="G987" s="39">
        <f t="shared" si="1"/>
        <v>-8.0906835181127068E-3</v>
      </c>
    </row>
    <row r="988" spans="1:7" ht="14.25" customHeight="1" x14ac:dyDescent="0.25">
      <c r="A988" s="121">
        <v>44112</v>
      </c>
      <c r="B988" s="9">
        <v>650.29998799999998</v>
      </c>
      <c r="C988" s="39">
        <f t="shared" si="2"/>
        <v>1.9258917234583617E-3</v>
      </c>
      <c r="E988" s="121">
        <v>44112</v>
      </c>
      <c r="F988" s="9">
        <v>11834.599609000001</v>
      </c>
      <c r="G988" s="39">
        <f t="shared" si="1"/>
        <v>-6.6811522970214865E-3</v>
      </c>
    </row>
    <row r="989" spans="1:7" ht="14.25" customHeight="1" x14ac:dyDescent="0.25">
      <c r="A989" s="121">
        <v>44113</v>
      </c>
      <c r="B989" s="9">
        <v>649.04998799999998</v>
      </c>
      <c r="C989" s="39">
        <f t="shared" si="2"/>
        <v>-2.1114546796432543E-2</v>
      </c>
      <c r="E989" s="121">
        <v>44113</v>
      </c>
      <c r="F989" s="9">
        <v>11914.200194999999</v>
      </c>
      <c r="G989" s="39">
        <f t="shared" si="1"/>
        <v>-1.4039116521514794E-3</v>
      </c>
    </row>
    <row r="990" spans="1:7" ht="14.25" customHeight="1" x14ac:dyDescent="0.25">
      <c r="A990" s="121">
        <v>44116</v>
      </c>
      <c r="B990" s="9">
        <v>663.04998799999998</v>
      </c>
      <c r="C990" s="39">
        <f t="shared" si="2"/>
        <v>-2.3322119409766584E-3</v>
      </c>
      <c r="E990" s="121">
        <v>44116</v>
      </c>
      <c r="F990" s="9">
        <v>11930.950194999999</v>
      </c>
      <c r="G990" s="39">
        <f t="shared" si="1"/>
        <v>-2.9744061334791017E-4</v>
      </c>
    </row>
    <row r="991" spans="1:7" ht="14.25" customHeight="1" x14ac:dyDescent="0.25">
      <c r="A991" s="121">
        <v>44117</v>
      </c>
      <c r="B991" s="9">
        <v>664.59997599999997</v>
      </c>
      <c r="C991" s="39">
        <f t="shared" si="2"/>
        <v>-9.6118204535308172E-3</v>
      </c>
      <c r="E991" s="121">
        <v>44117</v>
      </c>
      <c r="F991" s="9">
        <v>11934.5</v>
      </c>
      <c r="G991" s="39">
        <f t="shared" si="1"/>
        <v>-3.0531829367825836E-3</v>
      </c>
    </row>
    <row r="992" spans="1:7" ht="14.25" customHeight="1" x14ac:dyDescent="0.25">
      <c r="A992" s="121">
        <v>44118</v>
      </c>
      <c r="B992" s="9">
        <v>671.04998799999998</v>
      </c>
      <c r="C992" s="39">
        <f t="shared" si="2"/>
        <v>1.3823785569163194E-2</v>
      </c>
      <c r="E992" s="121">
        <v>44118</v>
      </c>
      <c r="F992" s="9">
        <v>11971.049805000001</v>
      </c>
      <c r="G992" s="39">
        <f t="shared" si="1"/>
        <v>2.4887970457323272E-2</v>
      </c>
    </row>
    <row r="993" spans="1:7" ht="14.25" customHeight="1" x14ac:dyDescent="0.25">
      <c r="A993" s="121">
        <v>44119</v>
      </c>
      <c r="B993" s="9">
        <v>661.90002400000003</v>
      </c>
      <c r="C993" s="39">
        <f t="shared" si="2"/>
        <v>-1.5085231012150757E-3</v>
      </c>
      <c r="E993" s="121">
        <v>44119</v>
      </c>
      <c r="F993" s="9">
        <v>11680.349609000001</v>
      </c>
      <c r="G993" s="39">
        <f t="shared" si="1"/>
        <v>-6.9798880878491065E-3</v>
      </c>
    </row>
    <row r="994" spans="1:7" ht="14.25" customHeight="1" x14ac:dyDescent="0.25">
      <c r="A994" s="121">
        <v>44120</v>
      </c>
      <c r="B994" s="9">
        <v>662.90002400000003</v>
      </c>
      <c r="C994" s="39">
        <f t="shared" si="2"/>
        <v>-1.3908480476013341E-2</v>
      </c>
      <c r="E994" s="121">
        <v>44120</v>
      </c>
      <c r="F994" s="9">
        <v>11762.450194999999</v>
      </c>
      <c r="G994" s="39">
        <f t="shared" si="1"/>
        <v>-9.315181172189213E-3</v>
      </c>
    </row>
    <row r="995" spans="1:7" ht="14.25" customHeight="1" x14ac:dyDescent="0.25">
      <c r="A995" s="121">
        <v>44123</v>
      </c>
      <c r="B995" s="9">
        <v>672.25</v>
      </c>
      <c r="C995" s="39">
        <f t="shared" si="2"/>
        <v>9.3086286490557946E-3</v>
      </c>
      <c r="E995" s="121">
        <v>44123</v>
      </c>
      <c r="F995" s="9">
        <v>11873.049805000001</v>
      </c>
      <c r="G995" s="39">
        <f t="shared" si="1"/>
        <v>-1.9963351816694175E-3</v>
      </c>
    </row>
    <row r="996" spans="1:7" ht="14.25" customHeight="1" x14ac:dyDescent="0.25">
      <c r="A996" s="121">
        <v>44124</v>
      </c>
      <c r="B996" s="9">
        <v>666.04998799999998</v>
      </c>
      <c r="C996" s="39">
        <f t="shared" si="2"/>
        <v>-9.0007646950907017E-4</v>
      </c>
      <c r="E996" s="121">
        <v>44124</v>
      </c>
      <c r="F996" s="9">
        <v>11896.799805000001</v>
      </c>
      <c r="G996" s="39">
        <f t="shared" si="1"/>
        <v>-3.421995506820763E-3</v>
      </c>
    </row>
    <row r="997" spans="1:7" ht="14.25" customHeight="1" x14ac:dyDescent="0.25">
      <c r="A997" s="121">
        <v>44125</v>
      </c>
      <c r="B997" s="9">
        <v>666.65002400000003</v>
      </c>
      <c r="C997" s="39">
        <f t="shared" si="2"/>
        <v>1.3916386311787043E-2</v>
      </c>
      <c r="E997" s="121">
        <v>44125</v>
      </c>
      <c r="F997" s="9">
        <v>11937.650390999999</v>
      </c>
      <c r="G997" s="39">
        <f t="shared" si="1"/>
        <v>3.4632344375564728E-3</v>
      </c>
    </row>
    <row r="998" spans="1:7" ht="14.25" customHeight="1" x14ac:dyDescent="0.25">
      <c r="A998" s="121">
        <v>44126</v>
      </c>
      <c r="B998" s="9">
        <v>657.5</v>
      </c>
      <c r="C998" s="39">
        <f t="shared" si="2"/>
        <v>-1.1393847322446193E-3</v>
      </c>
      <c r="E998" s="121">
        <v>44126</v>
      </c>
      <c r="F998" s="9">
        <v>11896.450194999999</v>
      </c>
      <c r="G998" s="39">
        <f t="shared" si="1"/>
        <v>-2.8414434707284553E-3</v>
      </c>
    </row>
    <row r="999" spans="1:7" ht="14.25" customHeight="1" x14ac:dyDescent="0.25">
      <c r="A999" s="121">
        <v>44127</v>
      </c>
      <c r="B999" s="9">
        <v>658.25</v>
      </c>
      <c r="C999" s="39">
        <f t="shared" si="2"/>
        <v>2.2839741149600634E-3</v>
      </c>
      <c r="E999" s="121">
        <v>44127</v>
      </c>
      <c r="F999" s="9">
        <v>11930.349609000001</v>
      </c>
      <c r="G999" s="39">
        <f t="shared" si="1"/>
        <v>1.3817391514945543E-2</v>
      </c>
    </row>
    <row r="1000" spans="1:7" ht="14.25" customHeight="1" x14ac:dyDescent="0.25">
      <c r="A1000" s="121">
        <v>44130</v>
      </c>
      <c r="B1000" s="9">
        <v>656.75</v>
      </c>
      <c r="C1000" s="39">
        <f t="shared" si="2"/>
        <v>-4.0188412246706662E-3</v>
      </c>
      <c r="E1000" s="121">
        <v>44130</v>
      </c>
      <c r="F1000" s="9">
        <v>11767.75</v>
      </c>
      <c r="G1000" s="39">
        <f t="shared" si="1"/>
        <v>-1.0231835668692457E-2</v>
      </c>
    </row>
    <row r="1001" spans="1:7" ht="14.25" customHeight="1" x14ac:dyDescent="0.25">
      <c r="A1001" s="121">
        <v>44131</v>
      </c>
      <c r="B1001" s="9">
        <v>659.40002400000003</v>
      </c>
      <c r="C1001" s="39">
        <f t="shared" si="2"/>
        <v>-6.7032494703290757E-3</v>
      </c>
      <c r="E1001" s="121">
        <v>44131</v>
      </c>
      <c r="F1001" s="9">
        <v>11889.400390999999</v>
      </c>
      <c r="G1001" s="39">
        <f t="shared" si="1"/>
        <v>1.3623720103573156E-2</v>
      </c>
    </row>
    <row r="1002" spans="1:7" ht="14.25" customHeight="1" x14ac:dyDescent="0.25">
      <c r="A1002" s="121">
        <v>44132</v>
      </c>
      <c r="B1002" s="9">
        <v>663.84997599999997</v>
      </c>
      <c r="C1002" s="39">
        <f t="shared" si="2"/>
        <v>8.1244889901290751E-3</v>
      </c>
      <c r="E1002" s="121">
        <v>44132</v>
      </c>
      <c r="F1002" s="9">
        <v>11729.599609000001</v>
      </c>
      <c r="G1002" s="39">
        <f t="shared" si="1"/>
        <v>5.0381983225185056E-3</v>
      </c>
    </row>
    <row r="1003" spans="1:7" ht="14.25" customHeight="1" x14ac:dyDescent="0.25">
      <c r="A1003" s="121">
        <v>44133</v>
      </c>
      <c r="B1003" s="9">
        <v>658.5</v>
      </c>
      <c r="C1003" s="39">
        <f t="shared" si="2"/>
        <v>-2.877080452680314E-3</v>
      </c>
      <c r="E1003" s="121">
        <v>44133</v>
      </c>
      <c r="F1003" s="9">
        <v>11670.799805000001</v>
      </c>
      <c r="G1003" s="39">
        <f t="shared" si="1"/>
        <v>2.4393091670300571E-3</v>
      </c>
    </row>
    <row r="1004" spans="1:7" ht="14.25" customHeight="1" x14ac:dyDescent="0.25">
      <c r="A1004" s="121">
        <v>44134</v>
      </c>
      <c r="B1004" s="9">
        <v>660.40002400000003</v>
      </c>
      <c r="C1004" s="39">
        <f t="shared" si="2"/>
        <v>-5.9455891362897306E-3</v>
      </c>
      <c r="E1004" s="121">
        <v>44134</v>
      </c>
      <c r="F1004" s="9">
        <v>11642.400390999999</v>
      </c>
      <c r="G1004" s="39">
        <f t="shared" si="1"/>
        <v>-2.2923691188889705E-3</v>
      </c>
    </row>
    <row r="1005" spans="1:7" ht="14.25" customHeight="1" x14ac:dyDescent="0.25">
      <c r="A1005" s="121">
        <v>44137</v>
      </c>
      <c r="B1005" s="9">
        <v>664.34997599999997</v>
      </c>
      <c r="C1005" s="39">
        <f t="shared" si="2"/>
        <v>-3.1347963479406715E-2</v>
      </c>
      <c r="E1005" s="121">
        <v>44137</v>
      </c>
      <c r="F1005" s="9">
        <v>11669.150390999999</v>
      </c>
      <c r="G1005" s="39">
        <f t="shared" si="1"/>
        <v>-1.2219038303635688E-2</v>
      </c>
    </row>
    <row r="1006" spans="1:7" ht="14.25" customHeight="1" x14ac:dyDescent="0.25">
      <c r="A1006" s="121">
        <v>44138</v>
      </c>
      <c r="B1006" s="9">
        <v>685.84997599999997</v>
      </c>
      <c r="C1006" s="39">
        <f t="shared" si="2"/>
        <v>-9.7458854084626623E-3</v>
      </c>
      <c r="E1006" s="121">
        <v>44138</v>
      </c>
      <c r="F1006" s="9">
        <v>11813.5</v>
      </c>
      <c r="G1006" s="39">
        <f t="shared" si="1"/>
        <v>-7.9774950665491007E-3</v>
      </c>
    </row>
    <row r="1007" spans="1:7" ht="14.25" customHeight="1" x14ac:dyDescent="0.25">
      <c r="A1007" s="121">
        <v>44139</v>
      </c>
      <c r="B1007" s="9">
        <v>692.59997599999997</v>
      </c>
      <c r="C1007" s="39">
        <f t="shared" si="2"/>
        <v>-1.5003978724176359E-2</v>
      </c>
      <c r="E1007" s="121">
        <v>44139</v>
      </c>
      <c r="F1007" s="9">
        <v>11908.5</v>
      </c>
      <c r="G1007" s="39">
        <f t="shared" si="1"/>
        <v>-1.7474799172263578E-2</v>
      </c>
    </row>
    <row r="1008" spans="1:7" ht="14.25" customHeight="1" x14ac:dyDescent="0.25">
      <c r="A1008" s="121">
        <v>44140</v>
      </c>
      <c r="B1008" s="9">
        <v>703.15002400000003</v>
      </c>
      <c r="C1008" s="39">
        <f t="shared" si="2"/>
        <v>6.0809841952444987E-3</v>
      </c>
      <c r="E1008" s="121">
        <v>44140</v>
      </c>
      <c r="F1008" s="9">
        <v>12120.299805000001</v>
      </c>
      <c r="G1008" s="39">
        <f t="shared" si="1"/>
        <v>-1.1680957168013095E-2</v>
      </c>
    </row>
    <row r="1009" spans="1:7" ht="14.25" customHeight="1" x14ac:dyDescent="0.25">
      <c r="A1009" s="121">
        <v>44141</v>
      </c>
      <c r="B1009" s="9">
        <v>698.90002400000003</v>
      </c>
      <c r="C1009" s="39">
        <f t="shared" si="2"/>
        <v>-3.1378577596755663E-3</v>
      </c>
      <c r="E1009" s="121">
        <v>44141</v>
      </c>
      <c r="F1009" s="9">
        <v>12263.549805000001</v>
      </c>
      <c r="G1009" s="39">
        <f t="shared" si="1"/>
        <v>-1.5849386936945931E-2</v>
      </c>
    </row>
    <row r="1010" spans="1:7" ht="14.25" customHeight="1" x14ac:dyDescent="0.25">
      <c r="A1010" s="121">
        <v>44144</v>
      </c>
      <c r="B1010" s="9">
        <v>701.09997599999997</v>
      </c>
      <c r="C1010" s="39">
        <f t="shared" si="2"/>
        <v>1.4396226078984942E-2</v>
      </c>
      <c r="E1010" s="121">
        <v>44144</v>
      </c>
      <c r="F1010" s="9">
        <v>12461.049805000001</v>
      </c>
      <c r="G1010" s="39">
        <f t="shared" si="1"/>
        <v>-1.3462787030737666E-2</v>
      </c>
    </row>
    <row r="1011" spans="1:7" ht="14.25" customHeight="1" x14ac:dyDescent="0.25">
      <c r="A1011" s="121">
        <v>44145</v>
      </c>
      <c r="B1011" s="9">
        <v>691.15002400000003</v>
      </c>
      <c r="C1011" s="39">
        <f t="shared" si="2"/>
        <v>-2.3815878010666758E-3</v>
      </c>
      <c r="E1011" s="121">
        <v>44145</v>
      </c>
      <c r="F1011" s="9">
        <v>12631.099609000001</v>
      </c>
      <c r="G1011" s="39">
        <f t="shared" si="1"/>
        <v>-9.2595018789122241E-3</v>
      </c>
    </row>
    <row r="1012" spans="1:7" ht="14.25" customHeight="1" x14ac:dyDescent="0.25">
      <c r="A1012" s="121">
        <v>44146</v>
      </c>
      <c r="B1012" s="9">
        <v>692.79998799999998</v>
      </c>
      <c r="C1012" s="39">
        <f t="shared" si="2"/>
        <v>7.9449331888770125E-4</v>
      </c>
      <c r="E1012" s="121">
        <v>44146</v>
      </c>
      <c r="F1012" s="9">
        <v>12749.150390999999</v>
      </c>
      <c r="G1012" s="39">
        <f t="shared" si="1"/>
        <v>4.5978651382563296E-3</v>
      </c>
    </row>
    <row r="1013" spans="1:7" ht="14.25" customHeight="1" x14ac:dyDescent="0.25">
      <c r="A1013" s="121">
        <v>44147</v>
      </c>
      <c r="B1013" s="9">
        <v>692.25</v>
      </c>
      <c r="C1013" s="39">
        <f t="shared" si="2"/>
        <v>-4.5633111043213104E-2</v>
      </c>
      <c r="E1013" s="121">
        <v>44147</v>
      </c>
      <c r="F1013" s="9">
        <v>12690.799805000001</v>
      </c>
      <c r="G1013" s="39">
        <f t="shared" si="1"/>
        <v>-2.2917063001911542E-3</v>
      </c>
    </row>
    <row r="1014" spans="1:7" ht="14.25" customHeight="1" x14ac:dyDescent="0.25">
      <c r="A1014" s="121">
        <v>44148</v>
      </c>
      <c r="B1014" s="9">
        <v>725.34997599999997</v>
      </c>
      <c r="C1014" s="39">
        <f t="shared" si="2"/>
        <v>-7.4032842520116438E-3</v>
      </c>
      <c r="E1014" s="121">
        <v>44148</v>
      </c>
      <c r="F1014" s="9">
        <v>12719.950194999999</v>
      </c>
      <c r="G1014" s="39">
        <f t="shared" si="1"/>
        <v>-6.2538910156250127E-3</v>
      </c>
    </row>
    <row r="1015" spans="1:7" ht="14.25" customHeight="1" x14ac:dyDescent="0.25">
      <c r="A1015" s="121">
        <v>44149</v>
      </c>
      <c r="B1015" s="9">
        <v>730.76</v>
      </c>
      <c r="C1015" s="39">
        <f t="shared" si="2"/>
        <v>-2.389637804913769E-2</v>
      </c>
      <c r="E1015" s="121">
        <v>44149</v>
      </c>
      <c r="F1015" s="9">
        <v>12800</v>
      </c>
      <c r="G1015" s="39">
        <f t="shared" si="1"/>
        <v>-5.7634799735999387E-3</v>
      </c>
    </row>
    <row r="1016" spans="1:7" ht="14.25" customHeight="1" x14ac:dyDescent="0.25">
      <c r="A1016" s="121">
        <v>44152</v>
      </c>
      <c r="B1016" s="9">
        <v>748.65002400000003</v>
      </c>
      <c r="C1016" s="39">
        <f t="shared" si="2"/>
        <v>9.3703814042813693E-3</v>
      </c>
      <c r="E1016" s="121">
        <v>44152</v>
      </c>
      <c r="F1016" s="9">
        <v>12874.200194999999</v>
      </c>
      <c r="G1016" s="39">
        <f t="shared" si="1"/>
        <v>-4.9504225841980887E-3</v>
      </c>
    </row>
    <row r="1017" spans="1:7" ht="14.25" customHeight="1" x14ac:dyDescent="0.25">
      <c r="A1017" s="121">
        <v>44153</v>
      </c>
      <c r="B1017" s="9">
        <v>741.70001200000002</v>
      </c>
      <c r="C1017" s="39">
        <f t="shared" si="2"/>
        <v>1.7142073223114451E-2</v>
      </c>
      <c r="E1017" s="121">
        <v>44153</v>
      </c>
      <c r="F1017" s="9">
        <v>12938.25</v>
      </c>
      <c r="G1017" s="39">
        <f t="shared" si="1"/>
        <v>1.3040535125088848E-2</v>
      </c>
    </row>
    <row r="1018" spans="1:7" ht="14.25" customHeight="1" x14ac:dyDescent="0.25">
      <c r="A1018" s="121">
        <v>44154</v>
      </c>
      <c r="B1018" s="9">
        <v>729.20001200000002</v>
      </c>
      <c r="C1018" s="39">
        <f t="shared" si="2"/>
        <v>-1.2726732068022661E-2</v>
      </c>
      <c r="E1018" s="121">
        <v>44154</v>
      </c>
      <c r="F1018" s="9">
        <v>12771.700194999999</v>
      </c>
      <c r="G1018" s="39">
        <f t="shared" si="1"/>
        <v>-6.7928510523410646E-3</v>
      </c>
    </row>
    <row r="1019" spans="1:7" ht="14.25" customHeight="1" x14ac:dyDescent="0.25">
      <c r="A1019" s="121">
        <v>44155</v>
      </c>
      <c r="B1019" s="9">
        <v>738.59997599999997</v>
      </c>
      <c r="C1019" s="39">
        <f t="shared" si="2"/>
        <v>1.2751937684112535E-2</v>
      </c>
      <c r="E1019" s="121">
        <v>44155</v>
      </c>
      <c r="F1019" s="9">
        <v>12859.049805000001</v>
      </c>
      <c r="G1019" s="39">
        <f t="shared" si="1"/>
        <v>-5.2141453363638846E-3</v>
      </c>
    </row>
    <row r="1020" spans="1:7" ht="14.25" customHeight="1" x14ac:dyDescent="0.25">
      <c r="A1020" s="121">
        <v>44158</v>
      </c>
      <c r="B1020" s="9">
        <v>729.29998799999998</v>
      </c>
      <c r="C1020" s="39">
        <f t="shared" si="2"/>
        <v>8.8531799523081656E-3</v>
      </c>
      <c r="E1020" s="121">
        <v>44158</v>
      </c>
      <c r="F1020" s="9">
        <v>12926.450194999999</v>
      </c>
      <c r="G1020" s="39">
        <f t="shared" si="1"/>
        <v>-9.8581932911875336E-3</v>
      </c>
    </row>
    <row r="1021" spans="1:7" ht="14.25" customHeight="1" x14ac:dyDescent="0.25">
      <c r="A1021" s="121">
        <v>44159</v>
      </c>
      <c r="B1021" s="9">
        <v>722.90002400000003</v>
      </c>
      <c r="C1021" s="39">
        <f t="shared" si="2"/>
        <v>3.8186487653300016E-3</v>
      </c>
      <c r="E1021" s="121">
        <v>44159</v>
      </c>
      <c r="F1021" s="9">
        <v>13055.150390999999</v>
      </c>
      <c r="G1021" s="39">
        <f t="shared" si="1"/>
        <v>1.5301281187177107E-2</v>
      </c>
    </row>
    <row r="1022" spans="1:7" ht="14.25" customHeight="1" x14ac:dyDescent="0.25">
      <c r="A1022" s="121">
        <v>44160</v>
      </c>
      <c r="B1022" s="9">
        <v>720.15002400000003</v>
      </c>
      <c r="C1022" s="39">
        <f t="shared" si="2"/>
        <v>-2.1734700099663384E-2</v>
      </c>
      <c r="E1022" s="121">
        <v>44160</v>
      </c>
      <c r="F1022" s="9">
        <v>12858.400390999999</v>
      </c>
      <c r="G1022" s="39">
        <f t="shared" si="1"/>
        <v>-9.9021797951798218E-3</v>
      </c>
    </row>
    <row r="1023" spans="1:7" ht="14.25" customHeight="1" x14ac:dyDescent="0.25">
      <c r="A1023" s="121">
        <v>44161</v>
      </c>
      <c r="B1023" s="9">
        <v>736.15002400000003</v>
      </c>
      <c r="C1023" s="39">
        <f t="shared" si="2"/>
        <v>-1.9657701290379803E-3</v>
      </c>
      <c r="E1023" s="121">
        <v>44161</v>
      </c>
      <c r="F1023" s="9">
        <v>12987</v>
      </c>
      <c r="G1023" s="39">
        <f t="shared" si="1"/>
        <v>1.3917707083923592E-3</v>
      </c>
    </row>
    <row r="1024" spans="1:7" ht="14.25" customHeight="1" x14ac:dyDescent="0.25">
      <c r="A1024" s="121">
        <v>44162</v>
      </c>
      <c r="B1024" s="9">
        <v>737.59997599999997</v>
      </c>
      <c r="C1024" s="39">
        <f t="shared" si="2"/>
        <v>1.1866333572404075E-2</v>
      </c>
      <c r="E1024" s="121">
        <v>44162</v>
      </c>
      <c r="F1024" s="9">
        <v>12968.950194999999</v>
      </c>
      <c r="G1024" s="39">
        <f t="shared" si="1"/>
        <v>-1.0687243704464722E-2</v>
      </c>
    </row>
    <row r="1025" spans="1:7" ht="14.25" customHeight="1" x14ac:dyDescent="0.25">
      <c r="A1025" s="121">
        <v>44166</v>
      </c>
      <c r="B1025" s="9">
        <v>728.95001200000002</v>
      </c>
      <c r="C1025" s="39">
        <f t="shared" si="2"/>
        <v>1.9931436426117166E-3</v>
      </c>
      <c r="E1025" s="121">
        <v>44166</v>
      </c>
      <c r="F1025" s="9">
        <v>13109.049805000001</v>
      </c>
      <c r="G1025" s="39">
        <f t="shared" si="1"/>
        <v>-3.5841731007524302E-4</v>
      </c>
    </row>
    <row r="1026" spans="1:7" ht="14.25" customHeight="1" x14ac:dyDescent="0.25">
      <c r="A1026" s="121">
        <v>44167</v>
      </c>
      <c r="B1026" s="9">
        <v>727.5</v>
      </c>
      <c r="C1026" s="39">
        <f t="shared" si="2"/>
        <v>-1.3740517220683923E-4</v>
      </c>
      <c r="E1026" s="121">
        <v>44167</v>
      </c>
      <c r="F1026" s="9">
        <v>13113.75</v>
      </c>
      <c r="G1026" s="39">
        <f t="shared" si="1"/>
        <v>-1.5342274876553041E-3</v>
      </c>
    </row>
    <row r="1027" spans="1:7" ht="14.25" customHeight="1" x14ac:dyDescent="0.25">
      <c r="A1027" s="121">
        <v>44168</v>
      </c>
      <c r="B1027" s="9">
        <v>727.59997599999997</v>
      </c>
      <c r="C1027" s="39">
        <f t="shared" si="2"/>
        <v>1.031849796745421E-3</v>
      </c>
      <c r="E1027" s="121">
        <v>44168</v>
      </c>
      <c r="F1027" s="9">
        <v>13133.900390999999</v>
      </c>
      <c r="G1027" s="39">
        <f t="shared" si="1"/>
        <v>-9.4014364944342566E-3</v>
      </c>
    </row>
    <row r="1028" spans="1:7" ht="14.25" customHeight="1" x14ac:dyDescent="0.25">
      <c r="A1028" s="121">
        <v>44169</v>
      </c>
      <c r="B1028" s="9">
        <v>726.84997599999997</v>
      </c>
      <c r="C1028" s="39">
        <f t="shared" si="2"/>
        <v>1.0075042025849079E-2</v>
      </c>
      <c r="E1028" s="121">
        <v>44169</v>
      </c>
      <c r="F1028" s="9">
        <v>13258.549805000001</v>
      </c>
      <c r="G1028" s="39">
        <f t="shared" si="1"/>
        <v>-7.2777788592928161E-3</v>
      </c>
    </row>
    <row r="1029" spans="1:7" ht="14.25" customHeight="1" x14ac:dyDescent="0.25">
      <c r="A1029" s="121">
        <v>44172</v>
      </c>
      <c r="B1029" s="9">
        <v>719.59997599999997</v>
      </c>
      <c r="C1029" s="39">
        <f t="shared" si="2"/>
        <v>6.2567195297758005E-4</v>
      </c>
      <c r="E1029" s="121">
        <v>44172</v>
      </c>
      <c r="F1029" s="9">
        <v>13355.75</v>
      </c>
      <c r="G1029" s="39">
        <f t="shared" si="1"/>
        <v>-2.7775952615644028E-3</v>
      </c>
    </row>
    <row r="1030" spans="1:7" ht="14.25" customHeight="1" x14ac:dyDescent="0.25">
      <c r="A1030" s="121">
        <v>44173</v>
      </c>
      <c r="B1030" s="9">
        <v>719.15002400000003</v>
      </c>
      <c r="C1030" s="39">
        <f t="shared" si="2"/>
        <v>-3.9473351800554113E-3</v>
      </c>
      <c r="E1030" s="121">
        <v>44173</v>
      </c>
      <c r="F1030" s="9">
        <v>13392.950194999999</v>
      </c>
      <c r="G1030" s="39">
        <f t="shared" si="1"/>
        <v>-1.0063449744240893E-2</v>
      </c>
    </row>
    <row r="1031" spans="1:7" ht="14.25" customHeight="1" x14ac:dyDescent="0.25">
      <c r="A1031" s="121">
        <v>44174</v>
      </c>
      <c r="B1031" s="9">
        <v>722</v>
      </c>
      <c r="C1031" s="39">
        <f t="shared" si="2"/>
        <v>-2.4456122938720348E-2</v>
      </c>
      <c r="E1031" s="121">
        <v>44174</v>
      </c>
      <c r="F1031" s="9">
        <v>13529.099609000001</v>
      </c>
      <c r="G1031" s="39">
        <f t="shared" si="1"/>
        <v>3.7690068283802169E-3</v>
      </c>
    </row>
    <row r="1032" spans="1:7" ht="14.25" customHeight="1" x14ac:dyDescent="0.25">
      <c r="A1032" s="121">
        <v>44175</v>
      </c>
      <c r="B1032" s="9">
        <v>740.09997599999997</v>
      </c>
      <c r="C1032" s="39">
        <f t="shared" si="2"/>
        <v>1.4884654939106845E-3</v>
      </c>
      <c r="E1032" s="121">
        <v>44175</v>
      </c>
      <c r="F1032" s="9">
        <v>13478.299805000001</v>
      </c>
      <c r="G1032" s="39">
        <f t="shared" si="1"/>
        <v>-2.6306200696746274E-3</v>
      </c>
    </row>
    <row r="1033" spans="1:7" ht="14.25" customHeight="1" x14ac:dyDescent="0.25">
      <c r="A1033" s="121">
        <v>44176</v>
      </c>
      <c r="B1033" s="9">
        <v>739</v>
      </c>
      <c r="C1033" s="39">
        <f t="shared" si="2"/>
        <v>1.4273983451243089E-2</v>
      </c>
      <c r="E1033" s="121">
        <v>44176</v>
      </c>
      <c r="F1033" s="9">
        <v>13513.849609000001</v>
      </c>
      <c r="G1033" s="39">
        <f t="shared" si="1"/>
        <v>-3.2674650097852531E-3</v>
      </c>
    </row>
    <row r="1034" spans="1:7" ht="14.25" customHeight="1" x14ac:dyDescent="0.25">
      <c r="A1034" s="121">
        <v>44179</v>
      </c>
      <c r="B1034" s="9">
        <v>728.59997599999997</v>
      </c>
      <c r="C1034" s="39">
        <f t="shared" si="2"/>
        <v>-9.0445753145189656E-3</v>
      </c>
      <c r="E1034" s="121">
        <v>44179</v>
      </c>
      <c r="F1034" s="9">
        <v>13558.150390999999</v>
      </c>
      <c r="G1034" s="39">
        <f t="shared" si="1"/>
        <v>-7.1486774098439287E-4</v>
      </c>
    </row>
    <row r="1035" spans="1:7" ht="14.25" customHeight="1" x14ac:dyDescent="0.25">
      <c r="A1035" s="121">
        <v>44180</v>
      </c>
      <c r="B1035" s="9">
        <v>735.25</v>
      </c>
      <c r="C1035" s="39">
        <f t="shared" si="2"/>
        <v>-3.2629417000924921E-2</v>
      </c>
      <c r="E1035" s="121">
        <v>44180</v>
      </c>
      <c r="F1035" s="9">
        <v>13567.849609000001</v>
      </c>
      <c r="G1035" s="39">
        <f t="shared" si="1"/>
        <v>-8.3938538711801902E-3</v>
      </c>
    </row>
    <row r="1036" spans="1:7" ht="14.25" customHeight="1" x14ac:dyDescent="0.25">
      <c r="A1036" s="121">
        <v>44181</v>
      </c>
      <c r="B1036" s="9">
        <v>760.04998799999998</v>
      </c>
      <c r="C1036" s="39">
        <f t="shared" si="2"/>
        <v>-6.8600549880055706E-3</v>
      </c>
      <c r="E1036" s="121">
        <v>44181</v>
      </c>
      <c r="F1036" s="9">
        <v>13682.700194999999</v>
      </c>
      <c r="G1036" s="39">
        <f t="shared" si="1"/>
        <v>-4.2210367140610439E-3</v>
      </c>
    </row>
    <row r="1037" spans="1:7" ht="14.25" customHeight="1" x14ac:dyDescent="0.25">
      <c r="A1037" s="121">
        <v>44182</v>
      </c>
      <c r="B1037" s="9">
        <v>765.29998799999998</v>
      </c>
      <c r="C1037" s="39">
        <f t="shared" si="2"/>
        <v>-2.7264076263107784E-2</v>
      </c>
      <c r="E1037" s="121">
        <v>44182</v>
      </c>
      <c r="F1037" s="9">
        <v>13740.700194999999</v>
      </c>
      <c r="G1037" s="39">
        <f t="shared" si="1"/>
        <v>-1.4425012286055638E-3</v>
      </c>
    </row>
    <row r="1038" spans="1:7" ht="14.25" customHeight="1" x14ac:dyDescent="0.25">
      <c r="A1038" s="121">
        <v>44183</v>
      </c>
      <c r="B1038" s="9">
        <v>786.75</v>
      </c>
      <c r="C1038" s="39">
        <f t="shared" si="2"/>
        <v>2.5950348337756335E-2</v>
      </c>
      <c r="E1038" s="121">
        <v>44183</v>
      </c>
      <c r="F1038" s="9">
        <v>13760.549805000001</v>
      </c>
      <c r="G1038" s="39">
        <f t="shared" si="1"/>
        <v>3.242320168381263E-2</v>
      </c>
    </row>
    <row r="1039" spans="1:7" ht="14.25" customHeight="1" x14ac:dyDescent="0.25">
      <c r="A1039" s="121">
        <v>44186</v>
      </c>
      <c r="B1039" s="9">
        <v>766.84997599999997</v>
      </c>
      <c r="C1039" s="39">
        <f t="shared" si="2"/>
        <v>-3.3037024647177726E-2</v>
      </c>
      <c r="E1039" s="121">
        <v>44186</v>
      </c>
      <c r="F1039" s="9">
        <v>13328.400390999999</v>
      </c>
      <c r="G1039" s="39">
        <f t="shared" si="1"/>
        <v>-1.02403344643196E-2</v>
      </c>
    </row>
    <row r="1040" spans="1:7" ht="14.25" customHeight="1" x14ac:dyDescent="0.25">
      <c r="A1040" s="121">
        <v>44187</v>
      </c>
      <c r="B1040" s="9">
        <v>793.04998799999998</v>
      </c>
      <c r="C1040" s="39">
        <f t="shared" si="2"/>
        <v>1.2318054256275968E-2</v>
      </c>
      <c r="E1040" s="121">
        <v>44187</v>
      </c>
      <c r="F1040" s="9">
        <v>13466.299805000001</v>
      </c>
      <c r="G1040" s="39">
        <f t="shared" si="1"/>
        <v>-9.9109489581857835E-3</v>
      </c>
    </row>
    <row r="1041" spans="1:7" ht="14.25" customHeight="1" x14ac:dyDescent="0.25">
      <c r="A1041" s="121">
        <v>44188</v>
      </c>
      <c r="B1041" s="9">
        <v>783.40002400000003</v>
      </c>
      <c r="C1041" s="39">
        <f t="shared" si="2"/>
        <v>-2.6892695264532973E-2</v>
      </c>
      <c r="E1041" s="121">
        <v>44188</v>
      </c>
      <c r="F1041" s="9">
        <v>13601.099609000001</v>
      </c>
      <c r="G1041" s="39">
        <f t="shared" si="1"/>
        <v>-1.0775161626997765E-2</v>
      </c>
    </row>
    <row r="1042" spans="1:7" ht="14.25" customHeight="1" x14ac:dyDescent="0.25">
      <c r="A1042" s="121">
        <v>44189</v>
      </c>
      <c r="B1042" s="9">
        <v>805.04998799999998</v>
      </c>
      <c r="C1042" s="39">
        <f t="shared" si="2"/>
        <v>-1.8597731353509062E-3</v>
      </c>
      <c r="E1042" s="121">
        <v>44189</v>
      </c>
      <c r="F1042" s="9">
        <v>13749.25</v>
      </c>
      <c r="G1042" s="39">
        <f t="shared" si="1"/>
        <v>-8.9345063329131502E-3</v>
      </c>
    </row>
    <row r="1043" spans="1:7" ht="14.25" customHeight="1" x14ac:dyDescent="0.25">
      <c r="A1043" s="121">
        <v>44193</v>
      </c>
      <c r="B1043" s="9">
        <v>806.54998799999998</v>
      </c>
      <c r="C1043" s="39">
        <f t="shared" si="2"/>
        <v>8.6918611913515686E-3</v>
      </c>
      <c r="E1043" s="121">
        <v>44193</v>
      </c>
      <c r="F1043" s="9">
        <v>13873.200194999999</v>
      </c>
      <c r="G1043" s="39">
        <f t="shared" si="1"/>
        <v>-4.2633403432932315E-3</v>
      </c>
    </row>
    <row r="1044" spans="1:7" ht="14.25" customHeight="1" x14ac:dyDescent="0.25">
      <c r="A1044" s="121">
        <v>44194</v>
      </c>
      <c r="B1044" s="9">
        <v>799.59997599999997</v>
      </c>
      <c r="C1044" s="39">
        <f t="shared" si="2"/>
        <v>-2.1215674846609689E-3</v>
      </c>
      <c r="E1044" s="121">
        <v>44194</v>
      </c>
      <c r="F1044" s="9">
        <v>13932.599609000001</v>
      </c>
      <c r="G1044" s="39">
        <f t="shared" si="1"/>
        <v>-3.5295924611179474E-3</v>
      </c>
    </row>
    <row r="1045" spans="1:7" ht="14.25" customHeight="1" x14ac:dyDescent="0.25">
      <c r="A1045" s="121">
        <v>44195</v>
      </c>
      <c r="B1045" s="9">
        <v>801.29998799999998</v>
      </c>
      <c r="C1045" s="39">
        <f t="shared" si="2"/>
        <v>-1.0374242158218028E-2</v>
      </c>
      <c r="E1045" s="121">
        <v>44195</v>
      </c>
      <c r="F1045" s="9">
        <v>13981.950194999999</v>
      </c>
      <c r="G1045" s="39">
        <f t="shared" si="1"/>
        <v>1.4318307794081164E-5</v>
      </c>
    </row>
    <row r="1046" spans="1:7" ht="14.25" customHeight="1" x14ac:dyDescent="0.25">
      <c r="A1046" s="121">
        <v>44196</v>
      </c>
      <c r="B1046" s="9">
        <v>809.70001200000002</v>
      </c>
      <c r="C1046" s="39">
        <f t="shared" si="2"/>
        <v>-2.2514594724875048E-2</v>
      </c>
      <c r="E1046" s="121">
        <v>44196</v>
      </c>
      <c r="F1046" s="9">
        <v>13981.75</v>
      </c>
      <c r="G1046" s="39">
        <f t="shared" si="1"/>
        <v>-3.5741379310344823E-2</v>
      </c>
    </row>
    <row r="1047" spans="1:7" ht="14.25" customHeight="1" x14ac:dyDescent="0.25">
      <c r="A1047" s="121">
        <v>44197</v>
      </c>
      <c r="B1047" s="9">
        <v>828.34997599999997</v>
      </c>
      <c r="C1047" s="39">
        <f t="shared" si="2"/>
        <v>-1.0511912736921869E-2</v>
      </c>
      <c r="E1047" s="121">
        <v>44197</v>
      </c>
      <c r="F1047" s="9">
        <v>14500</v>
      </c>
      <c r="G1047" s="39">
        <f t="shared" si="1"/>
        <v>2.5974824618008041E-2</v>
      </c>
    </row>
    <row r="1048" spans="1:7" ht="14.25" customHeight="1" x14ac:dyDescent="0.25">
      <c r="A1048" s="121">
        <v>44200</v>
      </c>
      <c r="B1048" s="9">
        <v>837.15002400000003</v>
      </c>
      <c r="C1048" s="39">
        <f t="shared" si="2"/>
        <v>-6.3485846824409498E-2</v>
      </c>
      <c r="E1048" s="121">
        <v>44200</v>
      </c>
      <c r="F1048" s="9">
        <v>14132.900390999999</v>
      </c>
      <c r="G1048" s="39">
        <f t="shared" si="1"/>
        <v>-4.6902784605091785E-3</v>
      </c>
    </row>
    <row r="1049" spans="1:7" ht="14.25" customHeight="1" x14ac:dyDescent="0.25">
      <c r="A1049" s="121">
        <v>44201</v>
      </c>
      <c r="B1049" s="9">
        <v>893.90002400000003</v>
      </c>
      <c r="C1049" s="39">
        <f t="shared" si="2"/>
        <v>-5.5069835146771551E-3</v>
      </c>
      <c r="E1049" s="121">
        <v>44201</v>
      </c>
      <c r="F1049" s="9">
        <v>14199.5</v>
      </c>
      <c r="G1049" s="39">
        <f t="shared" si="1"/>
        <v>3.7642484757445249E-3</v>
      </c>
    </row>
    <row r="1050" spans="1:7" ht="14.25" customHeight="1" x14ac:dyDescent="0.25">
      <c r="A1050" s="121">
        <v>44202</v>
      </c>
      <c r="B1050" s="9">
        <v>898.84997599999997</v>
      </c>
      <c r="C1050" s="39">
        <f t="shared" si="2"/>
        <v>2.1943025710097652E-2</v>
      </c>
      <c r="E1050" s="121">
        <v>44202</v>
      </c>
      <c r="F1050" s="9">
        <v>14146.25</v>
      </c>
      <c r="G1050" s="39">
        <f t="shared" si="1"/>
        <v>6.2956574224726225E-4</v>
      </c>
    </row>
    <row r="1051" spans="1:7" ht="14.25" customHeight="1" x14ac:dyDescent="0.25">
      <c r="A1051" s="121">
        <v>44203</v>
      </c>
      <c r="B1051" s="9">
        <v>879.54998799999998</v>
      </c>
      <c r="C1051" s="39">
        <f t="shared" si="2"/>
        <v>-1.3570387118612359E-2</v>
      </c>
      <c r="E1051" s="121">
        <v>44203</v>
      </c>
      <c r="F1051" s="9">
        <v>14137.349609000001</v>
      </c>
      <c r="G1051" s="39">
        <f t="shared" si="1"/>
        <v>-1.4630008607921297E-2</v>
      </c>
    </row>
    <row r="1052" spans="1:7" ht="14.25" customHeight="1" x14ac:dyDescent="0.25">
      <c r="A1052" s="121">
        <v>44204</v>
      </c>
      <c r="B1052" s="9">
        <v>891.65002400000003</v>
      </c>
      <c r="C1052" s="39">
        <f t="shared" si="2"/>
        <v>3.3662198696249312E-4</v>
      </c>
      <c r="E1052" s="121">
        <v>44204</v>
      </c>
      <c r="F1052" s="9">
        <v>14347.25</v>
      </c>
      <c r="G1052" s="39">
        <f t="shared" si="1"/>
        <v>-9.4927423669721733E-3</v>
      </c>
    </row>
    <row r="1053" spans="1:7" ht="14.25" customHeight="1" x14ac:dyDescent="0.25">
      <c r="A1053" s="121">
        <v>44207</v>
      </c>
      <c r="B1053" s="9">
        <v>891.34997599999997</v>
      </c>
      <c r="C1053" s="39">
        <f t="shared" si="2"/>
        <v>7.6875112681591418E-3</v>
      </c>
      <c r="E1053" s="121">
        <v>44207</v>
      </c>
      <c r="F1053" s="9">
        <v>14484.75</v>
      </c>
      <c r="G1053" s="39">
        <f t="shared" si="1"/>
        <v>-5.4039526311573383E-3</v>
      </c>
    </row>
    <row r="1054" spans="1:7" ht="14.25" customHeight="1" x14ac:dyDescent="0.25">
      <c r="A1054" s="121">
        <v>44208</v>
      </c>
      <c r="B1054" s="9">
        <v>884.54998799999998</v>
      </c>
      <c r="C1054" s="39">
        <f t="shared" si="2"/>
        <v>-8.4717046217785974E-4</v>
      </c>
      <c r="E1054" s="121">
        <v>44208</v>
      </c>
      <c r="F1054" s="9">
        <v>14563.450194999999</v>
      </c>
      <c r="G1054" s="39">
        <f t="shared" si="1"/>
        <v>-9.608159627938484E-5</v>
      </c>
    </row>
    <row r="1055" spans="1:7" ht="14.25" customHeight="1" x14ac:dyDescent="0.25">
      <c r="A1055" s="121">
        <v>44209</v>
      </c>
      <c r="B1055" s="9">
        <v>885.29998799999998</v>
      </c>
      <c r="C1055" s="39">
        <f t="shared" si="2"/>
        <v>2.6732372281820904E-2</v>
      </c>
      <c r="E1055" s="121">
        <v>44209</v>
      </c>
      <c r="F1055" s="9">
        <v>14564.849609000001</v>
      </c>
      <c r="G1055" s="39">
        <f t="shared" si="1"/>
        <v>-2.1067993658197004E-3</v>
      </c>
    </row>
    <row r="1056" spans="1:7" ht="14.25" customHeight="1" x14ac:dyDescent="0.25">
      <c r="A1056" s="121">
        <v>44210</v>
      </c>
      <c r="B1056" s="9">
        <v>862.25</v>
      </c>
      <c r="C1056" s="39">
        <f t="shared" si="2"/>
        <v>1.7344123896088082E-2</v>
      </c>
      <c r="E1056" s="121">
        <v>44210</v>
      </c>
      <c r="F1056" s="9">
        <v>14595.599609000001</v>
      </c>
      <c r="G1056" s="39">
        <f t="shared" si="1"/>
        <v>1.1216764364835985E-2</v>
      </c>
    </row>
    <row r="1057" spans="1:7" ht="14.25" customHeight="1" x14ac:dyDescent="0.25">
      <c r="A1057" s="121">
        <v>44211</v>
      </c>
      <c r="B1057" s="9">
        <v>847.54998799999998</v>
      </c>
      <c r="C1057" s="39">
        <f t="shared" si="2"/>
        <v>3.2024338508371386E-2</v>
      </c>
      <c r="E1057" s="121">
        <v>44211</v>
      </c>
      <c r="F1057" s="9">
        <v>14433.700194999999</v>
      </c>
      <c r="G1057" s="39">
        <f t="shared" si="1"/>
        <v>1.0671324885052957E-2</v>
      </c>
    </row>
    <row r="1058" spans="1:7" ht="14.25" customHeight="1" x14ac:dyDescent="0.25">
      <c r="A1058" s="121">
        <v>44214</v>
      </c>
      <c r="B1058" s="9">
        <v>821.25</v>
      </c>
      <c r="C1058" s="39">
        <f t="shared" si="2"/>
        <v>-2.1622615536165402E-2</v>
      </c>
      <c r="E1058" s="121">
        <v>44214</v>
      </c>
      <c r="F1058" s="9">
        <v>14281.299805000001</v>
      </c>
      <c r="G1058" s="39">
        <f t="shared" si="1"/>
        <v>-1.6517326764183493E-2</v>
      </c>
    </row>
    <row r="1059" spans="1:7" ht="14.25" customHeight="1" x14ac:dyDescent="0.25">
      <c r="A1059" s="121">
        <v>44215</v>
      </c>
      <c r="B1059" s="9">
        <v>839.40002400000003</v>
      </c>
      <c r="C1059" s="39">
        <f t="shared" si="2"/>
        <v>2.3833650755489266E-4</v>
      </c>
      <c r="E1059" s="121">
        <v>44215</v>
      </c>
      <c r="F1059" s="9">
        <v>14521.150390999999</v>
      </c>
      <c r="G1059" s="39">
        <f t="shared" si="1"/>
        <v>-8.4364857153021999E-3</v>
      </c>
    </row>
    <row r="1060" spans="1:7" ht="14.25" customHeight="1" x14ac:dyDescent="0.25">
      <c r="A1060" s="121">
        <v>44216</v>
      </c>
      <c r="B1060" s="9">
        <v>839.20001200000002</v>
      </c>
      <c r="C1060" s="39">
        <f t="shared" si="2"/>
        <v>-5.2747132974656497E-3</v>
      </c>
      <c r="E1060" s="121">
        <v>44216</v>
      </c>
      <c r="F1060" s="9">
        <v>14644.700194999999</v>
      </c>
      <c r="G1060" s="39">
        <f t="shared" si="1"/>
        <v>3.7251051178699424E-3</v>
      </c>
    </row>
    <row r="1061" spans="1:7" ht="14.25" customHeight="1" x14ac:dyDescent="0.25">
      <c r="A1061" s="121">
        <v>44217</v>
      </c>
      <c r="B1061" s="9">
        <v>843.65002400000003</v>
      </c>
      <c r="C1061" s="39">
        <f t="shared" si="2"/>
        <v>9.2714436864282934E-3</v>
      </c>
      <c r="E1061" s="121">
        <v>44217</v>
      </c>
      <c r="F1061" s="9">
        <v>14590.349609000001</v>
      </c>
      <c r="G1061" s="39">
        <f t="shared" si="1"/>
        <v>1.5199744783703117E-2</v>
      </c>
    </row>
    <row r="1062" spans="1:7" ht="14.25" customHeight="1" x14ac:dyDescent="0.25">
      <c r="A1062" s="121">
        <v>44218</v>
      </c>
      <c r="B1062" s="9">
        <v>835.90002400000003</v>
      </c>
      <c r="C1062" s="39">
        <f t="shared" si="2"/>
        <v>1.1740513022408416E-2</v>
      </c>
      <c r="E1062" s="121">
        <v>44218</v>
      </c>
      <c r="F1062" s="9">
        <v>14371.900390999999</v>
      </c>
      <c r="G1062" s="39">
        <f t="shared" si="1"/>
        <v>9.3406089197776154E-3</v>
      </c>
    </row>
    <row r="1063" spans="1:7" ht="14.25" customHeight="1" x14ac:dyDescent="0.25">
      <c r="A1063" s="121">
        <v>44221</v>
      </c>
      <c r="B1063" s="9">
        <v>826.20001200000002</v>
      </c>
      <c r="C1063" s="39">
        <f t="shared" si="2"/>
        <v>-2.9566305787013247E-3</v>
      </c>
      <c r="E1063" s="121">
        <v>44221</v>
      </c>
      <c r="F1063" s="9">
        <v>14238.900390999999</v>
      </c>
      <c r="G1063" s="39">
        <f t="shared" si="1"/>
        <v>1.9430849543583317E-2</v>
      </c>
    </row>
    <row r="1064" spans="1:7" ht="14.25" customHeight="1" x14ac:dyDescent="0.25">
      <c r="A1064" s="121">
        <v>44223</v>
      </c>
      <c r="B1064" s="9">
        <v>828.65002400000003</v>
      </c>
      <c r="C1064" s="39">
        <f t="shared" si="2"/>
        <v>-1.115748926014315E-2</v>
      </c>
      <c r="E1064" s="121">
        <v>44223</v>
      </c>
      <c r="F1064" s="9">
        <v>13967.5</v>
      </c>
      <c r="G1064" s="39">
        <f t="shared" si="1"/>
        <v>1.0852155202345504E-2</v>
      </c>
    </row>
    <row r="1065" spans="1:7" ht="14.25" customHeight="1" x14ac:dyDescent="0.25">
      <c r="A1065" s="121">
        <v>44224</v>
      </c>
      <c r="B1065" s="9">
        <v>838</v>
      </c>
      <c r="C1065" s="39">
        <f t="shared" si="2"/>
        <v>1.73606747501176E-2</v>
      </c>
      <c r="E1065" s="121">
        <v>44224</v>
      </c>
      <c r="F1065" s="9">
        <v>13817.549805000001</v>
      </c>
      <c r="G1065" s="39">
        <f t="shared" si="1"/>
        <v>1.3418083496873345E-2</v>
      </c>
    </row>
    <row r="1066" spans="1:7" ht="14.25" customHeight="1" x14ac:dyDescent="0.25">
      <c r="A1066" s="121">
        <v>44225</v>
      </c>
      <c r="B1066" s="9">
        <v>823.70001200000002</v>
      </c>
      <c r="C1066" s="39">
        <f t="shared" si="2"/>
        <v>-8.247518028981049E-3</v>
      </c>
      <c r="E1066" s="121">
        <v>44225</v>
      </c>
      <c r="F1066" s="9">
        <v>13634.599609000001</v>
      </c>
      <c r="G1066" s="39">
        <f t="shared" si="1"/>
        <v>-4.5276347727859712E-2</v>
      </c>
    </row>
    <row r="1067" spans="1:7" ht="14.25" customHeight="1" x14ac:dyDescent="0.25">
      <c r="A1067" s="121">
        <v>44228</v>
      </c>
      <c r="B1067" s="9">
        <v>830.54998799999998</v>
      </c>
      <c r="C1067" s="39">
        <f t="shared" si="2"/>
        <v>-6.400329999272758E-3</v>
      </c>
      <c r="E1067" s="121">
        <v>44228</v>
      </c>
      <c r="F1067" s="9">
        <v>14281.200194999999</v>
      </c>
      <c r="G1067" s="39">
        <f t="shared" si="1"/>
        <v>-2.5030937904682138E-2</v>
      </c>
    </row>
    <row r="1068" spans="1:7" ht="14.25" customHeight="1" x14ac:dyDescent="0.25">
      <c r="A1068" s="121">
        <v>44229</v>
      </c>
      <c r="B1068" s="9">
        <v>835.90002400000003</v>
      </c>
      <c r="C1068" s="39">
        <f t="shared" si="2"/>
        <v>-2.8034309573515825E-3</v>
      </c>
      <c r="E1068" s="121">
        <v>44229</v>
      </c>
      <c r="F1068" s="9">
        <v>14647.849609000001</v>
      </c>
      <c r="G1068" s="39">
        <f t="shared" si="1"/>
        <v>-9.6079151130635809E-3</v>
      </c>
    </row>
    <row r="1069" spans="1:7" ht="14.25" customHeight="1" x14ac:dyDescent="0.25">
      <c r="A1069" s="121">
        <v>44230</v>
      </c>
      <c r="B1069" s="9">
        <v>838.25</v>
      </c>
      <c r="C1069" s="39">
        <f t="shared" si="2"/>
        <v>-4.0988617688174633E-3</v>
      </c>
      <c r="E1069" s="121">
        <v>44230</v>
      </c>
      <c r="F1069" s="9">
        <v>14789.950194999999</v>
      </c>
      <c r="G1069" s="39">
        <f t="shared" si="1"/>
        <v>-7.0960443636528536E-3</v>
      </c>
    </row>
    <row r="1070" spans="1:7" ht="14.25" customHeight="1" x14ac:dyDescent="0.25">
      <c r="A1070" s="121">
        <v>44231</v>
      </c>
      <c r="B1070" s="9">
        <v>841.70001200000002</v>
      </c>
      <c r="C1070" s="39">
        <f t="shared" si="2"/>
        <v>-4.6556384864835265E-2</v>
      </c>
      <c r="E1070" s="121">
        <v>44231</v>
      </c>
      <c r="F1070" s="9">
        <v>14895.650390999999</v>
      </c>
      <c r="G1070" s="39">
        <f t="shared" si="1"/>
        <v>-1.9163180059299512E-3</v>
      </c>
    </row>
    <row r="1071" spans="1:7" ht="14.25" customHeight="1" x14ac:dyDescent="0.25">
      <c r="A1071" s="121">
        <v>44232</v>
      </c>
      <c r="B1071" s="9">
        <v>882.79998799999998</v>
      </c>
      <c r="C1071" s="39">
        <f t="shared" si="2"/>
        <v>9.433423032646493E-3</v>
      </c>
      <c r="E1071" s="121">
        <v>44232</v>
      </c>
      <c r="F1071" s="9">
        <v>14924.25</v>
      </c>
      <c r="G1071" s="39">
        <f t="shared" si="1"/>
        <v>-1.2672158104173881E-2</v>
      </c>
    </row>
    <row r="1072" spans="1:7" ht="14.25" customHeight="1" x14ac:dyDescent="0.25">
      <c r="A1072" s="121">
        <v>44235</v>
      </c>
      <c r="B1072" s="9">
        <v>874.54998799999998</v>
      </c>
      <c r="C1072" s="39">
        <f t="shared" si="2"/>
        <v>-4.9494093539813599E-3</v>
      </c>
      <c r="E1072" s="121">
        <v>44235</v>
      </c>
      <c r="F1072" s="9">
        <v>15115.799805000001</v>
      </c>
      <c r="G1072" s="39">
        <f t="shared" si="1"/>
        <v>4.3019862494553252E-4</v>
      </c>
    </row>
    <row r="1073" spans="1:7" ht="14.25" customHeight="1" x14ac:dyDescent="0.25">
      <c r="A1073" s="121">
        <v>44236</v>
      </c>
      <c r="B1073" s="9">
        <v>878.90002400000003</v>
      </c>
      <c r="C1073" s="39">
        <f t="shared" si="2"/>
        <v>-1.6780400041694121E-2</v>
      </c>
      <c r="E1073" s="121">
        <v>44236</v>
      </c>
      <c r="F1073" s="9">
        <v>15109.299805000001</v>
      </c>
      <c r="G1073" s="39">
        <f t="shared" si="1"/>
        <v>1.8533776851037409E-4</v>
      </c>
    </row>
    <row r="1074" spans="1:7" ht="14.25" customHeight="1" x14ac:dyDescent="0.25">
      <c r="A1074" s="121">
        <v>44237</v>
      </c>
      <c r="B1074" s="9">
        <v>893.90002400000003</v>
      </c>
      <c r="C1074" s="39">
        <f t="shared" si="2"/>
        <v>5.5991498958185559E-5</v>
      </c>
      <c r="E1074" s="121">
        <v>44237</v>
      </c>
      <c r="F1074" s="9">
        <v>15106.5</v>
      </c>
      <c r="G1074" s="39">
        <f t="shared" si="1"/>
        <v>-4.4024573335055273E-3</v>
      </c>
    </row>
    <row r="1075" spans="1:7" ht="14.25" customHeight="1" x14ac:dyDescent="0.25">
      <c r="A1075" s="121">
        <v>44238</v>
      </c>
      <c r="B1075" s="9">
        <v>893.84997599999997</v>
      </c>
      <c r="C1075" s="39">
        <f t="shared" si="2"/>
        <v>2.3765892303724057E-2</v>
      </c>
      <c r="E1075" s="121">
        <v>44238</v>
      </c>
      <c r="F1075" s="9">
        <v>15173.299805000001</v>
      </c>
      <c r="G1075" s="39">
        <f t="shared" si="1"/>
        <v>6.5948705945273467E-4</v>
      </c>
    </row>
    <row r="1076" spans="1:7" ht="14.25" customHeight="1" x14ac:dyDescent="0.25">
      <c r="A1076" s="121">
        <v>44239</v>
      </c>
      <c r="B1076" s="9">
        <v>873.09997599999997</v>
      </c>
      <c r="C1076" s="39">
        <f t="shared" si="2"/>
        <v>-1.1440338948138784E-3</v>
      </c>
      <c r="E1076" s="121">
        <v>44239</v>
      </c>
      <c r="F1076" s="9">
        <v>15163.299805000001</v>
      </c>
      <c r="G1076" s="39">
        <f t="shared" si="1"/>
        <v>-9.885951933256143E-3</v>
      </c>
    </row>
    <row r="1077" spans="1:7" ht="14.25" customHeight="1" x14ac:dyDescent="0.25">
      <c r="A1077" s="121">
        <v>44242</v>
      </c>
      <c r="B1077" s="9">
        <v>874.09997599999997</v>
      </c>
      <c r="C1077" s="39">
        <f t="shared" si="2"/>
        <v>-6.2887781959297673E-4</v>
      </c>
      <c r="E1077" s="121">
        <v>44242</v>
      </c>
      <c r="F1077" s="9">
        <v>15314.700194999999</v>
      </c>
      <c r="G1077" s="39">
        <f t="shared" si="1"/>
        <v>8.1627587779520283E-5</v>
      </c>
    </row>
    <row r="1078" spans="1:7" ht="14.25" customHeight="1" x14ac:dyDescent="0.25">
      <c r="A1078" s="121">
        <v>44243</v>
      </c>
      <c r="B1078" s="9">
        <v>874.65002400000003</v>
      </c>
      <c r="C1078" s="39">
        <f t="shared" si="2"/>
        <v>1.0688698571147626E-2</v>
      </c>
      <c r="E1078" s="121">
        <v>44243</v>
      </c>
      <c r="F1078" s="9">
        <v>15313.450194999999</v>
      </c>
      <c r="G1078" s="39">
        <f t="shared" si="1"/>
        <v>6.874251347051219E-3</v>
      </c>
    </row>
    <row r="1079" spans="1:7" ht="14.25" customHeight="1" x14ac:dyDescent="0.25">
      <c r="A1079" s="121">
        <v>44244</v>
      </c>
      <c r="B1079" s="9">
        <v>865.40002400000003</v>
      </c>
      <c r="C1079" s="39">
        <f t="shared" si="2"/>
        <v>-1.2325939114458673E-2</v>
      </c>
      <c r="E1079" s="121">
        <v>44244</v>
      </c>
      <c r="F1079" s="9">
        <v>15208.900390999999</v>
      </c>
      <c r="G1079" s="39">
        <f t="shared" si="1"/>
        <v>5.9495001200378095E-3</v>
      </c>
    </row>
    <row r="1080" spans="1:7" ht="14.25" customHeight="1" x14ac:dyDescent="0.25">
      <c r="A1080" s="121">
        <v>44245</v>
      </c>
      <c r="B1080" s="9">
        <v>876.20001200000002</v>
      </c>
      <c r="C1080" s="39">
        <f t="shared" si="2"/>
        <v>2.4598410039677887E-3</v>
      </c>
      <c r="E1080" s="121">
        <v>44245</v>
      </c>
      <c r="F1080" s="9">
        <v>15118.950194999999</v>
      </c>
      <c r="G1080" s="39">
        <f t="shared" si="1"/>
        <v>9.1578216830476844E-3</v>
      </c>
    </row>
    <row r="1081" spans="1:7" ht="14.25" customHeight="1" x14ac:dyDescent="0.25">
      <c r="A1081" s="121">
        <v>44246</v>
      </c>
      <c r="B1081" s="9">
        <v>874.04998799999998</v>
      </c>
      <c r="C1081" s="39">
        <f t="shared" si="2"/>
        <v>1.9894968494749143E-2</v>
      </c>
      <c r="E1081" s="121">
        <v>44246</v>
      </c>
      <c r="F1081" s="9">
        <v>14981.75</v>
      </c>
      <c r="G1081" s="39">
        <f t="shared" si="1"/>
        <v>2.0854187598099871E-2</v>
      </c>
    </row>
    <row r="1082" spans="1:7" ht="14.25" customHeight="1" x14ac:dyDescent="0.25">
      <c r="A1082" s="121">
        <v>44249</v>
      </c>
      <c r="B1082" s="9">
        <v>857</v>
      </c>
      <c r="C1082" s="39">
        <f t="shared" si="2"/>
        <v>-2.1410219811590081E-2</v>
      </c>
      <c r="E1082" s="121">
        <v>44249</v>
      </c>
      <c r="F1082" s="9">
        <v>14675.700194999999</v>
      </c>
      <c r="G1082" s="39">
        <f t="shared" si="1"/>
        <v>-2.182488912385705E-3</v>
      </c>
    </row>
    <row r="1083" spans="1:7" ht="14.25" customHeight="1" x14ac:dyDescent="0.25">
      <c r="A1083" s="121">
        <v>44250</v>
      </c>
      <c r="B1083" s="9">
        <v>875.75</v>
      </c>
      <c r="C1083" s="39">
        <f t="shared" si="2"/>
        <v>-3.6973833902161912E-3</v>
      </c>
      <c r="E1083" s="121">
        <v>44250</v>
      </c>
      <c r="F1083" s="9">
        <v>14707.799805000001</v>
      </c>
      <c r="G1083" s="39">
        <f t="shared" si="1"/>
        <v>-1.8301975370444534E-2</v>
      </c>
    </row>
    <row r="1084" spans="1:7" ht="14.25" customHeight="1" x14ac:dyDescent="0.25">
      <c r="A1084" s="121">
        <v>44251</v>
      </c>
      <c r="B1084" s="9">
        <v>879</v>
      </c>
      <c r="C1084" s="39">
        <f t="shared" si="2"/>
        <v>1.0925819436457651E-2</v>
      </c>
      <c r="E1084" s="121">
        <v>44251</v>
      </c>
      <c r="F1084" s="9">
        <v>14982</v>
      </c>
      <c r="G1084" s="39">
        <f t="shared" si="1"/>
        <v>-7.6403880142801306E-3</v>
      </c>
    </row>
    <row r="1085" spans="1:7" ht="14.25" customHeight="1" x14ac:dyDescent="0.25">
      <c r="A1085" s="121">
        <v>44252</v>
      </c>
      <c r="B1085" s="9">
        <v>869.5</v>
      </c>
      <c r="C1085" s="39">
        <f t="shared" si="2"/>
        <v>1.7137538060830515E-2</v>
      </c>
      <c r="E1085" s="121">
        <v>44252</v>
      </c>
      <c r="F1085" s="9">
        <v>15097.349609000001</v>
      </c>
      <c r="G1085" s="39">
        <f t="shared" si="1"/>
        <v>3.9107532285712177E-2</v>
      </c>
    </row>
    <row r="1086" spans="1:7" ht="14.25" customHeight="1" x14ac:dyDescent="0.25">
      <c r="A1086" s="121">
        <v>44253</v>
      </c>
      <c r="B1086" s="9">
        <v>854.84997599999997</v>
      </c>
      <c r="C1086" s="39">
        <f t="shared" si="2"/>
        <v>1.9559858984175227E-2</v>
      </c>
      <c r="E1086" s="121">
        <v>44253</v>
      </c>
      <c r="F1086" s="9">
        <v>14529.150390999999</v>
      </c>
      <c r="G1086" s="39">
        <f t="shared" si="1"/>
        <v>-1.5743564671053978E-2</v>
      </c>
    </row>
    <row r="1087" spans="1:7" ht="14.25" customHeight="1" x14ac:dyDescent="0.25">
      <c r="A1087" s="121">
        <v>44256</v>
      </c>
      <c r="B1087" s="9">
        <v>838.45001200000002</v>
      </c>
      <c r="C1087" s="39">
        <f t="shared" si="2"/>
        <v>1.7323918757468082E-3</v>
      </c>
      <c r="E1087" s="121">
        <v>44256</v>
      </c>
      <c r="F1087" s="9">
        <v>14761.549805000001</v>
      </c>
      <c r="G1087" s="39">
        <f t="shared" si="1"/>
        <v>-1.0560275628494264E-2</v>
      </c>
    </row>
    <row r="1088" spans="1:7" ht="14.25" customHeight="1" x14ac:dyDescent="0.25">
      <c r="A1088" s="121">
        <v>44257</v>
      </c>
      <c r="B1088" s="9">
        <v>837</v>
      </c>
      <c r="C1088" s="39">
        <f t="shared" si="2"/>
        <v>-2.3243482592619769E-3</v>
      </c>
      <c r="E1088" s="121">
        <v>44257</v>
      </c>
      <c r="F1088" s="9">
        <v>14919.099609000001</v>
      </c>
      <c r="G1088" s="39">
        <f t="shared" si="1"/>
        <v>-2.1416015661808174E-2</v>
      </c>
    </row>
    <row r="1089" spans="1:7" ht="14.25" customHeight="1" x14ac:dyDescent="0.25">
      <c r="A1089" s="121">
        <v>44258</v>
      </c>
      <c r="B1089" s="9">
        <v>838.95001200000002</v>
      </c>
      <c r="C1089" s="39">
        <f t="shared" si="2"/>
        <v>-8.9317612156947224E-4</v>
      </c>
      <c r="E1089" s="121">
        <v>44258</v>
      </c>
      <c r="F1089" s="9">
        <v>15245.599609000001</v>
      </c>
      <c r="G1089" s="39">
        <f t="shared" si="1"/>
        <v>1.0931128027452219E-2</v>
      </c>
    </row>
    <row r="1090" spans="1:7" ht="14.25" customHeight="1" x14ac:dyDescent="0.25">
      <c r="A1090" s="121">
        <v>44259</v>
      </c>
      <c r="B1090" s="9">
        <v>839.70001200000002</v>
      </c>
      <c r="C1090" s="39">
        <f t="shared" si="2"/>
        <v>2.5670396165058396E-3</v>
      </c>
      <c r="E1090" s="121">
        <v>44259</v>
      </c>
      <c r="F1090" s="9">
        <v>15080.75</v>
      </c>
      <c r="G1090" s="39">
        <f t="shared" si="1"/>
        <v>9.5494336450971939E-3</v>
      </c>
    </row>
    <row r="1091" spans="1:7" ht="14.25" customHeight="1" x14ac:dyDescent="0.25">
      <c r="A1091" s="121">
        <v>44260</v>
      </c>
      <c r="B1091" s="9">
        <v>837.54998799999998</v>
      </c>
      <c r="C1091" s="39">
        <f t="shared" si="2"/>
        <v>-4.1022734839476493E-3</v>
      </c>
      <c r="E1091" s="121">
        <v>44260</v>
      </c>
      <c r="F1091" s="9">
        <v>14938.099609000001</v>
      </c>
      <c r="G1091" s="39">
        <f t="shared" si="1"/>
        <v>-1.2102396172826158E-3</v>
      </c>
    </row>
    <row r="1092" spans="1:7" ht="14.25" customHeight="1" x14ac:dyDescent="0.25">
      <c r="A1092" s="121">
        <v>44263</v>
      </c>
      <c r="B1092" s="9">
        <v>841</v>
      </c>
      <c r="C1092" s="39">
        <f t="shared" si="2"/>
        <v>-1.1886339656719258E-4</v>
      </c>
      <c r="E1092" s="121">
        <v>44263</v>
      </c>
      <c r="F1092" s="9">
        <v>14956.200194999999</v>
      </c>
      <c r="G1092" s="39">
        <f t="shared" si="1"/>
        <v>-9.4182292373676813E-3</v>
      </c>
    </row>
    <row r="1093" spans="1:7" ht="14.25" customHeight="1" x14ac:dyDescent="0.25">
      <c r="A1093" s="121">
        <v>44264</v>
      </c>
      <c r="B1093" s="9">
        <v>841.09997599999997</v>
      </c>
      <c r="C1093" s="39">
        <f t="shared" si="2"/>
        <v>-5.3805331648639765E-3</v>
      </c>
      <c r="E1093" s="121">
        <v>44264</v>
      </c>
      <c r="F1093" s="9">
        <v>15098.400390999999</v>
      </c>
      <c r="G1093" s="39">
        <f t="shared" si="1"/>
        <v>-5.0346241783584267E-3</v>
      </c>
    </row>
    <row r="1094" spans="1:7" ht="14.25" customHeight="1" x14ac:dyDescent="0.25">
      <c r="A1094" s="121">
        <v>44265</v>
      </c>
      <c r="B1094" s="9">
        <v>845.65002400000003</v>
      </c>
      <c r="C1094" s="39">
        <f t="shared" si="2"/>
        <v>-6.2866933019976035E-3</v>
      </c>
      <c r="E1094" s="121">
        <v>44265</v>
      </c>
      <c r="F1094" s="9">
        <v>15174.799805000001</v>
      </c>
      <c r="G1094" s="39">
        <f t="shared" si="1"/>
        <v>9.5702273065778609E-3</v>
      </c>
    </row>
    <row r="1095" spans="1:7" ht="14.25" customHeight="1" x14ac:dyDescent="0.25">
      <c r="A1095" s="121">
        <v>44267</v>
      </c>
      <c r="B1095" s="9">
        <v>851</v>
      </c>
      <c r="C1095" s="39">
        <f t="shared" si="2"/>
        <v>1.9894505659793671E-2</v>
      </c>
      <c r="E1095" s="121">
        <v>44267</v>
      </c>
      <c r="F1095" s="9">
        <v>15030.950194999999</v>
      </c>
      <c r="G1095" s="39">
        <f t="shared" si="1"/>
        <v>6.7952841689271626E-3</v>
      </c>
    </row>
    <row r="1096" spans="1:7" ht="14.25" customHeight="1" x14ac:dyDescent="0.25">
      <c r="A1096" s="121">
        <v>44270</v>
      </c>
      <c r="B1096" s="9">
        <v>834.40002400000003</v>
      </c>
      <c r="C1096" s="39">
        <f t="shared" si="2"/>
        <v>7.9121195746705286E-3</v>
      </c>
      <c r="E1096" s="121">
        <v>44270</v>
      </c>
      <c r="F1096" s="9">
        <v>14929.5</v>
      </c>
      <c r="G1096" s="39">
        <f t="shared" si="1"/>
        <v>1.2776143410069274E-3</v>
      </c>
    </row>
    <row r="1097" spans="1:7" ht="14.25" customHeight="1" x14ac:dyDescent="0.25">
      <c r="A1097" s="121">
        <v>44271</v>
      </c>
      <c r="B1097" s="9">
        <v>827.84997599999997</v>
      </c>
      <c r="C1097" s="39">
        <f t="shared" si="2"/>
        <v>5.2823023679415826E-3</v>
      </c>
      <c r="E1097" s="121">
        <v>44271</v>
      </c>
      <c r="F1097" s="9">
        <v>14910.450194999999</v>
      </c>
      <c r="G1097" s="39">
        <f t="shared" si="1"/>
        <v>1.2848756054526955E-2</v>
      </c>
    </row>
    <row r="1098" spans="1:7" ht="14.25" customHeight="1" x14ac:dyDescent="0.25">
      <c r="A1098" s="121">
        <v>44272</v>
      </c>
      <c r="B1098" s="9">
        <v>823.5</v>
      </c>
      <c r="C1098" s="39">
        <f t="shared" si="2"/>
        <v>-1.6657724998635492E-2</v>
      </c>
      <c r="E1098" s="121">
        <v>44272</v>
      </c>
      <c r="F1098" s="9">
        <v>14721.299805000001</v>
      </c>
      <c r="G1098" s="39">
        <f t="shared" si="1"/>
        <v>1.1227633228121148E-2</v>
      </c>
    </row>
    <row r="1099" spans="1:7" ht="14.25" customHeight="1" x14ac:dyDescent="0.25">
      <c r="A1099" s="121">
        <v>44273</v>
      </c>
      <c r="B1099" s="9">
        <v>837.45001200000002</v>
      </c>
      <c r="C1099" s="39">
        <f t="shared" si="2"/>
        <v>-1.447483142100614E-2</v>
      </c>
      <c r="E1099" s="121">
        <v>44273</v>
      </c>
      <c r="F1099" s="9">
        <v>14557.849609000001</v>
      </c>
      <c r="G1099" s="39">
        <f t="shared" si="1"/>
        <v>-1.2625501288659691E-2</v>
      </c>
    </row>
    <row r="1100" spans="1:7" ht="14.25" customHeight="1" x14ac:dyDescent="0.25">
      <c r="A1100" s="121">
        <v>44274</v>
      </c>
      <c r="B1100" s="9">
        <v>849.75</v>
      </c>
      <c r="C1100" s="39">
        <f t="shared" si="2"/>
        <v>-2.3724751184060255E-2</v>
      </c>
      <c r="E1100" s="121">
        <v>44274</v>
      </c>
      <c r="F1100" s="9">
        <v>14744</v>
      </c>
      <c r="G1100" s="39">
        <f t="shared" si="1"/>
        <v>5.1570321098504124E-4</v>
      </c>
    </row>
    <row r="1101" spans="1:7" ht="14.25" customHeight="1" x14ac:dyDescent="0.25">
      <c r="A1101" s="121">
        <v>44277</v>
      </c>
      <c r="B1101" s="9">
        <v>870.40002400000003</v>
      </c>
      <c r="C1101" s="39">
        <f t="shared" si="2"/>
        <v>0</v>
      </c>
      <c r="E1101" s="121">
        <v>44277</v>
      </c>
      <c r="F1101" s="9">
        <v>14736.400390999999</v>
      </c>
      <c r="G1101" s="39">
        <f t="shared" si="1"/>
        <v>-5.2886217452201567E-3</v>
      </c>
    </row>
    <row r="1102" spans="1:7" ht="14.25" customHeight="1" x14ac:dyDescent="0.25">
      <c r="A1102" s="121">
        <v>44278</v>
      </c>
      <c r="B1102" s="9">
        <v>870.40002400000003</v>
      </c>
      <c r="C1102" s="39">
        <f t="shared" si="2"/>
        <v>-8.5995647779545381E-3</v>
      </c>
      <c r="E1102" s="121">
        <v>44278</v>
      </c>
      <c r="F1102" s="9">
        <v>14814.75</v>
      </c>
      <c r="G1102" s="39">
        <f t="shared" si="1"/>
        <v>1.8237838114905536E-2</v>
      </c>
    </row>
    <row r="1103" spans="1:7" ht="14.25" customHeight="1" x14ac:dyDescent="0.25">
      <c r="A1103" s="121">
        <v>44279</v>
      </c>
      <c r="B1103" s="9">
        <v>877.95001200000002</v>
      </c>
      <c r="C1103" s="39">
        <f t="shared" si="2"/>
        <v>3.3368687383296347E-2</v>
      </c>
      <c r="E1103" s="121">
        <v>44279</v>
      </c>
      <c r="F1103" s="9">
        <v>14549.400390999999</v>
      </c>
      <c r="G1103" s="39">
        <f t="shared" si="1"/>
        <v>1.5672011244214135E-2</v>
      </c>
    </row>
    <row r="1104" spans="1:7" ht="14.25" customHeight="1" x14ac:dyDescent="0.25">
      <c r="A1104" s="121">
        <v>44280</v>
      </c>
      <c r="B1104" s="9">
        <v>849.59997599999997</v>
      </c>
      <c r="C1104" s="39">
        <f t="shared" si="2"/>
        <v>-3.5148500848085851E-2</v>
      </c>
      <c r="E1104" s="121">
        <v>44280</v>
      </c>
      <c r="F1104" s="9">
        <v>14324.900390999999</v>
      </c>
      <c r="G1104" s="39">
        <f t="shared" si="1"/>
        <v>-1.2572940275014988E-2</v>
      </c>
    </row>
    <row r="1105" spans="1:7" ht="14.25" customHeight="1" x14ac:dyDescent="0.25">
      <c r="A1105" s="121">
        <v>44281</v>
      </c>
      <c r="B1105" s="9">
        <v>880.54998799999998</v>
      </c>
      <c r="C1105" s="39">
        <f t="shared" si="2"/>
        <v>-1.9269050722584558E-3</v>
      </c>
      <c r="E1105" s="121">
        <v>44281</v>
      </c>
      <c r="F1105" s="9">
        <v>14507.299805000001</v>
      </c>
      <c r="G1105" s="39">
        <f t="shared" si="1"/>
        <v>-2.2754970522070872E-2</v>
      </c>
    </row>
    <row r="1106" spans="1:7" ht="14.25" customHeight="1" x14ac:dyDescent="0.25">
      <c r="A1106" s="121">
        <v>44285</v>
      </c>
      <c r="B1106" s="9">
        <v>882.25</v>
      </c>
      <c r="C1106" s="39">
        <f t="shared" si="2"/>
        <v>6.6750066633955996E-3</v>
      </c>
      <c r="E1106" s="121">
        <v>44285</v>
      </c>
      <c r="F1106" s="9">
        <v>14845.099609000001</v>
      </c>
      <c r="G1106" s="39">
        <f t="shared" si="1"/>
        <v>1.0510010547526649E-2</v>
      </c>
    </row>
    <row r="1107" spans="1:7" ht="14.25" customHeight="1" x14ac:dyDescent="0.25">
      <c r="A1107" s="121">
        <v>44286</v>
      </c>
      <c r="B1107" s="9">
        <v>876.40002400000003</v>
      </c>
      <c r="C1107" s="39">
        <f t="shared" si="2"/>
        <v>-3.0906123449711886E-2</v>
      </c>
      <c r="E1107" s="121">
        <v>44286</v>
      </c>
      <c r="F1107" s="9">
        <v>14690.700194999999</v>
      </c>
      <c r="G1107" s="39">
        <f t="shared" si="1"/>
        <v>-1.188170175893799E-2</v>
      </c>
    </row>
    <row r="1108" spans="1:7" ht="14.25" customHeight="1" x14ac:dyDescent="0.25">
      <c r="A1108" s="121">
        <v>44287</v>
      </c>
      <c r="B1108" s="9">
        <v>904.34997599999997</v>
      </c>
      <c r="C1108" s="39">
        <f t="shared" si="2"/>
        <v>-1.0558013129102872E-2</v>
      </c>
      <c r="E1108" s="121">
        <v>44287</v>
      </c>
      <c r="F1108" s="9">
        <v>14867.349609000001</v>
      </c>
      <c r="G1108" s="39">
        <f t="shared" si="1"/>
        <v>1.5681988212572051E-2</v>
      </c>
    </row>
    <row r="1109" spans="1:7" ht="14.25" customHeight="1" x14ac:dyDescent="0.25">
      <c r="A1109" s="121">
        <v>44291</v>
      </c>
      <c r="B1109" s="9">
        <v>914</v>
      </c>
      <c r="C1109" s="39">
        <f t="shared" si="2"/>
        <v>-3.941145559642667E-2</v>
      </c>
      <c r="E1109" s="121">
        <v>44291</v>
      </c>
      <c r="F1109" s="9">
        <v>14637.799805000001</v>
      </c>
      <c r="G1109" s="39">
        <f t="shared" si="1"/>
        <v>-3.1123502570912231E-3</v>
      </c>
    </row>
    <row r="1110" spans="1:7" ht="14.25" customHeight="1" x14ac:dyDescent="0.25">
      <c r="A1110" s="121">
        <v>44292</v>
      </c>
      <c r="B1110" s="9">
        <v>951.5</v>
      </c>
      <c r="C1110" s="39">
        <f t="shared" si="2"/>
        <v>5.388816431390886E-3</v>
      </c>
      <c r="E1110" s="121">
        <v>44292</v>
      </c>
      <c r="F1110" s="9">
        <v>14683.5</v>
      </c>
      <c r="G1110" s="39">
        <f t="shared" si="1"/>
        <v>-9.1469970601127937E-3</v>
      </c>
    </row>
    <row r="1111" spans="1:7" ht="14.25" customHeight="1" x14ac:dyDescent="0.25">
      <c r="A1111" s="121">
        <v>44293</v>
      </c>
      <c r="B1111" s="9">
        <v>946.40002400000003</v>
      </c>
      <c r="C1111" s="39">
        <f t="shared" si="2"/>
        <v>-5.5167339542881999E-3</v>
      </c>
      <c r="E1111" s="121">
        <v>44293</v>
      </c>
      <c r="F1111" s="9">
        <v>14819.049805000001</v>
      </c>
      <c r="G1111" s="39">
        <f t="shared" si="1"/>
        <v>-3.6809692693050566E-3</v>
      </c>
    </row>
    <row r="1112" spans="1:7" ht="14.25" customHeight="1" x14ac:dyDescent="0.25">
      <c r="A1112" s="121">
        <v>44294</v>
      </c>
      <c r="B1112" s="9">
        <v>951.65002400000003</v>
      </c>
      <c r="C1112" s="39">
        <f t="shared" si="2"/>
        <v>6.8772150822058453E-3</v>
      </c>
      <c r="E1112" s="121">
        <v>44294</v>
      </c>
      <c r="F1112" s="9">
        <v>14873.799805000001</v>
      </c>
      <c r="G1112" s="39">
        <f t="shared" si="1"/>
        <v>2.6255875203728962E-3</v>
      </c>
    </row>
    <row r="1113" spans="1:7" ht="14.25" customHeight="1" x14ac:dyDescent="0.25">
      <c r="A1113" s="121">
        <v>44295</v>
      </c>
      <c r="B1113" s="9">
        <v>945.15002400000003</v>
      </c>
      <c r="C1113" s="39">
        <f t="shared" si="2"/>
        <v>5.976346855897674E-2</v>
      </c>
      <c r="E1113" s="121">
        <v>44295</v>
      </c>
      <c r="F1113" s="9">
        <v>14834.849609000001</v>
      </c>
      <c r="G1113" s="39">
        <f t="shared" si="1"/>
        <v>3.6619183493637131E-2</v>
      </c>
    </row>
    <row r="1114" spans="1:7" ht="14.25" customHeight="1" x14ac:dyDescent="0.25">
      <c r="A1114" s="121">
        <v>44298</v>
      </c>
      <c r="B1114" s="9">
        <v>891.84997599999997</v>
      </c>
      <c r="C1114" s="39">
        <f t="shared" si="2"/>
        <v>-1.1197999740145348E-2</v>
      </c>
      <c r="E1114" s="121">
        <v>44298</v>
      </c>
      <c r="F1114" s="9">
        <v>14310.799805000001</v>
      </c>
      <c r="G1114" s="39">
        <f t="shared" si="1"/>
        <v>-1.3374882977228331E-2</v>
      </c>
    </row>
    <row r="1115" spans="1:7" ht="14.25" customHeight="1" x14ac:dyDescent="0.25">
      <c r="A1115" s="121">
        <v>44299</v>
      </c>
      <c r="B1115" s="9">
        <v>901.95001200000002</v>
      </c>
      <c r="C1115" s="39">
        <f t="shared" si="2"/>
        <v>-3.3701524861878829E-3</v>
      </c>
      <c r="E1115" s="121">
        <v>44299</v>
      </c>
      <c r="F1115" s="9">
        <v>14504.799805000001</v>
      </c>
      <c r="G1115" s="39">
        <f t="shared" si="1"/>
        <v>-5.256705538539852E-3</v>
      </c>
    </row>
    <row r="1116" spans="1:7" ht="14.25" customHeight="1" x14ac:dyDescent="0.25">
      <c r="A1116" s="121">
        <v>44301</v>
      </c>
      <c r="B1116" s="9">
        <v>905</v>
      </c>
      <c r="C1116" s="39">
        <f t="shared" si="2"/>
        <v>1.4062398824865374E-2</v>
      </c>
      <c r="E1116" s="121">
        <v>44301</v>
      </c>
      <c r="F1116" s="9">
        <v>14581.450194999999</v>
      </c>
      <c r="G1116" s="39">
        <f t="shared" si="1"/>
        <v>-2.4900662528085649E-3</v>
      </c>
    </row>
    <row r="1117" spans="1:7" ht="14.25" customHeight="1" x14ac:dyDescent="0.25">
      <c r="A1117" s="121">
        <v>44302</v>
      </c>
      <c r="B1117" s="9">
        <v>892.45001200000002</v>
      </c>
      <c r="C1117" s="39">
        <f t="shared" si="2"/>
        <v>1.8778552511415469E-2</v>
      </c>
      <c r="E1117" s="121">
        <v>44302</v>
      </c>
      <c r="F1117" s="9">
        <v>14617.849609000001</v>
      </c>
      <c r="G1117" s="39">
        <f t="shared" si="1"/>
        <v>1.7995077143690086E-2</v>
      </c>
    </row>
    <row r="1118" spans="1:7" ht="14.25" customHeight="1" x14ac:dyDescent="0.25">
      <c r="A1118" s="121">
        <v>44305</v>
      </c>
      <c r="B1118" s="9">
        <v>876</v>
      </c>
      <c r="C1118" s="39">
        <f t="shared" si="2"/>
        <v>-1.6835016835016869E-2</v>
      </c>
      <c r="E1118" s="121">
        <v>44305</v>
      </c>
      <c r="F1118" s="9">
        <v>14359.450194999999</v>
      </c>
      <c r="G1118" s="39">
        <f t="shared" si="1"/>
        <v>4.4101873391635404E-3</v>
      </c>
    </row>
    <row r="1119" spans="1:7" ht="14.25" customHeight="1" x14ac:dyDescent="0.25">
      <c r="A1119" s="121">
        <v>44306</v>
      </c>
      <c r="B1119" s="9">
        <v>891</v>
      </c>
      <c r="C1119" s="39">
        <f t="shared" si="2"/>
        <v>-1.5251976329601846E-2</v>
      </c>
      <c r="E1119" s="121">
        <v>44306</v>
      </c>
      <c r="F1119" s="9">
        <v>14296.400390999999</v>
      </c>
      <c r="G1119" s="39">
        <f t="shared" si="1"/>
        <v>-7.6182739330948879E-3</v>
      </c>
    </row>
    <row r="1120" spans="1:7" ht="14.25" customHeight="1" x14ac:dyDescent="0.25">
      <c r="A1120" s="121">
        <v>44308</v>
      </c>
      <c r="B1120" s="9">
        <v>904.79998799999998</v>
      </c>
      <c r="C1120" s="39">
        <f t="shared" si="2"/>
        <v>2.5036791321579877E-2</v>
      </c>
      <c r="E1120" s="121">
        <v>44308</v>
      </c>
      <c r="F1120" s="9">
        <v>14406.150390999999</v>
      </c>
      <c r="G1120" s="39">
        <f t="shared" si="1"/>
        <v>4.5184577300403372E-3</v>
      </c>
    </row>
    <row r="1121" spans="1:7" ht="14.25" customHeight="1" x14ac:dyDescent="0.25">
      <c r="A1121" s="121">
        <v>44309</v>
      </c>
      <c r="B1121" s="9">
        <v>882.70001200000002</v>
      </c>
      <c r="C1121" s="39">
        <f t="shared" si="2"/>
        <v>2.5977842300770826E-2</v>
      </c>
      <c r="E1121" s="121">
        <v>44309</v>
      </c>
      <c r="F1121" s="9">
        <v>14341.349609000001</v>
      </c>
      <c r="G1121" s="39">
        <f t="shared" si="1"/>
        <v>-9.9171826717293632E-3</v>
      </c>
    </row>
    <row r="1122" spans="1:7" ht="14.25" customHeight="1" x14ac:dyDescent="0.25">
      <c r="A1122" s="121">
        <v>44312</v>
      </c>
      <c r="B1122" s="9">
        <v>860.34997599999997</v>
      </c>
      <c r="C1122" s="39">
        <f t="shared" si="2"/>
        <v>-8.7097900464927491E-4</v>
      </c>
      <c r="E1122" s="121">
        <v>44312</v>
      </c>
      <c r="F1122" s="9">
        <v>14485</v>
      </c>
      <c r="G1122" s="39">
        <f t="shared" si="1"/>
        <v>-1.1468588944716362E-2</v>
      </c>
    </row>
    <row r="1123" spans="1:7" ht="14.25" customHeight="1" x14ac:dyDescent="0.25">
      <c r="A1123" s="121">
        <v>44313</v>
      </c>
      <c r="B1123" s="9">
        <v>861.09997599999997</v>
      </c>
      <c r="C1123" s="39">
        <f t="shared" si="2"/>
        <v>-8.8628131979210378E-3</v>
      </c>
      <c r="E1123" s="121">
        <v>44313</v>
      </c>
      <c r="F1123" s="9">
        <v>14653.049805000001</v>
      </c>
      <c r="G1123" s="39">
        <f t="shared" si="1"/>
        <v>-1.4228483389981839E-2</v>
      </c>
    </row>
    <row r="1124" spans="1:7" ht="14.25" customHeight="1" x14ac:dyDescent="0.25">
      <c r="A1124" s="121">
        <v>44314</v>
      </c>
      <c r="B1124" s="9">
        <v>868.79998799999998</v>
      </c>
      <c r="C1124" s="39">
        <f t="shared" si="2"/>
        <v>8.6400554157939347E-4</v>
      </c>
      <c r="E1124" s="121">
        <v>44314</v>
      </c>
      <c r="F1124" s="9">
        <v>14864.549805000001</v>
      </c>
      <c r="G1124" s="39">
        <f t="shared" si="1"/>
        <v>-2.0376494775579124E-3</v>
      </c>
    </row>
    <row r="1125" spans="1:7" ht="14.25" customHeight="1" x14ac:dyDescent="0.25">
      <c r="A1125" s="121">
        <v>44315</v>
      </c>
      <c r="B1125" s="9">
        <v>868.04998799999998</v>
      </c>
      <c r="C1125" s="39">
        <f t="shared" si="2"/>
        <v>-7.8861922456892053E-3</v>
      </c>
      <c r="E1125" s="121">
        <v>44315</v>
      </c>
      <c r="F1125" s="9">
        <v>14894.900390999999</v>
      </c>
      <c r="G1125" s="39">
        <f t="shared" si="1"/>
        <v>1.8030140525987948E-2</v>
      </c>
    </row>
    <row r="1126" spans="1:7" ht="14.25" customHeight="1" x14ac:dyDescent="0.25">
      <c r="A1126" s="121">
        <v>44316</v>
      </c>
      <c r="B1126" s="9">
        <v>874.95001200000002</v>
      </c>
      <c r="C1126" s="39">
        <f t="shared" si="2"/>
        <v>-3.9276091823057246E-3</v>
      </c>
      <c r="E1126" s="121">
        <v>44316</v>
      </c>
      <c r="F1126" s="9">
        <v>14631.099609000001</v>
      </c>
      <c r="G1126" s="39">
        <f t="shared" si="1"/>
        <v>-2.0847004564572558E-4</v>
      </c>
    </row>
    <row r="1127" spans="1:7" ht="14.25" customHeight="1" x14ac:dyDescent="0.25">
      <c r="A1127" s="121">
        <v>44319</v>
      </c>
      <c r="B1127" s="9">
        <v>878.40002400000003</v>
      </c>
      <c r="C1127" s="39">
        <f t="shared" si="2"/>
        <v>-1.2645422015972407E-2</v>
      </c>
      <c r="E1127" s="121">
        <v>44319</v>
      </c>
      <c r="F1127" s="9">
        <v>14634.150390999999</v>
      </c>
      <c r="G1127" s="39">
        <f t="shared" si="1"/>
        <v>9.4954224123062758E-3</v>
      </c>
    </row>
    <row r="1128" spans="1:7" ht="14.25" customHeight="1" x14ac:dyDescent="0.25">
      <c r="A1128" s="121">
        <v>44320</v>
      </c>
      <c r="B1128" s="9">
        <v>889.65002400000003</v>
      </c>
      <c r="C1128" s="39">
        <f t="shared" si="2"/>
        <v>-9.1881053340967522E-3</v>
      </c>
      <c r="E1128" s="121">
        <v>44320</v>
      </c>
      <c r="F1128" s="9">
        <v>14496.5</v>
      </c>
      <c r="G1128" s="39">
        <f t="shared" si="1"/>
        <v>-8.3014678797411756E-3</v>
      </c>
    </row>
    <row r="1129" spans="1:7" ht="14.25" customHeight="1" x14ac:dyDescent="0.25">
      <c r="A1129" s="121">
        <v>44321</v>
      </c>
      <c r="B1129" s="9">
        <v>897.90002400000003</v>
      </c>
      <c r="C1129" s="39">
        <f t="shared" si="2"/>
        <v>4.2501376825896386E-3</v>
      </c>
      <c r="E1129" s="121">
        <v>44321</v>
      </c>
      <c r="F1129" s="9">
        <v>14617.849609000001</v>
      </c>
      <c r="G1129" s="39">
        <f t="shared" si="1"/>
        <v>-7.2632699538422996E-3</v>
      </c>
    </row>
    <row r="1130" spans="1:7" ht="14.25" customHeight="1" x14ac:dyDescent="0.25">
      <c r="A1130" s="121">
        <v>44322</v>
      </c>
      <c r="B1130" s="9">
        <v>894.09997599999997</v>
      </c>
      <c r="C1130" s="39">
        <f t="shared" si="2"/>
        <v>1.3948727792452598E-2</v>
      </c>
      <c r="E1130" s="121">
        <v>44322</v>
      </c>
      <c r="F1130" s="9">
        <v>14724.799805000001</v>
      </c>
      <c r="G1130" s="39">
        <f t="shared" si="1"/>
        <v>-6.6349314016076466E-3</v>
      </c>
    </row>
    <row r="1131" spans="1:7" ht="14.25" customHeight="1" x14ac:dyDescent="0.25">
      <c r="A1131" s="121">
        <v>44323</v>
      </c>
      <c r="B1131" s="9">
        <v>881.79998799999998</v>
      </c>
      <c r="C1131" s="39">
        <f t="shared" si="2"/>
        <v>-1.5738403418102842E-2</v>
      </c>
      <c r="E1131" s="121">
        <v>44323</v>
      </c>
      <c r="F1131" s="9">
        <v>14823.150390999999</v>
      </c>
      <c r="G1131" s="39">
        <f t="shared" si="1"/>
        <v>-7.9772740645960294E-3</v>
      </c>
    </row>
    <row r="1132" spans="1:7" ht="14.25" customHeight="1" x14ac:dyDescent="0.25">
      <c r="A1132" s="121">
        <v>44326</v>
      </c>
      <c r="B1132" s="9">
        <v>895.90002400000003</v>
      </c>
      <c r="C1132" s="39">
        <f t="shared" si="2"/>
        <v>3.7533315164866021E-3</v>
      </c>
      <c r="E1132" s="121">
        <v>44326</v>
      </c>
      <c r="F1132" s="9">
        <v>14942.349609000001</v>
      </c>
      <c r="G1132" s="39">
        <f t="shared" si="1"/>
        <v>6.1680123226099948E-3</v>
      </c>
    </row>
    <row r="1133" spans="1:7" ht="14.25" customHeight="1" x14ac:dyDescent="0.25">
      <c r="A1133" s="121">
        <v>44327</v>
      </c>
      <c r="B1133" s="9">
        <v>892.54998799999998</v>
      </c>
      <c r="C1133" s="39">
        <f t="shared" si="2"/>
        <v>-6.4009797136944657E-3</v>
      </c>
      <c r="E1133" s="121">
        <v>44327</v>
      </c>
      <c r="F1133" s="9">
        <v>14850.75</v>
      </c>
      <c r="G1133" s="39">
        <f t="shared" si="1"/>
        <v>1.0495696254210207E-2</v>
      </c>
    </row>
    <row r="1134" spans="1:7" ht="14.25" customHeight="1" x14ac:dyDescent="0.25">
      <c r="A1134" s="121">
        <v>44328</v>
      </c>
      <c r="B1134" s="9">
        <v>898.29998799999998</v>
      </c>
      <c r="C1134" s="39">
        <f t="shared" si="2"/>
        <v>-2.9284671814531982E-2</v>
      </c>
      <c r="E1134" s="121">
        <v>44328</v>
      </c>
      <c r="F1134" s="9">
        <v>14696.5</v>
      </c>
      <c r="G1134" s="39">
        <f t="shared" si="1"/>
        <v>1.274046195508749E-3</v>
      </c>
    </row>
    <row r="1135" spans="1:7" ht="14.25" customHeight="1" x14ac:dyDescent="0.25">
      <c r="A1135" s="121">
        <v>44330</v>
      </c>
      <c r="B1135" s="9">
        <v>925.40002400000003</v>
      </c>
      <c r="C1135" s="39">
        <f t="shared" si="2"/>
        <v>1.748215942825726E-2</v>
      </c>
      <c r="E1135" s="121">
        <v>44330</v>
      </c>
      <c r="F1135" s="9">
        <v>14677.799805000001</v>
      </c>
      <c r="G1135" s="39">
        <f t="shared" si="1"/>
        <v>-1.6440937708968373E-2</v>
      </c>
    </row>
    <row r="1136" spans="1:7" ht="14.25" customHeight="1" x14ac:dyDescent="0.25">
      <c r="A1136" s="121">
        <v>44333</v>
      </c>
      <c r="B1136" s="9">
        <v>909.5</v>
      </c>
      <c r="C1136" s="39">
        <f t="shared" si="2"/>
        <v>-9.0973211508804663E-3</v>
      </c>
      <c r="E1136" s="121">
        <v>44333</v>
      </c>
      <c r="F1136" s="9">
        <v>14923.150390999999</v>
      </c>
      <c r="G1136" s="39">
        <f t="shared" si="1"/>
        <v>-1.2241726146008824E-2</v>
      </c>
    </row>
    <row r="1137" spans="1:7" ht="14.25" customHeight="1" x14ac:dyDescent="0.25">
      <c r="A1137" s="121">
        <v>44334</v>
      </c>
      <c r="B1137" s="9">
        <v>917.84997599999997</v>
      </c>
      <c r="C1137" s="39">
        <f t="shared" si="2"/>
        <v>-9.2988818503023096E-2</v>
      </c>
      <c r="E1137" s="121">
        <v>44334</v>
      </c>
      <c r="F1137" s="9">
        <v>15108.099609000001</v>
      </c>
      <c r="G1137" s="39">
        <f t="shared" si="1"/>
        <v>5.1861901559333567E-3</v>
      </c>
    </row>
    <row r="1138" spans="1:7" ht="14.25" customHeight="1" x14ac:dyDescent="0.25">
      <c r="A1138" s="121">
        <v>44335</v>
      </c>
      <c r="B1138" s="9">
        <v>1011.950012</v>
      </c>
      <c r="C1138" s="39">
        <f t="shared" si="2"/>
        <v>-1.766734123766811E-2</v>
      </c>
      <c r="E1138" s="121">
        <v>44335</v>
      </c>
      <c r="F1138" s="9">
        <v>15030.150390999999</v>
      </c>
      <c r="G1138" s="39">
        <f t="shared" si="1"/>
        <v>8.325518002654908E-3</v>
      </c>
    </row>
    <row r="1139" spans="1:7" ht="14.25" customHeight="1" x14ac:dyDescent="0.25">
      <c r="A1139" s="121">
        <v>44336</v>
      </c>
      <c r="B1139" s="9">
        <v>1030.150024</v>
      </c>
      <c r="C1139" s="39">
        <f t="shared" si="2"/>
        <v>-4.9263231103597871E-3</v>
      </c>
      <c r="E1139" s="121">
        <v>44336</v>
      </c>
      <c r="F1139" s="9">
        <v>14906.049805000001</v>
      </c>
      <c r="G1139" s="39">
        <f t="shared" si="1"/>
        <v>-1.7742647819800395E-2</v>
      </c>
    </row>
    <row r="1140" spans="1:7" ht="14.25" customHeight="1" x14ac:dyDescent="0.25">
      <c r="A1140" s="121">
        <v>44337</v>
      </c>
      <c r="B1140" s="9">
        <v>1035.25</v>
      </c>
      <c r="C1140" s="39">
        <f t="shared" si="2"/>
        <v>2.9549013222147646E-3</v>
      </c>
      <c r="E1140" s="121">
        <v>44337</v>
      </c>
      <c r="F1140" s="9">
        <v>15175.299805000001</v>
      </c>
      <c r="G1140" s="39">
        <f t="shared" si="1"/>
        <v>-1.4739328788291317E-3</v>
      </c>
    </row>
    <row r="1141" spans="1:7" ht="14.25" customHeight="1" x14ac:dyDescent="0.25">
      <c r="A1141" s="121">
        <v>44340</v>
      </c>
      <c r="B1141" s="9">
        <v>1032.1999510000001</v>
      </c>
      <c r="C1141" s="39">
        <f t="shared" si="2"/>
        <v>-6.0910768810573224E-2</v>
      </c>
      <c r="E1141" s="121">
        <v>44340</v>
      </c>
      <c r="F1141" s="9">
        <v>15197.700194999999</v>
      </c>
      <c r="G1141" s="39">
        <f t="shared" si="1"/>
        <v>-7.0684388364139483E-4</v>
      </c>
    </row>
    <row r="1142" spans="1:7" ht="14.25" customHeight="1" x14ac:dyDescent="0.25">
      <c r="A1142" s="121">
        <v>44341</v>
      </c>
      <c r="B1142" s="9">
        <v>1099.150024</v>
      </c>
      <c r="C1142" s="39">
        <f t="shared" si="2"/>
        <v>-2.4051777837594823E-3</v>
      </c>
      <c r="E1142" s="121">
        <v>44341</v>
      </c>
      <c r="F1142" s="9">
        <v>15208.450194999999</v>
      </c>
      <c r="G1142" s="39">
        <f t="shared" si="1"/>
        <v>-6.0778552891926907E-3</v>
      </c>
    </row>
    <row r="1143" spans="1:7" ht="14.25" customHeight="1" x14ac:dyDescent="0.25">
      <c r="A1143" s="121">
        <v>44342</v>
      </c>
      <c r="B1143" s="9">
        <v>1101.8000489999999</v>
      </c>
      <c r="C1143" s="39">
        <f t="shared" si="2"/>
        <v>-2.0055967875966751E-2</v>
      </c>
      <c r="E1143" s="121">
        <v>44342</v>
      </c>
      <c r="F1143" s="9">
        <v>15301.450194999999</v>
      </c>
      <c r="G1143" s="39">
        <f t="shared" si="1"/>
        <v>-2.3731758315482798E-3</v>
      </c>
    </row>
    <row r="1144" spans="1:7" ht="14.25" customHeight="1" x14ac:dyDescent="0.25">
      <c r="A1144" s="121">
        <v>44343</v>
      </c>
      <c r="B1144" s="9">
        <v>1124.349976</v>
      </c>
      <c r="C1144" s="39">
        <f t="shared" si="2"/>
        <v>3.0331639668361721E-3</v>
      </c>
      <c r="E1144" s="121">
        <v>44343</v>
      </c>
      <c r="F1144" s="9">
        <v>15337.849609000001</v>
      </c>
      <c r="G1144" s="39">
        <f t="shared" si="1"/>
        <v>-6.336032465274255E-3</v>
      </c>
    </row>
    <row r="1145" spans="1:7" ht="14.25" customHeight="1" x14ac:dyDescent="0.25">
      <c r="A1145" s="121">
        <v>44344</v>
      </c>
      <c r="B1145" s="9">
        <v>1120.9499510000001</v>
      </c>
      <c r="C1145" s="39">
        <f t="shared" si="2"/>
        <v>-1.2770267846002104E-2</v>
      </c>
      <c r="E1145" s="121">
        <v>44344</v>
      </c>
      <c r="F1145" s="9">
        <v>15435.650390999999</v>
      </c>
      <c r="G1145" s="39">
        <f t="shared" si="1"/>
        <v>-9.4430664477115345E-3</v>
      </c>
    </row>
    <row r="1146" spans="1:7" ht="14.25" customHeight="1" x14ac:dyDescent="0.25">
      <c r="A1146" s="121">
        <v>44347</v>
      </c>
      <c r="B1146" s="9">
        <v>1135.4499510000001</v>
      </c>
      <c r="C1146" s="39">
        <f t="shared" si="2"/>
        <v>4.4187903199825573E-2</v>
      </c>
      <c r="E1146" s="121">
        <v>44347</v>
      </c>
      <c r="F1146" s="9">
        <v>15582.799805000001</v>
      </c>
      <c r="G1146" s="39">
        <f t="shared" si="1"/>
        <v>5.1045089998202897E-4</v>
      </c>
    </row>
    <row r="1147" spans="1:7" ht="14.25" customHeight="1" x14ac:dyDescent="0.25">
      <c r="A1147" s="121">
        <v>44348</v>
      </c>
      <c r="B1147" s="9">
        <v>1087.400024</v>
      </c>
      <c r="C1147" s="39">
        <f t="shared" si="2"/>
        <v>2.3579845216657791E-2</v>
      </c>
      <c r="E1147" s="121">
        <v>44348</v>
      </c>
      <c r="F1147" s="9">
        <v>15574.849609000001</v>
      </c>
      <c r="G1147" s="39">
        <f t="shared" si="1"/>
        <v>-8.6708310312544334E-5</v>
      </c>
    </row>
    <row r="1148" spans="1:7" ht="14.25" customHeight="1" x14ac:dyDescent="0.25">
      <c r="A1148" s="121">
        <v>44349</v>
      </c>
      <c r="B1148" s="9">
        <v>1062.349976</v>
      </c>
      <c r="C1148" s="39">
        <f t="shared" si="2"/>
        <v>-1.6297028379605005E-2</v>
      </c>
      <c r="E1148" s="121">
        <v>44349</v>
      </c>
      <c r="F1148" s="9">
        <v>15576.200194999999</v>
      </c>
      <c r="G1148" s="39">
        <f t="shared" si="1"/>
        <v>-7.275135152789991E-3</v>
      </c>
    </row>
    <row r="1149" spans="1:7" ht="14.25" customHeight="1" x14ac:dyDescent="0.25">
      <c r="A1149" s="121">
        <v>44350</v>
      </c>
      <c r="B1149" s="9">
        <v>1079.9499510000001</v>
      </c>
      <c r="C1149" s="39">
        <f t="shared" si="2"/>
        <v>3.5777112590513749E-3</v>
      </c>
      <c r="E1149" s="121">
        <v>44350</v>
      </c>
      <c r="F1149" s="9">
        <v>15690.349609000001</v>
      </c>
      <c r="G1149" s="39">
        <f t="shared" si="1"/>
        <v>1.2826603915061519E-3</v>
      </c>
    </row>
    <row r="1150" spans="1:7" ht="14.25" customHeight="1" x14ac:dyDescent="0.25">
      <c r="A1150" s="121">
        <v>44351</v>
      </c>
      <c r="B1150" s="9">
        <v>1076.099976</v>
      </c>
      <c r="C1150" s="39">
        <f t="shared" si="2"/>
        <v>1.8584626409490212E-4</v>
      </c>
      <c r="E1150" s="121">
        <v>44351</v>
      </c>
      <c r="F1150" s="9">
        <v>15670.25</v>
      </c>
      <c r="G1150" s="39">
        <f t="shared" si="1"/>
        <v>-5.1677372833585089E-3</v>
      </c>
    </row>
    <row r="1151" spans="1:7" ht="14.25" customHeight="1" x14ac:dyDescent="0.25">
      <c r="A1151" s="121">
        <v>44354</v>
      </c>
      <c r="B1151" s="9">
        <v>1075.900024</v>
      </c>
      <c r="C1151" s="39">
        <f t="shared" si="2"/>
        <v>-5.6376857670978886E-3</v>
      </c>
      <c r="E1151" s="121">
        <v>44354</v>
      </c>
      <c r="F1151" s="9">
        <v>15751.650390999999</v>
      </c>
      <c r="G1151" s="39">
        <f t="shared" si="1"/>
        <v>7.33844275889739E-4</v>
      </c>
    </row>
    <row r="1152" spans="1:7" ht="14.25" customHeight="1" x14ac:dyDescent="0.25">
      <c r="A1152" s="121">
        <v>44355</v>
      </c>
      <c r="B1152" s="9">
        <v>1082</v>
      </c>
      <c r="C1152" s="39">
        <f t="shared" si="2"/>
        <v>-4.8745045168299139E-3</v>
      </c>
      <c r="E1152" s="121">
        <v>44355</v>
      </c>
      <c r="F1152" s="9">
        <v>15740.099609000001</v>
      </c>
      <c r="G1152" s="39">
        <f t="shared" si="1"/>
        <v>6.6995623775309987E-3</v>
      </c>
    </row>
    <row r="1153" spans="1:7" ht="14.25" customHeight="1" x14ac:dyDescent="0.25">
      <c r="A1153" s="121">
        <v>44356</v>
      </c>
      <c r="B1153" s="9">
        <v>1087.3000489999999</v>
      </c>
      <c r="C1153" s="39">
        <f t="shared" si="2"/>
        <v>-1.6196075636633944E-2</v>
      </c>
      <c r="E1153" s="121">
        <v>44356</v>
      </c>
      <c r="F1153" s="9">
        <v>15635.349609000001</v>
      </c>
      <c r="G1153" s="39">
        <f t="shared" si="1"/>
        <v>-6.5066728725515777E-3</v>
      </c>
    </row>
    <row r="1154" spans="1:7" ht="14.25" customHeight="1" x14ac:dyDescent="0.25">
      <c r="A1154" s="121">
        <v>44357</v>
      </c>
      <c r="B1154" s="9">
        <v>1105.1999510000001</v>
      </c>
      <c r="C1154" s="39">
        <f t="shared" si="2"/>
        <v>7.4289245120848779E-3</v>
      </c>
      <c r="E1154" s="121">
        <v>44357</v>
      </c>
      <c r="F1154" s="9">
        <v>15737.75</v>
      </c>
      <c r="G1154" s="39">
        <f t="shared" si="1"/>
        <v>-3.8988699234119295E-3</v>
      </c>
    </row>
    <row r="1155" spans="1:7" ht="14.25" customHeight="1" x14ac:dyDescent="0.25">
      <c r="A1155" s="121">
        <v>44358</v>
      </c>
      <c r="B1155" s="9">
        <v>1097.0500489999999</v>
      </c>
      <c r="C1155" s="39">
        <f t="shared" si="2"/>
        <v>-4.0851525576030001E-3</v>
      </c>
      <c r="E1155" s="121">
        <v>44358</v>
      </c>
      <c r="F1155" s="9">
        <v>15799.349609000001</v>
      </c>
      <c r="G1155" s="39">
        <f t="shared" si="1"/>
        <v>-7.9054635030706422E-4</v>
      </c>
    </row>
    <row r="1156" spans="1:7" ht="14.25" customHeight="1" x14ac:dyDescent="0.25">
      <c r="A1156" s="121">
        <v>44361</v>
      </c>
      <c r="B1156" s="9">
        <v>1101.5500489999999</v>
      </c>
      <c r="C1156" s="39">
        <f t="shared" si="2"/>
        <v>-6.5385999996470101E-3</v>
      </c>
      <c r="E1156" s="121">
        <v>44361</v>
      </c>
      <c r="F1156" s="9">
        <v>15811.849609000001</v>
      </c>
      <c r="G1156" s="39">
        <f t="shared" si="1"/>
        <v>-3.6170827858909016E-3</v>
      </c>
    </row>
    <row r="1157" spans="1:7" ht="14.25" customHeight="1" x14ac:dyDescent="0.25">
      <c r="A1157" s="121">
        <v>44362</v>
      </c>
      <c r="B1157" s="9">
        <v>1108.8000489999999</v>
      </c>
      <c r="C1157" s="39">
        <f t="shared" si="2"/>
        <v>8.0000445454544433E-3</v>
      </c>
      <c r="E1157" s="121">
        <v>44362</v>
      </c>
      <c r="F1157" s="9">
        <v>15869.25</v>
      </c>
      <c r="G1157" s="39">
        <f t="shared" si="1"/>
        <v>6.4499682105174649E-3</v>
      </c>
    </row>
    <row r="1158" spans="1:7" ht="14.25" customHeight="1" x14ac:dyDescent="0.25">
      <c r="A1158" s="121">
        <v>44363</v>
      </c>
      <c r="B1158" s="9">
        <v>1100</v>
      </c>
      <c r="C1158" s="39">
        <f t="shared" si="2"/>
        <v>5.4573038648575434E-4</v>
      </c>
      <c r="E1158" s="121">
        <v>44363</v>
      </c>
      <c r="F1158" s="9">
        <v>15767.549805000001</v>
      </c>
      <c r="G1158" s="39">
        <f t="shared" si="1"/>
        <v>4.8529393236105278E-3</v>
      </c>
    </row>
    <row r="1159" spans="1:7" ht="14.25" customHeight="1" x14ac:dyDescent="0.25">
      <c r="A1159" s="121">
        <v>44364</v>
      </c>
      <c r="B1159" s="9">
        <v>1099.400024</v>
      </c>
      <c r="C1159" s="39">
        <f t="shared" si="2"/>
        <v>-2.3102896255136396E-2</v>
      </c>
      <c r="E1159" s="121">
        <v>44364</v>
      </c>
      <c r="F1159" s="9">
        <v>15691.400390999999</v>
      </c>
      <c r="G1159" s="39">
        <f t="shared" si="1"/>
        <v>5.1333306982948024E-4</v>
      </c>
    </row>
    <row r="1160" spans="1:7" ht="14.25" customHeight="1" x14ac:dyDescent="0.25">
      <c r="A1160" s="121">
        <v>44365</v>
      </c>
      <c r="B1160" s="9">
        <v>1125.400024</v>
      </c>
      <c r="C1160" s="39">
        <f t="shared" si="2"/>
        <v>1.6575560442434911E-2</v>
      </c>
      <c r="E1160" s="121">
        <v>44365</v>
      </c>
      <c r="F1160" s="9">
        <v>15683.349609000001</v>
      </c>
      <c r="G1160" s="39">
        <f t="shared" si="1"/>
        <v>-4.0104398437748046E-3</v>
      </c>
    </row>
    <row r="1161" spans="1:7" ht="14.25" customHeight="1" x14ac:dyDescent="0.25">
      <c r="A1161" s="121">
        <v>44368</v>
      </c>
      <c r="B1161" s="9">
        <v>1107.0500489999999</v>
      </c>
      <c r="C1161" s="39">
        <f t="shared" si="2"/>
        <v>-1.1728488547375626E-3</v>
      </c>
      <c r="E1161" s="121">
        <v>44368</v>
      </c>
      <c r="F1161" s="9">
        <v>15746.5</v>
      </c>
      <c r="G1161" s="39">
        <f t="shared" si="1"/>
        <v>-1.6642627316099112E-3</v>
      </c>
    </row>
    <row r="1162" spans="1:7" ht="14.25" customHeight="1" x14ac:dyDescent="0.25">
      <c r="A1162" s="121">
        <v>44369</v>
      </c>
      <c r="B1162" s="9">
        <v>1108.349976</v>
      </c>
      <c r="C1162" s="39">
        <f t="shared" si="2"/>
        <v>-5.672342468085112E-2</v>
      </c>
      <c r="E1162" s="121">
        <v>44369</v>
      </c>
      <c r="F1162" s="9">
        <v>15772.75</v>
      </c>
      <c r="G1162" s="39">
        <f t="shared" si="1"/>
        <v>5.469501970328583E-3</v>
      </c>
    </row>
    <row r="1163" spans="1:7" ht="14.25" customHeight="1" x14ac:dyDescent="0.25">
      <c r="A1163" s="121">
        <v>44370</v>
      </c>
      <c r="B1163" s="9">
        <v>1175</v>
      </c>
      <c r="C1163" s="39">
        <f t="shared" si="2"/>
        <v>-1.2065393945911107E-2</v>
      </c>
      <c r="E1163" s="121">
        <v>44370</v>
      </c>
      <c r="F1163" s="9">
        <v>15686.950194999999</v>
      </c>
      <c r="G1163" s="39">
        <f t="shared" si="1"/>
        <v>-6.5545946266163391E-3</v>
      </c>
    </row>
    <row r="1164" spans="1:7" ht="14.25" customHeight="1" x14ac:dyDescent="0.25">
      <c r="A1164" s="121">
        <v>44371</v>
      </c>
      <c r="B1164" s="9">
        <v>1189.349976</v>
      </c>
      <c r="C1164" s="39">
        <f t="shared" si="2"/>
        <v>5.1977901070754395E-3</v>
      </c>
      <c r="E1164" s="121">
        <v>44371</v>
      </c>
      <c r="F1164" s="9">
        <v>15790.450194999999</v>
      </c>
      <c r="G1164" s="39">
        <f t="shared" si="1"/>
        <v>-4.4071798997631362E-3</v>
      </c>
    </row>
    <row r="1165" spans="1:7" ht="14.25" customHeight="1" x14ac:dyDescent="0.25">
      <c r="A1165" s="121">
        <v>44372</v>
      </c>
      <c r="B1165" s="9">
        <v>1183.1999510000001</v>
      </c>
      <c r="C1165" s="39">
        <f t="shared" si="2"/>
        <v>9.6423984713562838E-3</v>
      </c>
      <c r="E1165" s="121">
        <v>44372</v>
      </c>
      <c r="F1165" s="9">
        <v>15860.349609000001</v>
      </c>
      <c r="G1165" s="39">
        <f t="shared" si="1"/>
        <v>2.8865178243742129E-3</v>
      </c>
    </row>
    <row r="1166" spans="1:7" ht="14.25" customHeight="1" x14ac:dyDescent="0.25">
      <c r="A1166" s="121">
        <v>44375</v>
      </c>
      <c r="B1166" s="9">
        <v>1171.900024</v>
      </c>
      <c r="C1166" s="39">
        <f t="shared" si="2"/>
        <v>1.6303918473067558E-2</v>
      </c>
      <c r="E1166" s="121">
        <v>44375</v>
      </c>
      <c r="F1166" s="9">
        <v>15814.700194999999</v>
      </c>
      <c r="G1166" s="39">
        <f t="shared" si="1"/>
        <v>4.2067631531790273E-3</v>
      </c>
    </row>
    <row r="1167" spans="1:7" ht="14.25" customHeight="1" x14ac:dyDescent="0.25">
      <c r="A1167" s="121">
        <v>44376</v>
      </c>
      <c r="B1167" s="9">
        <v>1153.099976</v>
      </c>
      <c r="C1167" s="39">
        <f t="shared" si="2"/>
        <v>9.9832896299156815E-4</v>
      </c>
      <c r="E1167" s="121">
        <v>44376</v>
      </c>
      <c r="F1167" s="9">
        <v>15748.450194999999</v>
      </c>
      <c r="G1167" s="39">
        <f t="shared" si="1"/>
        <v>1.7142254237827448E-3</v>
      </c>
    </row>
    <row r="1168" spans="1:7" ht="14.25" customHeight="1" x14ac:dyDescent="0.25">
      <c r="A1168" s="121">
        <v>44377</v>
      </c>
      <c r="B1168" s="9">
        <v>1151.9499510000001</v>
      </c>
      <c r="C1168" s="39">
        <f t="shared" si="2"/>
        <v>1.1325140639188991E-2</v>
      </c>
      <c r="E1168" s="121">
        <v>44377</v>
      </c>
      <c r="F1168" s="9">
        <v>15721.5</v>
      </c>
      <c r="G1168" s="39">
        <f t="shared" si="1"/>
        <v>2.6466836734693189E-3</v>
      </c>
    </row>
    <row r="1169" spans="1:7" ht="14.25" customHeight="1" x14ac:dyDescent="0.25">
      <c r="A1169" s="121">
        <v>44378</v>
      </c>
      <c r="B1169" s="9">
        <v>1139.0500489999999</v>
      </c>
      <c r="C1169" s="39">
        <f t="shared" si="2"/>
        <v>-4.8452443612071572E-2</v>
      </c>
      <c r="E1169" s="121">
        <v>44378</v>
      </c>
      <c r="F1169" s="9">
        <v>15680</v>
      </c>
      <c r="G1169" s="39">
        <f t="shared" si="1"/>
        <v>-2.6841151032678257E-3</v>
      </c>
    </row>
    <row r="1170" spans="1:7" ht="14.25" customHeight="1" x14ac:dyDescent="0.25">
      <c r="A1170" s="121">
        <v>44379</v>
      </c>
      <c r="B1170" s="9">
        <v>1197.0500489999999</v>
      </c>
      <c r="C1170" s="39">
        <f t="shared" si="2"/>
        <v>2.1348254499791164E-3</v>
      </c>
      <c r="E1170" s="121">
        <v>44379</v>
      </c>
      <c r="F1170" s="9">
        <v>15722.200194999999</v>
      </c>
      <c r="G1170" s="39">
        <f t="shared" si="1"/>
        <v>-7.0826662773858517E-3</v>
      </c>
    </row>
    <row r="1171" spans="1:7" ht="14.25" customHeight="1" x14ac:dyDescent="0.25">
      <c r="A1171" s="121">
        <v>44382</v>
      </c>
      <c r="B1171" s="9">
        <v>1194.5</v>
      </c>
      <c r="C1171" s="39">
        <f t="shared" si="2"/>
        <v>1.1473855423361545E-2</v>
      </c>
      <c r="E1171" s="121">
        <v>44382</v>
      </c>
      <c r="F1171" s="9">
        <v>15834.349609000001</v>
      </c>
      <c r="G1171" s="39">
        <f t="shared" si="1"/>
        <v>1.0177869865504174E-3</v>
      </c>
    </row>
    <row r="1172" spans="1:7" ht="14.25" customHeight="1" x14ac:dyDescent="0.25">
      <c r="A1172" s="121">
        <v>44383</v>
      </c>
      <c r="B1172" s="9">
        <v>1180.9499510000001</v>
      </c>
      <c r="C1172" s="39">
        <f t="shared" si="2"/>
        <v>3.4411818484252343E-3</v>
      </c>
      <c r="E1172" s="121">
        <v>44383</v>
      </c>
      <c r="F1172" s="9">
        <v>15818.25</v>
      </c>
      <c r="G1172" s="39">
        <f t="shared" si="1"/>
        <v>-3.8666084887358787E-3</v>
      </c>
    </row>
    <row r="1173" spans="1:7" ht="14.25" customHeight="1" x14ac:dyDescent="0.25">
      <c r="A1173" s="121">
        <v>44384</v>
      </c>
      <c r="B1173" s="9">
        <v>1176.900024</v>
      </c>
      <c r="C1173" s="39">
        <f t="shared" si="2"/>
        <v>3.8256876088738068E-4</v>
      </c>
      <c r="E1173" s="121">
        <v>44384</v>
      </c>
      <c r="F1173" s="9">
        <v>15879.650390999999</v>
      </c>
      <c r="G1173" s="39">
        <f t="shared" si="1"/>
        <v>9.6484588678369398E-3</v>
      </c>
    </row>
    <row r="1174" spans="1:7" ht="14.25" customHeight="1" x14ac:dyDescent="0.25">
      <c r="A1174" s="121">
        <v>44385</v>
      </c>
      <c r="B1174" s="9">
        <v>1176.4499510000001</v>
      </c>
      <c r="C1174" s="39">
        <f t="shared" si="2"/>
        <v>7.6227156237309579E-3</v>
      </c>
      <c r="E1174" s="121">
        <v>44385</v>
      </c>
      <c r="F1174" s="9">
        <v>15727.900390999999</v>
      </c>
      <c r="G1174" s="39">
        <f t="shared" si="1"/>
        <v>2.4283666122915104E-3</v>
      </c>
    </row>
    <row r="1175" spans="1:7" ht="14.25" customHeight="1" x14ac:dyDescent="0.25">
      <c r="A1175" s="121">
        <v>44386</v>
      </c>
      <c r="B1175" s="9">
        <v>1167.5500489999999</v>
      </c>
      <c r="C1175" s="39">
        <f t="shared" si="2"/>
        <v>5.5117985339678821E-3</v>
      </c>
      <c r="E1175" s="121">
        <v>44386</v>
      </c>
      <c r="F1175" s="9">
        <v>15689.799805000001</v>
      </c>
      <c r="G1175" s="39">
        <f t="shared" si="1"/>
        <v>-1.7841556337128139E-4</v>
      </c>
    </row>
    <row r="1176" spans="1:7" ht="14.25" customHeight="1" x14ac:dyDescent="0.25">
      <c r="A1176" s="121">
        <v>44389</v>
      </c>
      <c r="B1176" s="9">
        <v>1161.150024</v>
      </c>
      <c r="C1176" s="39">
        <f t="shared" si="2"/>
        <v>-6.4176612723878534E-3</v>
      </c>
      <c r="E1176" s="121">
        <v>44389</v>
      </c>
      <c r="F1176" s="9">
        <v>15692.599609000001</v>
      </c>
      <c r="G1176" s="39">
        <f t="shared" si="1"/>
        <v>-7.5731945574895043E-3</v>
      </c>
    </row>
    <row r="1177" spans="1:7" ht="14.25" customHeight="1" x14ac:dyDescent="0.25">
      <c r="A1177" s="121">
        <v>44390</v>
      </c>
      <c r="B1177" s="9">
        <v>1168.650024</v>
      </c>
      <c r="C1177" s="39">
        <f t="shared" si="2"/>
        <v>3.8224301557283624E-3</v>
      </c>
      <c r="E1177" s="121">
        <v>44390</v>
      </c>
      <c r="F1177" s="9">
        <v>15812.349609000001</v>
      </c>
      <c r="G1177" s="39">
        <f t="shared" si="1"/>
        <v>-2.6239886897789777E-3</v>
      </c>
    </row>
    <row r="1178" spans="1:7" ht="14.25" customHeight="1" x14ac:dyDescent="0.25">
      <c r="A1178" s="121">
        <v>44391</v>
      </c>
      <c r="B1178" s="9">
        <v>1164.1999510000001</v>
      </c>
      <c r="C1178" s="39">
        <f t="shared" si="2"/>
        <v>-3.2534666095890286E-3</v>
      </c>
      <c r="E1178" s="121">
        <v>44391</v>
      </c>
      <c r="F1178" s="9">
        <v>15853.950194999999</v>
      </c>
      <c r="G1178" s="39">
        <f t="shared" si="1"/>
        <v>-4.4115245437605921E-3</v>
      </c>
    </row>
    <row r="1179" spans="1:7" ht="14.25" customHeight="1" x14ac:dyDescent="0.25">
      <c r="A1179" s="121">
        <v>44392</v>
      </c>
      <c r="B1179" s="9">
        <v>1168</v>
      </c>
      <c r="C1179" s="39">
        <f t="shared" si="2"/>
        <v>7.2872671665076272E-3</v>
      </c>
      <c r="E1179" s="121">
        <v>44392</v>
      </c>
      <c r="F1179" s="9">
        <v>15924.200194999999</v>
      </c>
      <c r="G1179" s="39">
        <f t="shared" si="1"/>
        <v>5.0228216358361166E-5</v>
      </c>
    </row>
    <row r="1180" spans="1:7" ht="14.25" customHeight="1" x14ac:dyDescent="0.25">
      <c r="A1180" s="121">
        <v>44393</v>
      </c>
      <c r="B1180" s="9">
        <v>1159.5500489999999</v>
      </c>
      <c r="C1180" s="39">
        <f t="shared" si="2"/>
        <v>7.3366534560248553E-4</v>
      </c>
      <c r="E1180" s="121">
        <v>44393</v>
      </c>
      <c r="F1180" s="9">
        <v>15923.400390999999</v>
      </c>
      <c r="G1180" s="39">
        <f t="shared" si="1"/>
        <v>1.0855488417987447E-2</v>
      </c>
    </row>
    <row r="1181" spans="1:7" ht="14.25" customHeight="1" x14ac:dyDescent="0.25">
      <c r="A1181" s="121">
        <v>44396</v>
      </c>
      <c r="B1181" s="9">
        <v>1158.6999510000001</v>
      </c>
      <c r="C1181" s="39">
        <f t="shared" si="2"/>
        <v>9.0567809424522139E-3</v>
      </c>
      <c r="E1181" s="121">
        <v>44396</v>
      </c>
      <c r="F1181" s="9">
        <v>15752.400390999999</v>
      </c>
      <c r="G1181" s="39">
        <f t="shared" si="1"/>
        <v>7.6957532902832693E-3</v>
      </c>
    </row>
    <row r="1182" spans="1:7" ht="14.25" customHeight="1" x14ac:dyDescent="0.25">
      <c r="A1182" s="121">
        <v>44397</v>
      </c>
      <c r="B1182" s="9">
        <v>1148.3000489999999</v>
      </c>
      <c r="C1182" s="39">
        <f t="shared" si="2"/>
        <v>-2.134906678516868E-2</v>
      </c>
      <c r="E1182" s="121">
        <v>44397</v>
      </c>
      <c r="F1182" s="9">
        <v>15632.099609000001</v>
      </c>
      <c r="G1182" s="39">
        <f t="shared" si="1"/>
        <v>-1.2130282599296938E-2</v>
      </c>
    </row>
    <row r="1183" spans="1:7" ht="14.25" customHeight="1" x14ac:dyDescent="0.25">
      <c r="A1183" s="121">
        <v>44399</v>
      </c>
      <c r="B1183" s="9">
        <v>1173.349976</v>
      </c>
      <c r="C1183" s="39">
        <f t="shared" si="2"/>
        <v>3.0775601624277726E-3</v>
      </c>
      <c r="E1183" s="121">
        <v>44399</v>
      </c>
      <c r="F1183" s="9">
        <v>15824.049805000001</v>
      </c>
      <c r="G1183" s="39">
        <f t="shared" si="1"/>
        <v>-2.0181571320436742E-3</v>
      </c>
    </row>
    <row r="1184" spans="1:7" ht="14.25" customHeight="1" x14ac:dyDescent="0.25">
      <c r="A1184" s="121">
        <v>44400</v>
      </c>
      <c r="B1184" s="9">
        <v>1169.75</v>
      </c>
      <c r="C1184" s="39">
        <f t="shared" si="2"/>
        <v>-1.0614944159576867E-2</v>
      </c>
      <c r="E1184" s="121">
        <v>44400</v>
      </c>
      <c r="F1184" s="9">
        <v>15856.049805000001</v>
      </c>
      <c r="G1184" s="39">
        <f t="shared" si="1"/>
        <v>1.9968851751945849E-3</v>
      </c>
    </row>
    <row r="1185" spans="1:7" ht="14.25" customHeight="1" x14ac:dyDescent="0.25">
      <c r="A1185" s="121">
        <v>44403</v>
      </c>
      <c r="B1185" s="9">
        <v>1182.3000489999999</v>
      </c>
      <c r="C1185" s="39">
        <f t="shared" si="2"/>
        <v>9.7792827729450416E-3</v>
      </c>
      <c r="E1185" s="121">
        <v>44403</v>
      </c>
      <c r="F1185" s="9">
        <v>15824.450194999999</v>
      </c>
      <c r="G1185" s="39">
        <f t="shared" si="1"/>
        <v>4.9534973936391502E-3</v>
      </c>
    </row>
    <row r="1186" spans="1:7" ht="14.25" customHeight="1" x14ac:dyDescent="0.25">
      <c r="A1186" s="121">
        <v>44404</v>
      </c>
      <c r="B1186" s="9">
        <v>1170.849976</v>
      </c>
      <c r="C1186" s="39">
        <f t="shared" si="2"/>
        <v>9.571007544729504E-3</v>
      </c>
      <c r="E1186" s="121">
        <v>44404</v>
      </c>
      <c r="F1186" s="9">
        <v>15746.450194999999</v>
      </c>
      <c r="G1186" s="39">
        <f t="shared" si="1"/>
        <v>2.3584480042424527E-3</v>
      </c>
    </row>
    <row r="1187" spans="1:7" ht="14.25" customHeight="1" x14ac:dyDescent="0.25">
      <c r="A1187" s="121">
        <v>44405</v>
      </c>
      <c r="B1187" s="9">
        <v>1159.75</v>
      </c>
      <c r="C1187" s="39">
        <f t="shared" si="2"/>
        <v>4.2864139157998693E-3</v>
      </c>
      <c r="E1187" s="121">
        <v>44405</v>
      </c>
      <c r="F1187" s="9">
        <v>15709.400390999999</v>
      </c>
      <c r="G1187" s="39">
        <f t="shared" si="1"/>
        <v>-4.3762095229024078E-3</v>
      </c>
    </row>
    <row r="1188" spans="1:7" ht="14.25" customHeight="1" x14ac:dyDescent="0.25">
      <c r="A1188" s="121">
        <v>44406</v>
      </c>
      <c r="B1188" s="9">
        <v>1154.8000489999999</v>
      </c>
      <c r="C1188" s="39">
        <f t="shared" si="2"/>
        <v>4.1739556521738219E-3</v>
      </c>
      <c r="E1188" s="121">
        <v>44406</v>
      </c>
      <c r="F1188" s="9">
        <v>15778.450194999999</v>
      </c>
      <c r="G1188" s="39">
        <f t="shared" si="1"/>
        <v>9.7699304325704617E-4</v>
      </c>
    </row>
    <row r="1189" spans="1:7" ht="14.25" customHeight="1" x14ac:dyDescent="0.25">
      <c r="A1189" s="121">
        <v>44407</v>
      </c>
      <c r="B1189" s="9">
        <v>1150</v>
      </c>
      <c r="C1189" s="39">
        <f t="shared" si="2"/>
        <v>1.3060513713538668E-3</v>
      </c>
      <c r="E1189" s="121">
        <v>44407</v>
      </c>
      <c r="F1189" s="9">
        <v>15763.049805000001</v>
      </c>
      <c r="G1189" s="39">
        <f t="shared" si="1"/>
        <v>-7.6864608136902879E-3</v>
      </c>
    </row>
    <row r="1190" spans="1:7" ht="14.25" customHeight="1" x14ac:dyDescent="0.25">
      <c r="A1190" s="121">
        <v>44410</v>
      </c>
      <c r="B1190" s="9">
        <v>1148.5</v>
      </c>
      <c r="C1190" s="39">
        <f t="shared" si="2"/>
        <v>-1.4416929797966493E-2</v>
      </c>
      <c r="E1190" s="121">
        <v>44410</v>
      </c>
      <c r="F1190" s="9">
        <v>15885.150390999999</v>
      </c>
      <c r="G1190" s="39">
        <f t="shared" si="1"/>
        <v>-1.5225554236473871E-2</v>
      </c>
    </row>
    <row r="1191" spans="1:7" ht="14.25" customHeight="1" x14ac:dyDescent="0.25">
      <c r="A1191" s="121">
        <v>44411</v>
      </c>
      <c r="B1191" s="9">
        <v>1165.3000489999999</v>
      </c>
      <c r="C1191" s="39">
        <f t="shared" si="2"/>
        <v>9.4493905368664421E-4</v>
      </c>
      <c r="E1191" s="121">
        <v>44411</v>
      </c>
      <c r="F1191" s="9">
        <v>16130.75</v>
      </c>
      <c r="G1191" s="39">
        <f t="shared" si="1"/>
        <v>-7.8757230875443618E-3</v>
      </c>
    </row>
    <row r="1192" spans="1:7" ht="14.25" customHeight="1" x14ac:dyDescent="0.25">
      <c r="A1192" s="121">
        <v>44412</v>
      </c>
      <c r="B1192" s="9">
        <v>1164.1999510000001</v>
      </c>
      <c r="C1192" s="39">
        <f t="shared" si="2"/>
        <v>7.8344170124866608E-3</v>
      </c>
      <c r="E1192" s="121">
        <v>44412</v>
      </c>
      <c r="F1192" s="9">
        <v>16258.799805000001</v>
      </c>
      <c r="G1192" s="39">
        <f t="shared" si="1"/>
        <v>-2.1970348986192212E-3</v>
      </c>
    </row>
    <row r="1193" spans="1:7" ht="14.25" customHeight="1" x14ac:dyDescent="0.25">
      <c r="A1193" s="121">
        <v>44413</v>
      </c>
      <c r="B1193" s="9">
        <v>1155.150024</v>
      </c>
      <c r="C1193" s="39">
        <f t="shared" si="2"/>
        <v>1.2490139100917341E-2</v>
      </c>
      <c r="E1193" s="121">
        <v>44413</v>
      </c>
      <c r="F1193" s="9">
        <v>16294.599609000001</v>
      </c>
      <c r="G1193" s="39">
        <f t="shared" si="1"/>
        <v>3.4732552452068077E-3</v>
      </c>
    </row>
    <row r="1194" spans="1:7" ht="14.25" customHeight="1" x14ac:dyDescent="0.25">
      <c r="A1194" s="121">
        <v>44414</v>
      </c>
      <c r="B1194" s="9">
        <v>1140.900024</v>
      </c>
      <c r="C1194" s="39">
        <f t="shared" si="2"/>
        <v>-1.1694386451260197E-2</v>
      </c>
      <c r="E1194" s="121">
        <v>44414</v>
      </c>
      <c r="F1194" s="9">
        <v>16238.200194999999</v>
      </c>
      <c r="G1194" s="39">
        <f t="shared" si="1"/>
        <v>-1.233208063598501E-3</v>
      </c>
    </row>
    <row r="1195" spans="1:7" ht="14.25" customHeight="1" x14ac:dyDescent="0.25">
      <c r="A1195" s="121">
        <v>44417</v>
      </c>
      <c r="B1195" s="9">
        <v>1154.400024</v>
      </c>
      <c r="C1195" s="39">
        <f t="shared" si="2"/>
        <v>1.1256602381346958E-2</v>
      </c>
      <c r="E1195" s="121">
        <v>44417</v>
      </c>
      <c r="F1195" s="9">
        <v>16258.25</v>
      </c>
      <c r="G1195" s="39">
        <f t="shared" si="1"/>
        <v>-1.3421053632818314E-3</v>
      </c>
    </row>
    <row r="1196" spans="1:7" ht="14.25" customHeight="1" x14ac:dyDescent="0.25">
      <c r="A1196" s="121">
        <v>44418</v>
      </c>
      <c r="B1196" s="9">
        <v>1141.5500489999999</v>
      </c>
      <c r="C1196" s="39">
        <f t="shared" si="2"/>
        <v>-3.3176994627186485E-3</v>
      </c>
      <c r="E1196" s="121">
        <v>44418</v>
      </c>
      <c r="F1196" s="9">
        <v>16280.099609000001</v>
      </c>
      <c r="G1196" s="39">
        <f t="shared" si="1"/>
        <v>-1.3206964639400631E-4</v>
      </c>
    </row>
    <row r="1197" spans="1:7" ht="14.25" customHeight="1" x14ac:dyDescent="0.25">
      <c r="A1197" s="121">
        <v>44419</v>
      </c>
      <c r="B1197" s="9">
        <v>1145.349976</v>
      </c>
      <c r="C1197" s="39">
        <f t="shared" si="2"/>
        <v>-1.4667969414976612E-2</v>
      </c>
      <c r="E1197" s="121">
        <v>44419</v>
      </c>
      <c r="F1197" s="9">
        <v>16282.25</v>
      </c>
      <c r="G1197" s="39">
        <f t="shared" si="1"/>
        <v>-5.0200672824639581E-3</v>
      </c>
    </row>
    <row r="1198" spans="1:7" ht="14.25" customHeight="1" x14ac:dyDescent="0.25">
      <c r="A1198" s="121">
        <v>44420</v>
      </c>
      <c r="B1198" s="9">
        <v>1162.400024</v>
      </c>
      <c r="C1198" s="39">
        <f t="shared" si="2"/>
        <v>-1.4246885768400164E-2</v>
      </c>
      <c r="E1198" s="121">
        <v>44420</v>
      </c>
      <c r="F1198" s="9">
        <v>16364.400390999999</v>
      </c>
      <c r="G1198" s="39">
        <f t="shared" si="1"/>
        <v>-9.9641978024214151E-3</v>
      </c>
    </row>
    <row r="1199" spans="1:7" ht="14.25" customHeight="1" x14ac:dyDescent="0.25">
      <c r="A1199" s="121">
        <v>44421</v>
      </c>
      <c r="B1199" s="9">
        <v>1179.1999510000001</v>
      </c>
      <c r="C1199" s="39">
        <f t="shared" si="2"/>
        <v>-2.5293516912396674E-2</v>
      </c>
      <c r="E1199" s="121">
        <v>44421</v>
      </c>
      <c r="F1199" s="9">
        <v>16529.099609000001</v>
      </c>
      <c r="G1199" s="39">
        <f t="shared" si="1"/>
        <v>-2.0498139170681551E-3</v>
      </c>
    </row>
    <row r="1200" spans="1:7" ht="14.25" customHeight="1" x14ac:dyDescent="0.25">
      <c r="A1200" s="121">
        <v>44424</v>
      </c>
      <c r="B1200" s="9">
        <v>1209.8000489999999</v>
      </c>
      <c r="C1200" s="39">
        <f t="shared" si="2"/>
        <v>-1.0712220739967915E-2</v>
      </c>
      <c r="E1200" s="121">
        <v>44424</v>
      </c>
      <c r="F1200" s="9">
        <v>16563.050781000002</v>
      </c>
      <c r="G1200" s="39">
        <f t="shared" si="1"/>
        <v>-3.1026223449932555E-3</v>
      </c>
    </row>
    <row r="1201" spans="1:7" ht="14.25" customHeight="1" x14ac:dyDescent="0.25">
      <c r="A1201" s="121">
        <v>44425</v>
      </c>
      <c r="B1201" s="9">
        <v>1222.900024</v>
      </c>
      <c r="C1201" s="39">
        <f t="shared" si="2"/>
        <v>1.0535883772374355E-2</v>
      </c>
      <c r="E1201" s="121">
        <v>44425</v>
      </c>
      <c r="F1201" s="9">
        <v>16614.599609000001</v>
      </c>
      <c r="G1201" s="39">
        <f t="shared" si="1"/>
        <v>2.7612055803287738E-3</v>
      </c>
    </row>
    <row r="1202" spans="1:7" ht="14.25" customHeight="1" x14ac:dyDescent="0.25">
      <c r="A1202" s="121">
        <v>44426</v>
      </c>
      <c r="B1202" s="9">
        <v>1210.150024</v>
      </c>
      <c r="C1202" s="39">
        <f t="shared" si="2"/>
        <v>9.1731641411367804E-3</v>
      </c>
      <c r="E1202" s="121">
        <v>44426</v>
      </c>
      <c r="F1202" s="9">
        <v>16568.849609000001</v>
      </c>
      <c r="G1202" s="39">
        <f t="shared" si="1"/>
        <v>7.1942864350627023E-3</v>
      </c>
    </row>
    <row r="1203" spans="1:7" ht="14.25" customHeight="1" x14ac:dyDescent="0.25">
      <c r="A1203" s="121">
        <v>44428</v>
      </c>
      <c r="B1203" s="9">
        <v>1199.150024</v>
      </c>
      <c r="C1203" s="39">
        <f t="shared" si="2"/>
        <v>2.211905394121505E-2</v>
      </c>
      <c r="E1203" s="121">
        <v>44428</v>
      </c>
      <c r="F1203" s="9">
        <v>16450.5</v>
      </c>
      <c r="G1203" s="39">
        <f t="shared" si="1"/>
        <v>-2.7854005665095549E-3</v>
      </c>
    </row>
    <row r="1204" spans="1:7" ht="14.25" customHeight="1" x14ac:dyDescent="0.25">
      <c r="A1204" s="121">
        <v>44431</v>
      </c>
      <c r="B1204" s="9">
        <v>1173.1999510000001</v>
      </c>
      <c r="C1204" s="39">
        <f t="shared" si="2"/>
        <v>-1.1209480825958629E-2</v>
      </c>
      <c r="E1204" s="121">
        <v>44431</v>
      </c>
      <c r="F1204" s="9">
        <v>16496.449218999998</v>
      </c>
      <c r="G1204" s="39">
        <f t="shared" si="1"/>
        <v>-7.7084797838153918E-3</v>
      </c>
    </row>
    <row r="1205" spans="1:7" ht="14.25" customHeight="1" x14ac:dyDescent="0.25">
      <c r="A1205" s="121">
        <v>44432</v>
      </c>
      <c r="B1205" s="9">
        <v>1186.5</v>
      </c>
      <c r="C1205" s="39">
        <f t="shared" si="2"/>
        <v>1.4622862706560102E-2</v>
      </c>
      <c r="E1205" s="121">
        <v>44432</v>
      </c>
      <c r="F1205" s="9">
        <v>16624.599609000001</v>
      </c>
      <c r="G1205" s="39">
        <f t="shared" si="1"/>
        <v>-6.042075886029119E-4</v>
      </c>
    </row>
    <row r="1206" spans="1:7" ht="14.25" customHeight="1" x14ac:dyDescent="0.25">
      <c r="A1206" s="121">
        <v>44433</v>
      </c>
      <c r="B1206" s="9">
        <v>1169.400024</v>
      </c>
      <c r="C1206" s="39">
        <f t="shared" si="2"/>
        <v>8.9874440156623159E-4</v>
      </c>
      <c r="E1206" s="121">
        <v>44433</v>
      </c>
      <c r="F1206" s="9">
        <v>16634.650390999999</v>
      </c>
      <c r="G1206" s="39">
        <f t="shared" si="1"/>
        <v>-1.3524153821453666E-4</v>
      </c>
    </row>
    <row r="1207" spans="1:7" ht="14.25" customHeight="1" x14ac:dyDescent="0.25">
      <c r="A1207" s="121">
        <v>44434</v>
      </c>
      <c r="B1207" s="9">
        <v>1168.349976</v>
      </c>
      <c r="C1207" s="39">
        <f t="shared" si="2"/>
        <v>7.3285340137818622E-3</v>
      </c>
      <c r="E1207" s="121">
        <v>44434</v>
      </c>
      <c r="F1207" s="9">
        <v>16636.900390999999</v>
      </c>
      <c r="G1207" s="39">
        <f t="shared" si="1"/>
        <v>-4.0884773120405393E-3</v>
      </c>
    </row>
    <row r="1208" spans="1:7" ht="14.25" customHeight="1" x14ac:dyDescent="0.25">
      <c r="A1208" s="121">
        <v>44435</v>
      </c>
      <c r="B1208" s="9">
        <v>1159.849976</v>
      </c>
      <c r="C1208" s="39">
        <f t="shared" si="2"/>
        <v>-1.4487252657240157E-2</v>
      </c>
      <c r="E1208" s="121">
        <v>44435</v>
      </c>
      <c r="F1208" s="9">
        <v>16705.199218999998</v>
      </c>
      <c r="G1208" s="39">
        <f t="shared" si="1"/>
        <v>-1.3339488784326003E-2</v>
      </c>
    </row>
    <row r="1209" spans="1:7" ht="14.25" customHeight="1" x14ac:dyDescent="0.25">
      <c r="A1209" s="121">
        <v>44438</v>
      </c>
      <c r="B1209" s="9">
        <v>1176.900024</v>
      </c>
      <c r="C1209" s="39">
        <f t="shared" si="2"/>
        <v>-1.2253441879983229E-2</v>
      </c>
      <c r="E1209" s="121">
        <v>44438</v>
      </c>
      <c r="F1209" s="9">
        <v>16931.050781000002</v>
      </c>
      <c r="G1209" s="39">
        <f t="shared" si="1"/>
        <v>-1.1740958380691668E-2</v>
      </c>
    </row>
    <row r="1210" spans="1:7" ht="14.25" customHeight="1" x14ac:dyDescent="0.25">
      <c r="A1210" s="121">
        <v>44439</v>
      </c>
      <c r="B1210" s="9">
        <v>1191.5</v>
      </c>
      <c r="C1210" s="39">
        <f t="shared" si="2"/>
        <v>-3.6792573891611946E-3</v>
      </c>
      <c r="E1210" s="121">
        <v>44439</v>
      </c>
      <c r="F1210" s="9">
        <v>17132.199218999998</v>
      </c>
      <c r="G1210" s="39">
        <f t="shared" si="1"/>
        <v>3.2764347558742468E-3</v>
      </c>
    </row>
    <row r="1211" spans="1:7" ht="14.25" customHeight="1" x14ac:dyDescent="0.25">
      <c r="A1211" s="121">
        <v>44440</v>
      </c>
      <c r="B1211" s="9">
        <v>1195.900024</v>
      </c>
      <c r="C1211" s="39">
        <f t="shared" si="2"/>
        <v>-2.5022937191967465E-3</v>
      </c>
      <c r="E1211" s="121">
        <v>44440</v>
      </c>
      <c r="F1211" s="9">
        <v>17076.25</v>
      </c>
      <c r="G1211" s="39">
        <f t="shared" si="1"/>
        <v>-9.16206412370979E-3</v>
      </c>
    </row>
    <row r="1212" spans="1:7" ht="14.25" customHeight="1" x14ac:dyDescent="0.25">
      <c r="A1212" s="121">
        <v>44441</v>
      </c>
      <c r="B1212" s="9">
        <v>1198.900024</v>
      </c>
      <c r="C1212" s="39">
        <f t="shared" si="2"/>
        <v>-4.401201806725541E-3</v>
      </c>
      <c r="E1212" s="121">
        <v>44441</v>
      </c>
      <c r="F1212" s="9">
        <v>17234.150390999999</v>
      </c>
      <c r="G1212" s="39">
        <f t="shared" si="1"/>
        <v>-5.1634313894861616E-3</v>
      </c>
    </row>
    <row r="1213" spans="1:7" ht="14.25" customHeight="1" x14ac:dyDescent="0.25">
      <c r="A1213" s="121">
        <v>44442</v>
      </c>
      <c r="B1213" s="9">
        <v>1204.1999510000001</v>
      </c>
      <c r="C1213" s="39">
        <f t="shared" si="2"/>
        <v>9.1428395141135432E-4</v>
      </c>
      <c r="E1213" s="121">
        <v>44442</v>
      </c>
      <c r="F1213" s="9">
        <v>17323.599609000001</v>
      </c>
      <c r="G1213" s="39">
        <f t="shared" si="1"/>
        <v>-3.118989145005191E-3</v>
      </c>
    </row>
    <row r="1214" spans="1:7" ht="14.25" customHeight="1" x14ac:dyDescent="0.25">
      <c r="A1214" s="121">
        <v>44445</v>
      </c>
      <c r="B1214" s="9">
        <v>1203.099976</v>
      </c>
      <c r="C1214" s="39">
        <f t="shared" si="2"/>
        <v>1.6432181477318064E-2</v>
      </c>
      <c r="E1214" s="121">
        <v>44445</v>
      </c>
      <c r="F1214" s="9">
        <v>17377.800781000002</v>
      </c>
      <c r="G1214" s="39">
        <f t="shared" si="1"/>
        <v>9.0433601658768126E-4</v>
      </c>
    </row>
    <row r="1215" spans="1:7" ht="14.25" customHeight="1" x14ac:dyDescent="0.25">
      <c r="A1215" s="121">
        <v>44446</v>
      </c>
      <c r="B1215" s="9">
        <v>1183.650024</v>
      </c>
      <c r="C1215" s="39">
        <f t="shared" si="2"/>
        <v>2.4560863857718829E-3</v>
      </c>
      <c r="E1215" s="121">
        <v>44446</v>
      </c>
      <c r="F1215" s="9">
        <v>17362.099609000001</v>
      </c>
      <c r="G1215" s="39">
        <f t="shared" si="1"/>
        <v>4.9555472959350588E-4</v>
      </c>
    </row>
    <row r="1216" spans="1:7" ht="14.25" customHeight="1" x14ac:dyDescent="0.25">
      <c r="A1216" s="121">
        <v>44447</v>
      </c>
      <c r="B1216" s="9">
        <v>1180.75</v>
      </c>
      <c r="C1216" s="39">
        <f t="shared" si="2"/>
        <v>9.3245960888488355E-4</v>
      </c>
      <c r="E1216" s="121">
        <v>44447</v>
      </c>
      <c r="F1216" s="9">
        <v>17353.5</v>
      </c>
      <c r="G1216" s="39">
        <f t="shared" si="1"/>
        <v>-9.0677490392498949E-4</v>
      </c>
    </row>
    <row r="1217" spans="1:7" ht="14.25" customHeight="1" x14ac:dyDescent="0.25">
      <c r="A1217" s="121">
        <v>44448</v>
      </c>
      <c r="B1217" s="9">
        <v>1179.650024</v>
      </c>
      <c r="C1217" s="39">
        <f t="shared" si="2"/>
        <v>-1.4371017541800812E-2</v>
      </c>
      <c r="E1217" s="121">
        <v>44448</v>
      </c>
      <c r="F1217" s="9">
        <v>17369.25</v>
      </c>
      <c r="G1217" s="39">
        <f t="shared" si="1"/>
        <v>8.0374400743710162E-4</v>
      </c>
    </row>
    <row r="1218" spans="1:7" ht="14.25" customHeight="1" x14ac:dyDescent="0.25">
      <c r="A1218" s="121">
        <v>44452</v>
      </c>
      <c r="B1218" s="9">
        <v>1196.849976</v>
      </c>
      <c r="C1218" s="39">
        <f t="shared" si="2"/>
        <v>-7.4636150260204426E-3</v>
      </c>
      <c r="E1218" s="121">
        <v>44452</v>
      </c>
      <c r="F1218" s="9">
        <v>17355.300781000002</v>
      </c>
      <c r="G1218" s="39">
        <f t="shared" si="1"/>
        <v>-1.421128826236906E-3</v>
      </c>
    </row>
    <row r="1219" spans="1:7" ht="14.25" customHeight="1" x14ac:dyDescent="0.25">
      <c r="A1219" s="121">
        <v>44453</v>
      </c>
      <c r="B1219" s="9">
        <v>1205.849976</v>
      </c>
      <c r="C1219" s="39">
        <f t="shared" si="2"/>
        <v>6.04872363187825E-3</v>
      </c>
      <c r="E1219" s="121">
        <v>44453</v>
      </c>
      <c r="F1219" s="9">
        <v>17380</v>
      </c>
      <c r="G1219" s="39">
        <f t="shared" si="1"/>
        <v>-7.9596805388587599E-3</v>
      </c>
    </row>
    <row r="1220" spans="1:7" ht="14.25" customHeight="1" x14ac:dyDescent="0.25">
      <c r="A1220" s="121">
        <v>44454</v>
      </c>
      <c r="B1220" s="9">
        <v>1198.599976</v>
      </c>
      <c r="C1220" s="39">
        <f t="shared" si="2"/>
        <v>3.936637830237677E-3</v>
      </c>
      <c r="E1220" s="121">
        <v>44454</v>
      </c>
      <c r="F1220" s="9">
        <v>17519.449218999998</v>
      </c>
      <c r="G1220" s="39">
        <f t="shared" si="1"/>
        <v>-6.2424221333561292E-3</v>
      </c>
    </row>
    <row r="1221" spans="1:7" ht="14.25" customHeight="1" x14ac:dyDescent="0.25">
      <c r="A1221" s="121">
        <v>44455</v>
      </c>
      <c r="B1221" s="9">
        <v>1193.900024</v>
      </c>
      <c r="C1221" s="39">
        <f t="shared" si="2"/>
        <v>1.8903370172818512E-2</v>
      </c>
      <c r="E1221" s="121">
        <v>44455</v>
      </c>
      <c r="F1221" s="9">
        <v>17629.5</v>
      </c>
      <c r="G1221" s="39">
        <f t="shared" si="1"/>
        <v>2.5219920224679448E-3</v>
      </c>
    </row>
    <row r="1222" spans="1:7" ht="14.25" customHeight="1" x14ac:dyDescent="0.25">
      <c r="A1222" s="121">
        <v>44456</v>
      </c>
      <c r="B1222" s="9">
        <v>1171.75</v>
      </c>
      <c r="C1222" s="39">
        <f t="shared" si="2"/>
        <v>6.2258480034349528E-3</v>
      </c>
      <c r="E1222" s="121">
        <v>44456</v>
      </c>
      <c r="F1222" s="9">
        <v>17585.150390999999</v>
      </c>
      <c r="G1222" s="39">
        <f t="shared" si="1"/>
        <v>1.0820893134353193E-2</v>
      </c>
    </row>
    <row r="1223" spans="1:7" ht="14.25" customHeight="1" x14ac:dyDescent="0.25">
      <c r="A1223" s="121">
        <v>44459</v>
      </c>
      <c r="B1223" s="9">
        <v>1164.5</v>
      </c>
      <c r="C1223" s="39">
        <f t="shared" si="2"/>
        <v>8.9676175408544001E-3</v>
      </c>
      <c r="E1223" s="121">
        <v>44459</v>
      </c>
      <c r="F1223" s="9">
        <v>17396.900390999999</v>
      </c>
      <c r="G1223" s="39">
        <f t="shared" si="1"/>
        <v>-9.4009571233345524E-3</v>
      </c>
    </row>
    <row r="1224" spans="1:7" ht="14.25" customHeight="1" x14ac:dyDescent="0.25">
      <c r="A1224" s="121">
        <v>44460</v>
      </c>
      <c r="B1224" s="9">
        <v>1154.150024</v>
      </c>
      <c r="C1224" s="39">
        <f t="shared" si="2"/>
        <v>-5.9000654608095671E-3</v>
      </c>
      <c r="E1224" s="121">
        <v>44460</v>
      </c>
      <c r="F1224" s="9">
        <v>17562</v>
      </c>
      <c r="G1224" s="39">
        <f t="shared" si="1"/>
        <v>8.7478855838352132E-4</v>
      </c>
    </row>
    <row r="1225" spans="1:7" ht="14.25" customHeight="1" x14ac:dyDescent="0.25">
      <c r="A1225" s="121">
        <v>44461</v>
      </c>
      <c r="B1225" s="9">
        <v>1161</v>
      </c>
      <c r="C1225" s="39">
        <f t="shared" si="2"/>
        <v>-8.4550549125277374E-3</v>
      </c>
      <c r="E1225" s="121">
        <v>44461</v>
      </c>
      <c r="F1225" s="9">
        <v>17546.650390999999</v>
      </c>
      <c r="G1225" s="39">
        <f t="shared" si="1"/>
        <v>-1.5502419078064378E-2</v>
      </c>
    </row>
    <row r="1226" spans="1:7" ht="14.25" customHeight="1" x14ac:dyDescent="0.25">
      <c r="A1226" s="121">
        <v>44462</v>
      </c>
      <c r="B1226" s="9">
        <v>1170.900024</v>
      </c>
      <c r="C1226" s="39">
        <f t="shared" si="2"/>
        <v>8.0495670488325288E-3</v>
      </c>
      <c r="E1226" s="121">
        <v>44462</v>
      </c>
      <c r="F1226" s="9">
        <v>17822.949218999998</v>
      </c>
      <c r="G1226" s="39">
        <f t="shared" si="1"/>
        <v>-1.6943741919267508E-3</v>
      </c>
    </row>
    <row r="1227" spans="1:7" ht="14.25" customHeight="1" x14ac:dyDescent="0.25">
      <c r="A1227" s="121">
        <v>44463</v>
      </c>
      <c r="B1227" s="9">
        <v>1161.5500489999999</v>
      </c>
      <c r="C1227" s="39">
        <f t="shared" si="2"/>
        <v>6.2808625939856366E-3</v>
      </c>
      <c r="E1227" s="121">
        <v>44463</v>
      </c>
      <c r="F1227" s="9">
        <v>17853.199218999998</v>
      </c>
      <c r="G1227" s="39">
        <f t="shared" si="1"/>
        <v>-1.0643401838228428E-4</v>
      </c>
    </row>
    <row r="1228" spans="1:7" ht="14.25" customHeight="1" x14ac:dyDescent="0.25">
      <c r="A1228" s="121">
        <v>44466</v>
      </c>
      <c r="B1228" s="9">
        <v>1154.3000489999999</v>
      </c>
      <c r="C1228" s="39">
        <f t="shared" si="2"/>
        <v>0</v>
      </c>
      <c r="E1228" s="121">
        <v>44466</v>
      </c>
      <c r="F1228" s="9">
        <v>17855.099609000001</v>
      </c>
      <c r="G1228" s="39">
        <f t="shared" si="1"/>
        <v>6.0004734089553757E-3</v>
      </c>
    </row>
    <row r="1229" spans="1:7" ht="14.25" customHeight="1" x14ac:dyDescent="0.25">
      <c r="A1229" s="121">
        <v>44467</v>
      </c>
      <c r="B1229" s="9">
        <v>1154.3000489999999</v>
      </c>
      <c r="C1229" s="39">
        <f t="shared" si="2"/>
        <v>1.1656484662576627E-2</v>
      </c>
      <c r="E1229" s="121">
        <v>44467</v>
      </c>
      <c r="F1229" s="9">
        <v>17748.599609000001</v>
      </c>
      <c r="G1229" s="39">
        <f t="shared" si="1"/>
        <v>2.1059338589073384E-3</v>
      </c>
    </row>
    <row r="1230" spans="1:7" ht="14.25" customHeight="1" x14ac:dyDescent="0.25">
      <c r="A1230" s="121">
        <v>44468</v>
      </c>
      <c r="B1230" s="9">
        <v>1141</v>
      </c>
      <c r="C1230" s="39">
        <f t="shared" si="2"/>
        <v>-4.3862230270974578E-5</v>
      </c>
      <c r="E1230" s="121">
        <v>44468</v>
      </c>
      <c r="F1230" s="9">
        <v>17711.300781000002</v>
      </c>
      <c r="G1230" s="39">
        <f t="shared" si="1"/>
        <v>5.2871832702476862E-3</v>
      </c>
    </row>
    <row r="1231" spans="1:7" ht="14.25" customHeight="1" x14ac:dyDescent="0.25">
      <c r="A1231" s="121">
        <v>44469</v>
      </c>
      <c r="B1231" s="9">
        <v>1141.0500489999999</v>
      </c>
      <c r="C1231" s="39">
        <f t="shared" si="2"/>
        <v>-2.6075390599017978E-2</v>
      </c>
      <c r="E1231" s="121">
        <v>44469</v>
      </c>
      <c r="F1231" s="9">
        <v>17618.150390999999</v>
      </c>
      <c r="G1231" s="39">
        <f t="shared" si="1"/>
        <v>4.9109833798397506E-3</v>
      </c>
    </row>
    <row r="1232" spans="1:7" ht="14.25" customHeight="1" x14ac:dyDescent="0.25">
      <c r="A1232" s="121">
        <v>44470</v>
      </c>
      <c r="B1232" s="9">
        <v>1171.599976</v>
      </c>
      <c r="C1232" s="39">
        <f t="shared" si="2"/>
        <v>-2.9087574728840049E-2</v>
      </c>
      <c r="E1232" s="121">
        <v>44470</v>
      </c>
      <c r="F1232" s="9">
        <v>17532.050781000002</v>
      </c>
      <c r="G1232" s="39">
        <f t="shared" si="1"/>
        <v>-8.9987546951175723E-3</v>
      </c>
    </row>
    <row r="1233" spans="1:7" ht="14.25" customHeight="1" x14ac:dyDescent="0.25">
      <c r="A1233" s="121">
        <v>44473</v>
      </c>
      <c r="B1233" s="9">
        <v>1206.6999510000001</v>
      </c>
      <c r="C1233" s="39">
        <f t="shared" si="2"/>
        <v>5.6670779764897983E-3</v>
      </c>
      <c r="E1233" s="121">
        <v>44473</v>
      </c>
      <c r="F1233" s="9">
        <v>17691.25</v>
      </c>
      <c r="G1233" s="39">
        <f t="shared" si="1"/>
        <v>-7.353190960603273E-3</v>
      </c>
    </row>
    <row r="1234" spans="1:7" ht="14.25" customHeight="1" x14ac:dyDescent="0.25">
      <c r="A1234" s="121">
        <v>44474</v>
      </c>
      <c r="B1234" s="9">
        <v>1199.900024</v>
      </c>
      <c r="C1234" s="39">
        <f t="shared" si="2"/>
        <v>-3.9843340211109801E-3</v>
      </c>
      <c r="E1234" s="121">
        <v>44474</v>
      </c>
      <c r="F1234" s="9">
        <v>17822.300781000002</v>
      </c>
      <c r="G1234" s="39">
        <f t="shared" si="1"/>
        <v>9.990977048623062E-3</v>
      </c>
    </row>
    <row r="1235" spans="1:7" ht="14.25" customHeight="1" x14ac:dyDescent="0.25">
      <c r="A1235" s="121">
        <v>44475</v>
      </c>
      <c r="B1235" s="9">
        <v>1204.6999510000001</v>
      </c>
      <c r="C1235" s="39">
        <f t="shared" si="2"/>
        <v>-9.4278646163963198E-2</v>
      </c>
      <c r="E1235" s="121">
        <v>44475</v>
      </c>
      <c r="F1235" s="9">
        <v>17646</v>
      </c>
      <c r="G1235" s="39">
        <f t="shared" si="1"/>
        <v>-8.1139276165194119E-3</v>
      </c>
    </row>
    <row r="1236" spans="1:7" ht="15" customHeight="1" x14ac:dyDescent="0.25">
      <c r="A1236" s="120">
        <v>44476</v>
      </c>
      <c r="B1236">
        <v>1330.099976</v>
      </c>
      <c r="C1236" s="39">
        <f t="shared" ref="C1236:C1241" si="3">B1236/B1237-1</f>
        <v>1.3370863086989315E-2</v>
      </c>
      <c r="E1236" s="120">
        <v>44476</v>
      </c>
      <c r="F1236">
        <v>17790.349609000001</v>
      </c>
      <c r="G1236" s="39">
        <f t="shared" ref="G1236:G1240" si="4">F1236/F1237-1</f>
        <v>-5.8590915204047578E-3</v>
      </c>
    </row>
    <row r="1237" spans="1:7" ht="15" customHeight="1" x14ac:dyDescent="0.25">
      <c r="A1237" s="120">
        <v>44477</v>
      </c>
      <c r="B1237">
        <v>1312.5500489999999</v>
      </c>
      <c r="C1237" s="39">
        <f t="shared" si="3"/>
        <v>-3.5598788390889147E-2</v>
      </c>
      <c r="E1237" s="120">
        <v>44477</v>
      </c>
      <c r="F1237">
        <v>17895.199218999998</v>
      </c>
      <c r="G1237" s="39">
        <f t="shared" si="4"/>
        <v>-2.827936231217576E-3</v>
      </c>
    </row>
    <row r="1238" spans="1:7" ht="15" customHeight="1" x14ac:dyDescent="0.25">
      <c r="A1238" s="120">
        <v>44480</v>
      </c>
      <c r="B1238">
        <v>1361</v>
      </c>
      <c r="C1238" s="39">
        <f t="shared" si="3"/>
        <v>8.0886534347168748E-4</v>
      </c>
      <c r="E1238" s="120">
        <v>44480</v>
      </c>
      <c r="F1238">
        <v>17945.949218999998</v>
      </c>
      <c r="G1238" s="39">
        <f t="shared" si="4"/>
        <v>-2.5566990791315858E-3</v>
      </c>
    </row>
    <row r="1239" spans="1:7" ht="15" customHeight="1" x14ac:dyDescent="0.25">
      <c r="A1239" s="120">
        <v>44481</v>
      </c>
      <c r="B1239">
        <v>1359.900024</v>
      </c>
      <c r="C1239" s="39">
        <f t="shared" si="3"/>
        <v>-4.5749001868040651E-3</v>
      </c>
      <c r="E1239" s="120">
        <v>44481</v>
      </c>
      <c r="F1239">
        <v>17991.949218999998</v>
      </c>
      <c r="G1239" s="39">
        <f t="shared" si="4"/>
        <v>-9.3493623136537973E-3</v>
      </c>
    </row>
    <row r="1240" spans="1:7" ht="15" customHeight="1" x14ac:dyDescent="0.25">
      <c r="A1240" s="120">
        <v>44482</v>
      </c>
      <c r="B1240">
        <v>1366.150024</v>
      </c>
      <c r="C1240" s="39">
        <f t="shared" si="3"/>
        <v>1.0391278936018544E-2</v>
      </c>
      <c r="E1240" s="120">
        <v>44482</v>
      </c>
      <c r="F1240">
        <v>18161.75</v>
      </c>
      <c r="G1240" s="39">
        <f t="shared" si="4"/>
        <v>-9.6409352686243066E-3</v>
      </c>
    </row>
    <row r="1241" spans="1:7" ht="15" customHeight="1" x14ac:dyDescent="0.25">
      <c r="A1241" s="126">
        <v>44483</v>
      </c>
      <c r="B1241" s="127">
        <v>1352.099976</v>
      </c>
      <c r="C1241" s="128" t="e">
        <f t="shared" si="3"/>
        <v>#DIV/0!</v>
      </c>
      <c r="E1241" s="120">
        <v>44483</v>
      </c>
      <c r="F1241">
        <v>18338.550781000002</v>
      </c>
    </row>
  </sheetData>
  <pageMargins left="0.7" right="0.7" top="0.75" bottom="0.75" header="0" footer="0"/>
  <pageSetup orientation="landscape" r:id="rId1"/>
  <ignoredErrors>
    <ignoredError sqref="C1241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I7" sqref="I7"/>
    </sheetView>
  </sheetViews>
  <sheetFormatPr defaultColWidth="12.625" defaultRowHeight="15" customHeight="1" x14ac:dyDescent="0.2"/>
  <cols>
    <col min="1" max="2" width="4.625" customWidth="1"/>
    <col min="3" max="3" width="37.5" customWidth="1"/>
    <col min="4" max="6" width="4.625" customWidth="1"/>
    <col min="7" max="7" width="8.5" customWidth="1"/>
    <col min="8" max="8" width="9.375" customWidth="1"/>
    <col min="9" max="9" width="7.625" customWidth="1"/>
    <col min="10" max="10" width="8.25" customWidth="1"/>
    <col min="11" max="11" width="9.75" customWidth="1"/>
    <col min="12" max="12" width="7.5" customWidth="1"/>
    <col min="13" max="13" width="10.5" customWidth="1"/>
    <col min="14" max="15" width="8" customWidth="1"/>
    <col min="16" max="16" width="8.125" customWidth="1"/>
    <col min="17" max="17" width="8.375" customWidth="1"/>
    <col min="18" max="18" width="10.375" customWidth="1"/>
    <col min="19" max="19" width="9.5" customWidth="1"/>
    <col min="20" max="20" width="9" customWidth="1"/>
    <col min="21" max="26" width="7.625" customWidth="1"/>
  </cols>
  <sheetData>
    <row r="1" spans="1:26" ht="14.25" customHeight="1" x14ac:dyDescent="0.3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38"/>
      <c r="B2" s="3"/>
      <c r="C2" s="3" t="s">
        <v>118</v>
      </c>
      <c r="D2" s="3"/>
      <c r="E2" s="3"/>
      <c r="F2" s="3"/>
      <c r="G2" s="39">
        <v>6.0999999999999999E-2</v>
      </c>
      <c r="H2" s="102" t="s">
        <v>119</v>
      </c>
      <c r="I2" s="3"/>
      <c r="J2" s="40" t="s">
        <v>120</v>
      </c>
      <c r="K2" s="3"/>
      <c r="L2" s="3"/>
      <c r="M2" s="3"/>
      <c r="N2" s="3"/>
      <c r="O2" s="3"/>
      <c r="P2" s="3"/>
    </row>
    <row r="3" spans="1:26" ht="14.25" customHeight="1" x14ac:dyDescent="0.3">
      <c r="A3" s="41"/>
      <c r="C3" s="9" t="s">
        <v>121</v>
      </c>
      <c r="G3" s="53">
        <f>BETA!M6</f>
        <v>0.5588941728015433</v>
      </c>
      <c r="Q3" s="8"/>
      <c r="R3" s="8"/>
      <c r="S3" s="8" t="s">
        <v>122</v>
      </c>
      <c r="T3" s="8"/>
      <c r="U3" s="8"/>
      <c r="V3" s="8"/>
    </row>
    <row r="4" spans="1:26" ht="14.25" customHeight="1" x14ac:dyDescent="0.3">
      <c r="A4" s="41"/>
      <c r="C4" s="9" t="s">
        <v>122</v>
      </c>
      <c r="G4" s="42">
        <v>0.12</v>
      </c>
      <c r="H4" s="43"/>
      <c r="Q4" s="8" t="s">
        <v>123</v>
      </c>
      <c r="R4" s="8"/>
      <c r="S4" s="44">
        <v>0.08</v>
      </c>
      <c r="T4" s="8"/>
      <c r="U4" s="8"/>
      <c r="V4" s="8"/>
    </row>
    <row r="5" spans="1:26" ht="14.25" customHeight="1" x14ac:dyDescent="0.3">
      <c r="A5" s="41"/>
      <c r="C5" s="9" t="s">
        <v>124</v>
      </c>
      <c r="G5" s="39">
        <f>G2+G3*(G4-G2)</f>
        <v>9.3974756195291054E-2</v>
      </c>
      <c r="H5" s="45"/>
      <c r="J5" s="15"/>
      <c r="Q5" s="8" t="s">
        <v>125</v>
      </c>
      <c r="R5" s="8"/>
      <c r="S5" s="44">
        <v>0.15</v>
      </c>
      <c r="T5" s="8"/>
      <c r="U5" s="8"/>
      <c r="V5" s="8"/>
    </row>
    <row r="6" spans="1:26" ht="14.25" customHeight="1" x14ac:dyDescent="0.3">
      <c r="A6" s="41"/>
      <c r="C6" s="9" t="s">
        <v>126</v>
      </c>
      <c r="G6" s="42">
        <v>0.08</v>
      </c>
      <c r="H6" s="46"/>
      <c r="J6" s="109" t="s">
        <v>298</v>
      </c>
      <c r="K6" s="43"/>
      <c r="Q6" s="8"/>
      <c r="R6" s="8"/>
      <c r="S6" s="8"/>
      <c r="T6" s="8"/>
      <c r="U6" s="8"/>
      <c r="V6" s="8"/>
    </row>
    <row r="7" spans="1:26" ht="14.25" customHeight="1" x14ac:dyDescent="0.3">
      <c r="A7" s="41"/>
      <c r="C7" s="9" t="s">
        <v>127</v>
      </c>
      <c r="G7" s="39">
        <f>G6*(1-'P&amp;L'!L37)</f>
        <v>5.9132835668268734E-2</v>
      </c>
      <c r="H7" s="43"/>
    </row>
    <row r="8" spans="1:26" ht="14.25" customHeight="1" x14ac:dyDescent="0.3">
      <c r="A8" s="41"/>
      <c r="C8" s="9" t="s">
        <v>128</v>
      </c>
      <c r="G8" s="39">
        <f>(BS!K44+BS!K52+BS!K54)/((BS!K44+BS!K52+BS!K54)+(BS!K40))</f>
        <v>0.1370768141631773</v>
      </c>
      <c r="H8" s="43"/>
    </row>
    <row r="9" spans="1:26" ht="14.25" customHeight="1" x14ac:dyDescent="0.3">
      <c r="A9" s="41"/>
      <c r="C9" s="9" t="s">
        <v>129</v>
      </c>
      <c r="G9" s="39">
        <f>1-G8</f>
        <v>0.8629231858368227</v>
      </c>
      <c r="H9" s="43"/>
      <c r="S9" s="8" t="s">
        <v>130</v>
      </c>
    </row>
    <row r="10" spans="1:26" ht="14.25" customHeight="1" x14ac:dyDescent="0.3">
      <c r="A10" s="41"/>
      <c r="C10" s="9" t="s">
        <v>131</v>
      </c>
      <c r="G10" s="39">
        <f>G8*G7+G9*G5</f>
        <v>8.9198736730120215E-2</v>
      </c>
      <c r="S10" s="8" t="s">
        <v>132</v>
      </c>
    </row>
    <row r="11" spans="1:26" ht="14.25" customHeight="1" x14ac:dyDescent="0.3">
      <c r="A11" s="41"/>
      <c r="C11" s="9" t="s">
        <v>133</v>
      </c>
      <c r="G11" s="42">
        <v>0.06</v>
      </c>
    </row>
    <row r="12" spans="1:26" ht="14.25" customHeight="1" x14ac:dyDescent="0.25">
      <c r="A12" s="9" t="s">
        <v>1</v>
      </c>
      <c r="G12" s="15">
        <v>1</v>
      </c>
      <c r="H12" s="47">
        <f t="shared" ref="H12:P12" si="0">G12+1</f>
        <v>2</v>
      </c>
      <c r="I12" s="47">
        <f t="shared" si="0"/>
        <v>3</v>
      </c>
      <c r="J12" s="47">
        <f>I12+1</f>
        <v>4</v>
      </c>
      <c r="K12" s="47">
        <f>J12+1</f>
        <v>5</v>
      </c>
      <c r="L12" s="47">
        <f t="shared" si="0"/>
        <v>6</v>
      </c>
      <c r="M12" s="47">
        <f t="shared" si="0"/>
        <v>7</v>
      </c>
      <c r="N12" s="47">
        <f t="shared" si="0"/>
        <v>8</v>
      </c>
      <c r="O12" s="47">
        <f t="shared" si="0"/>
        <v>9</v>
      </c>
      <c r="P12" s="47">
        <f t="shared" si="0"/>
        <v>10</v>
      </c>
    </row>
    <row r="13" spans="1:26" ht="14.25" customHeight="1" x14ac:dyDescent="0.25">
      <c r="A13" s="3" t="s">
        <v>2</v>
      </c>
      <c r="G13" s="21">
        <v>17</v>
      </c>
      <c r="H13" s="21">
        <f t="shared" ref="H13:P13" si="1">G13+1</f>
        <v>18</v>
      </c>
      <c r="I13" s="21">
        <f t="shared" si="1"/>
        <v>19</v>
      </c>
      <c r="J13" s="21">
        <f>I13+1</f>
        <v>20</v>
      </c>
      <c r="K13" s="21">
        <f>J13+1</f>
        <v>21</v>
      </c>
      <c r="L13" s="22">
        <f t="shared" si="1"/>
        <v>22</v>
      </c>
      <c r="M13" s="22">
        <f t="shared" si="1"/>
        <v>23</v>
      </c>
      <c r="N13" s="22">
        <f t="shared" si="1"/>
        <v>24</v>
      </c>
      <c r="O13" s="22">
        <f t="shared" si="1"/>
        <v>25</v>
      </c>
      <c r="P13" s="22">
        <f t="shared" si="1"/>
        <v>26</v>
      </c>
    </row>
    <row r="14" spans="1:26" ht="14.25" customHeight="1" x14ac:dyDescent="0.25">
      <c r="B14" s="7" t="s">
        <v>134</v>
      </c>
    </row>
    <row r="15" spans="1:26" ht="14.25" customHeight="1" x14ac:dyDescent="0.25">
      <c r="B15" s="7"/>
      <c r="C15" s="9" t="s">
        <v>135</v>
      </c>
      <c r="L15" s="11">
        <f>'P&amp;L'!L26+'P&amp;L'!L24</f>
        <v>409.49415995827212</v>
      </c>
      <c r="M15" s="11">
        <f>'P&amp;L'!M26+'P&amp;L'!M24</f>
        <v>527.65591095351397</v>
      </c>
      <c r="N15" s="11">
        <f>'P&amp;L'!N26+'P&amp;L'!N24</f>
        <v>662.80274285885844</v>
      </c>
      <c r="O15" s="11">
        <f>'P&amp;L'!O26+'P&amp;L'!O24</f>
        <v>837.20270743005881</v>
      </c>
      <c r="P15" s="11">
        <f>'P&amp;L'!P26+'P&amp;L'!P24</f>
        <v>1014.4883859781186</v>
      </c>
    </row>
    <row r="16" spans="1:26" ht="14.25" customHeight="1" x14ac:dyDescent="0.25">
      <c r="C16" s="15" t="s">
        <v>136</v>
      </c>
      <c r="L16" s="11">
        <f>L15*(1-'P&amp;L'!L37)</f>
        <v>302.6818858491032</v>
      </c>
      <c r="M16" s="11">
        <f>M15*(1-'P&amp;L'!M37)</f>
        <v>390.02237839755975</v>
      </c>
      <c r="N16" s="11">
        <f>N15*(1-'P&amp;L'!N37)</f>
        <v>489.91757092438314</v>
      </c>
      <c r="O16" s="11">
        <f>O15*(1-'P&amp;L'!O37)</f>
        <v>618.82712649364169</v>
      </c>
      <c r="P16" s="11">
        <f>P15*(1-'P&amp;L'!P37)</f>
        <v>749.86968769264081</v>
      </c>
    </row>
    <row r="17" spans="2:16" ht="14.25" customHeight="1" x14ac:dyDescent="0.25">
      <c r="B17" s="9" t="s">
        <v>137</v>
      </c>
      <c r="C17" s="15" t="s">
        <v>80</v>
      </c>
      <c r="L17" s="11">
        <f>'P&amp;L'!L21</f>
        <v>122.17320000000001</v>
      </c>
      <c r="M17" s="11">
        <f>'P&amp;L'!M21</f>
        <v>123.87859934364988</v>
      </c>
      <c r="N17" s="11">
        <f>'P&amp;L'!N21</f>
        <v>132.71438819536172</v>
      </c>
      <c r="O17" s="11">
        <f>'P&amp;L'!O21</f>
        <v>143.31062873653292</v>
      </c>
      <c r="P17" s="11">
        <f>'P&amp;L'!P21</f>
        <v>156.02141109537638</v>
      </c>
    </row>
    <row r="18" spans="2:16" ht="14.25" customHeight="1" x14ac:dyDescent="0.25">
      <c r="B18" s="9" t="s">
        <v>138</v>
      </c>
      <c r="C18" s="15" t="s">
        <v>139</v>
      </c>
      <c r="L18" s="11">
        <f>Assumptions!L20</f>
        <v>48.180982337584624</v>
      </c>
      <c r="M18" s="11">
        <f>Assumptions!M20</f>
        <v>1.6783579505319608</v>
      </c>
      <c r="N18" s="11">
        <f>Assumptions!N20</f>
        <v>-6.2022395438334001</v>
      </c>
      <c r="O18" s="11">
        <f>Assumptions!O20</f>
        <v>2.995578450919254</v>
      </c>
      <c r="P18" s="11">
        <f>Assumptions!P20</f>
        <v>16.47831876796829</v>
      </c>
    </row>
    <row r="19" spans="2:16" ht="14.25" customHeight="1" x14ac:dyDescent="0.25">
      <c r="B19" s="9" t="s">
        <v>138</v>
      </c>
      <c r="C19" s="15" t="s">
        <v>140</v>
      </c>
      <c r="L19" s="11">
        <f>'Assets and Lease Liab schedule'!L7</f>
        <v>130.92421343649872</v>
      </c>
      <c r="M19" s="11">
        <f>'Assets and Lease Liab schedule'!M7</f>
        <v>154.42033366076828</v>
      </c>
      <c r="N19" s="11">
        <f>'Assets and Lease Liab schedule'!N7</f>
        <v>182.17233178907384</v>
      </c>
      <c r="O19" s="11">
        <f>'Assets and Lease Liab schedule'!O7</f>
        <v>214.95022748874717</v>
      </c>
      <c r="P19" s="11">
        <f>'Assets and Lease Liab schedule'!P7</f>
        <v>253.66350809838974</v>
      </c>
    </row>
    <row r="20" spans="2:16" ht="14.25" customHeight="1" x14ac:dyDescent="0.25">
      <c r="B20" s="12" t="s">
        <v>141</v>
      </c>
      <c r="C20" s="12"/>
      <c r="D20" s="12"/>
      <c r="E20" s="12"/>
      <c r="F20" s="12"/>
      <c r="G20" s="12"/>
      <c r="H20" s="12"/>
      <c r="I20" s="12"/>
      <c r="J20" s="12"/>
      <c r="K20" s="12"/>
      <c r="L20" s="13">
        <f t="shared" ref="L20:P20" si="2">L16+L17-L18-L19</f>
        <v>245.74989007501986</v>
      </c>
      <c r="M20" s="13">
        <f t="shared" si="2"/>
        <v>357.80228612990948</v>
      </c>
      <c r="N20" s="13">
        <f t="shared" si="2"/>
        <v>446.66186687450443</v>
      </c>
      <c r="O20" s="13">
        <f t="shared" si="2"/>
        <v>544.19194929050821</v>
      </c>
      <c r="P20" s="13">
        <f t="shared" si="2"/>
        <v>635.7492719216591</v>
      </c>
    </row>
    <row r="21" spans="2:16" ht="14.25" customHeight="1" x14ac:dyDescent="0.25">
      <c r="B21" s="7" t="s">
        <v>142</v>
      </c>
    </row>
    <row r="22" spans="2:16" ht="14.25" customHeight="1" x14ac:dyDescent="0.25">
      <c r="C22" s="9" t="s">
        <v>142</v>
      </c>
      <c r="P22" s="48">
        <f>P20*(1+G11)/(G10-G11)</f>
        <v>23079.567943834951</v>
      </c>
    </row>
    <row r="23" spans="2:16" ht="14.25" customHeight="1" x14ac:dyDescent="0.25">
      <c r="C23" s="9" t="s">
        <v>143</v>
      </c>
    </row>
    <row r="24" spans="2:16" ht="14.25" customHeight="1" x14ac:dyDescent="0.25">
      <c r="C24" s="3" t="s">
        <v>144</v>
      </c>
      <c r="D24" s="3"/>
      <c r="E24" s="3"/>
      <c r="F24" s="3"/>
      <c r="G24" s="3"/>
      <c r="H24" s="3"/>
      <c r="I24" s="3"/>
      <c r="J24" s="3"/>
      <c r="K24" s="3"/>
      <c r="L24" s="49">
        <v>1</v>
      </c>
      <c r="M24" s="49">
        <v>2</v>
      </c>
      <c r="N24" s="49">
        <v>3</v>
      </c>
      <c r="O24" s="49">
        <v>4</v>
      </c>
      <c r="P24" s="49">
        <v>5</v>
      </c>
    </row>
    <row r="25" spans="2:16" ht="14.25" customHeight="1" x14ac:dyDescent="0.25">
      <c r="C25" s="12" t="s">
        <v>145</v>
      </c>
      <c r="D25" s="12"/>
      <c r="E25" s="12"/>
      <c r="F25" s="12"/>
      <c r="G25" s="12"/>
      <c r="H25" s="12"/>
      <c r="I25" s="12"/>
      <c r="J25" s="12"/>
      <c r="K25" s="12"/>
      <c r="L25" s="50">
        <f t="shared" ref="L25:P25" si="3">PV($G$10,L24,0,-L20,0)</f>
        <v>225.62447218106843</v>
      </c>
      <c r="M25" s="50">
        <f t="shared" si="3"/>
        <v>301.59827495032545</v>
      </c>
      <c r="N25" s="50">
        <f t="shared" si="3"/>
        <v>345.66665728086889</v>
      </c>
      <c r="O25" s="50">
        <f t="shared" si="3"/>
        <v>386.65496984380064</v>
      </c>
      <c r="P25" s="50">
        <f t="shared" si="3"/>
        <v>414.71546105480996</v>
      </c>
    </row>
    <row r="26" spans="2:16" ht="14.25" customHeight="1" x14ac:dyDescent="0.25">
      <c r="C26" s="12" t="s">
        <v>146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48">
        <f>PV($G$10,P24,0,-P22,0)</f>
        <v>15055.390676016028</v>
      </c>
    </row>
    <row r="27" spans="2:16" ht="14.25" customHeight="1" x14ac:dyDescent="0.25">
      <c r="P27" s="51"/>
    </row>
    <row r="28" spans="2:16" ht="14.25" customHeight="1" x14ac:dyDescent="0.25">
      <c r="C28" s="7" t="s">
        <v>147</v>
      </c>
    </row>
    <row r="29" spans="2:16" ht="14.25" customHeight="1" x14ac:dyDescent="0.25">
      <c r="B29" s="9" t="s">
        <v>137</v>
      </c>
      <c r="C29" s="9" t="s">
        <v>145</v>
      </c>
      <c r="K29" s="52">
        <f>SUM(L25:P25)</f>
        <v>1674.2598353108733</v>
      </c>
    </row>
    <row r="30" spans="2:16" ht="14.25" customHeight="1" x14ac:dyDescent="0.25">
      <c r="B30" s="9" t="s">
        <v>137</v>
      </c>
      <c r="C30" s="9" t="s">
        <v>146</v>
      </c>
      <c r="K30" s="52">
        <f>P26</f>
        <v>15055.390676016028</v>
      </c>
    </row>
    <row r="31" spans="2:16" ht="14.25" customHeight="1" x14ac:dyDescent="0.25">
      <c r="C31" s="12" t="s">
        <v>147</v>
      </c>
      <c r="D31" s="12"/>
      <c r="E31" s="12"/>
      <c r="F31" s="12"/>
      <c r="G31" s="12"/>
      <c r="H31" s="12"/>
      <c r="I31" s="12"/>
      <c r="J31" s="12"/>
      <c r="K31" s="48">
        <f>K29+K30</f>
        <v>16729.650511326901</v>
      </c>
    </row>
    <row r="32" spans="2:16" ht="14.25" customHeight="1" x14ac:dyDescent="0.25">
      <c r="B32" s="7" t="s">
        <v>148</v>
      </c>
    </row>
    <row r="33" spans="2:21" ht="14.25" customHeight="1" x14ac:dyDescent="0.25">
      <c r="B33" s="7" t="s">
        <v>149</v>
      </c>
    </row>
    <row r="34" spans="2:21" ht="14.25" customHeight="1" x14ac:dyDescent="0.25">
      <c r="B34" s="9" t="s">
        <v>137</v>
      </c>
      <c r="C34" s="9" t="s">
        <v>45</v>
      </c>
      <c r="K34" s="52">
        <f>SUM(BS!K21:K22)</f>
        <v>7.6899999999999995</v>
      </c>
      <c r="O34" s="7"/>
    </row>
    <row r="35" spans="2:21" ht="14.25" customHeight="1" x14ac:dyDescent="0.25">
      <c r="B35" s="9" t="s">
        <v>137</v>
      </c>
      <c r="C35" s="9" t="s">
        <v>150</v>
      </c>
      <c r="K35" s="52">
        <f>BS!K24</f>
        <v>337.98</v>
      </c>
    </row>
    <row r="36" spans="2:21" ht="14.25" customHeight="1" x14ac:dyDescent="0.25">
      <c r="B36" s="7" t="s">
        <v>151</v>
      </c>
      <c r="K36" s="15"/>
    </row>
    <row r="37" spans="2:21" ht="14.25" customHeight="1" x14ac:dyDescent="0.25">
      <c r="B37" s="7" t="s">
        <v>138</v>
      </c>
      <c r="C37" s="15" t="s">
        <v>152</v>
      </c>
      <c r="K37" s="52">
        <f>BS!K52</f>
        <v>0</v>
      </c>
    </row>
    <row r="38" spans="2:21" ht="14.25" customHeight="1" x14ac:dyDescent="0.25">
      <c r="B38" s="7" t="s">
        <v>138</v>
      </c>
      <c r="C38" s="15" t="s">
        <v>153</v>
      </c>
      <c r="K38" s="52">
        <f>BS!K44</f>
        <v>115.23</v>
      </c>
      <c r="M38" s="110"/>
      <c r="N38" s="110"/>
      <c r="O38" s="110"/>
      <c r="P38" s="110"/>
      <c r="Q38" s="111"/>
      <c r="R38" s="112"/>
      <c r="S38" s="111"/>
      <c r="T38" s="110"/>
      <c r="U38" s="110"/>
    </row>
    <row r="39" spans="2:21" ht="14.25" customHeight="1" x14ac:dyDescent="0.25">
      <c r="B39" s="7" t="s">
        <v>154</v>
      </c>
      <c r="K39" s="11"/>
      <c r="M39" s="110"/>
      <c r="N39" s="110"/>
      <c r="O39" s="110"/>
      <c r="P39" s="110"/>
      <c r="Q39" s="110"/>
      <c r="R39" s="113"/>
      <c r="S39" s="110"/>
      <c r="T39" s="110"/>
      <c r="U39" s="110"/>
    </row>
    <row r="40" spans="2:21" ht="14.25" customHeight="1" x14ac:dyDescent="0.25">
      <c r="B40" s="7" t="s">
        <v>138</v>
      </c>
      <c r="C40" s="9" t="s">
        <v>155</v>
      </c>
      <c r="K40" s="24">
        <v>103.45</v>
      </c>
      <c r="M40" s="110"/>
      <c r="N40" s="110"/>
      <c r="O40" s="114"/>
      <c r="P40" s="115"/>
      <c r="Q40" s="115"/>
      <c r="R40" s="115"/>
      <c r="S40" s="115"/>
      <c r="T40" s="115"/>
      <c r="U40" s="110"/>
    </row>
    <row r="41" spans="2:21" ht="14.25" customHeight="1" x14ac:dyDescent="0.25">
      <c r="C41" s="12" t="s">
        <v>148</v>
      </c>
      <c r="D41" s="18"/>
      <c r="E41" s="18"/>
      <c r="F41" s="18"/>
      <c r="G41" s="18"/>
      <c r="H41" s="18"/>
      <c r="I41" s="18"/>
      <c r="J41" s="18"/>
      <c r="K41" s="17">
        <f>K31+K34+K35-K37-K38-K40</f>
        <v>16856.640511326899</v>
      </c>
      <c r="M41" s="110"/>
      <c r="N41" s="113"/>
      <c r="O41" s="116"/>
      <c r="P41" s="117"/>
      <c r="Q41" s="117"/>
      <c r="R41" s="117"/>
      <c r="S41" s="117"/>
      <c r="T41" s="117"/>
      <c r="U41" s="110"/>
    </row>
    <row r="42" spans="2:21" ht="14.25" customHeight="1" x14ac:dyDescent="0.25">
      <c r="C42" s="9" t="s">
        <v>156</v>
      </c>
      <c r="K42" s="53">
        <f>'Equity Schedule'!K15</f>
        <v>24.844210100000002</v>
      </c>
      <c r="M42" s="110"/>
      <c r="N42" s="113"/>
      <c r="O42" s="116"/>
      <c r="P42" s="117"/>
      <c r="Q42" s="117"/>
      <c r="R42" s="117"/>
      <c r="S42" s="117"/>
      <c r="T42" s="117"/>
      <c r="U42" s="110"/>
    </row>
    <row r="43" spans="2:21" ht="14.25" customHeight="1" x14ac:dyDescent="0.25">
      <c r="C43" s="16" t="s">
        <v>157</v>
      </c>
      <c r="D43" s="16"/>
      <c r="E43" s="16"/>
      <c r="F43" s="54" t="s">
        <v>158</v>
      </c>
      <c r="G43" s="16"/>
      <c r="H43" s="16"/>
      <c r="I43" s="16"/>
      <c r="J43" s="16"/>
      <c r="K43" s="55">
        <f>K41/K42</f>
        <v>678.49371919966563</v>
      </c>
      <c r="M43" s="110"/>
      <c r="N43" s="113"/>
      <c r="O43" s="116"/>
      <c r="P43" s="117"/>
      <c r="Q43" s="117"/>
      <c r="R43" s="117"/>
      <c r="S43" s="117"/>
      <c r="T43" s="117"/>
      <c r="U43" s="110"/>
    </row>
    <row r="44" spans="2:21" ht="14.25" customHeight="1" x14ac:dyDescent="0.25">
      <c r="C44" s="7"/>
      <c r="M44" s="110"/>
      <c r="N44" s="113"/>
      <c r="O44" s="116"/>
      <c r="P44" s="117"/>
      <c r="Q44" s="117"/>
      <c r="R44" s="117"/>
      <c r="S44" s="117"/>
      <c r="T44" s="117"/>
      <c r="U44" s="110"/>
    </row>
    <row r="45" spans="2:21" ht="14.25" customHeight="1" x14ac:dyDescent="0.25">
      <c r="C45" s="56" t="s">
        <v>300</v>
      </c>
      <c r="D45" s="56"/>
      <c r="E45" s="56"/>
      <c r="F45" s="56"/>
      <c r="G45" s="56"/>
      <c r="H45" s="56"/>
      <c r="I45" s="56"/>
      <c r="J45" s="56"/>
      <c r="K45" s="57">
        <v>1352</v>
      </c>
      <c r="M45" s="110"/>
      <c r="N45" s="110"/>
      <c r="O45" s="116"/>
      <c r="P45" s="117"/>
      <c r="Q45" s="117"/>
      <c r="R45" s="117"/>
      <c r="S45" s="117"/>
      <c r="T45" s="117"/>
      <c r="U45" s="110"/>
    </row>
    <row r="46" spans="2:21" ht="14.25" customHeight="1" x14ac:dyDescent="0.25">
      <c r="F46" s="7" t="s">
        <v>301</v>
      </c>
      <c r="K46" s="43">
        <f>K43/K45-1</f>
        <v>-0.49815553313634198</v>
      </c>
      <c r="M46" s="43"/>
    </row>
    <row r="47" spans="2:21" ht="14.25" customHeight="1" x14ac:dyDescent="0.2"/>
    <row r="48" spans="2:21" ht="14.25" customHeight="1" x14ac:dyDescent="0.2"/>
    <row r="49" spans="15:15" ht="14.25" customHeight="1" x14ac:dyDescent="0.25">
      <c r="O49" s="118" t="s">
        <v>299</v>
      </c>
    </row>
    <row r="50" spans="15:15" ht="14.25" customHeight="1" x14ac:dyDescent="0.2"/>
    <row r="51" spans="15:15" ht="14.25" customHeight="1" x14ac:dyDescent="0.2"/>
    <row r="52" spans="15:15" ht="14.25" customHeight="1" x14ac:dyDescent="0.2"/>
    <row r="53" spans="15:15" ht="14.25" customHeight="1" x14ac:dyDescent="0.2"/>
    <row r="54" spans="15:15" ht="14.25" customHeight="1" x14ac:dyDescent="0.2"/>
    <row r="55" spans="15:15" ht="14.25" customHeight="1" x14ac:dyDescent="0.2"/>
    <row r="56" spans="15:15" ht="14.25" customHeight="1" x14ac:dyDescent="0.2"/>
    <row r="57" spans="15:15" ht="14.25" customHeight="1" x14ac:dyDescent="0.2"/>
    <row r="58" spans="15:15" ht="14.25" customHeight="1" x14ac:dyDescent="0.2"/>
    <row r="59" spans="15:15" ht="14.25" customHeight="1" x14ac:dyDescent="0.2"/>
    <row r="60" spans="15:15" ht="14.25" customHeight="1" x14ac:dyDescent="0.2"/>
    <row r="61" spans="15:15" ht="14.25" customHeight="1" x14ac:dyDescent="0.2"/>
    <row r="62" spans="15:15" ht="14.25" customHeight="1" x14ac:dyDescent="0.2"/>
    <row r="63" spans="15:15" ht="14.25" customHeight="1" x14ac:dyDescent="0.2"/>
    <row r="64" spans="15:1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P41:T45">
    <cfRule type="cellIs" dxfId="1" priority="1" operator="greaterThan">
      <formula>0</formula>
    </cfRule>
  </conditionalFormatting>
  <conditionalFormatting sqref="P41:T45">
    <cfRule type="cellIs" dxfId="0" priority="2" operator="lessThan">
      <formula>0</formula>
    </cfRule>
  </conditionalFormatting>
  <hyperlinks>
    <hyperlink ref="J2" r:id="rId1" xr:uid="{00000000-0004-0000-0300-000000000000}"/>
  </hyperlinks>
  <pageMargins left="0.7" right="0.7" top="0.75" bottom="0.75" header="0" footer="0"/>
  <pageSetup paperSize="9" orientation="portrait" r:id="rId2"/>
  <ignoredErrors>
    <ignoredError sqref="K34" formulaRange="1"/>
  </ignoredError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7" sqref="H7"/>
    </sheetView>
  </sheetViews>
  <sheetFormatPr defaultColWidth="12.625" defaultRowHeight="15" customHeight="1" x14ac:dyDescent="0.2"/>
  <cols>
    <col min="1" max="2" width="4.625" customWidth="1"/>
    <col min="3" max="3" width="37.5" customWidth="1"/>
    <col min="4" max="6" width="4.625" customWidth="1"/>
    <col min="7" max="9" width="7.625" customWidth="1"/>
    <col min="10" max="10" width="8.375" customWidth="1"/>
    <col min="11" max="26" width="7.625" customWidth="1"/>
  </cols>
  <sheetData>
    <row r="1" spans="1:26" ht="14.25" customHeight="1" x14ac:dyDescent="0.3">
      <c r="A1" s="1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</v>
      </c>
      <c r="B2" s="3"/>
      <c r="C2" s="3"/>
      <c r="D2" s="3"/>
      <c r="E2" s="3"/>
      <c r="F2" s="3"/>
      <c r="G2" s="3">
        <v>1</v>
      </c>
      <c r="H2" s="3">
        <f t="shared" ref="H2:P2" si="0">G2+1</f>
        <v>2</v>
      </c>
      <c r="I2" s="3">
        <f t="shared" si="0"/>
        <v>3</v>
      </c>
      <c r="J2" s="3">
        <f t="shared" si="0"/>
        <v>4</v>
      </c>
      <c r="K2" s="3">
        <f t="shared" si="0"/>
        <v>5</v>
      </c>
      <c r="L2" s="3">
        <f t="shared" si="0"/>
        <v>6</v>
      </c>
      <c r="M2" s="3">
        <f t="shared" si="0"/>
        <v>7</v>
      </c>
      <c r="N2" s="3">
        <f t="shared" si="0"/>
        <v>8</v>
      </c>
      <c r="O2" s="3">
        <f t="shared" si="0"/>
        <v>9</v>
      </c>
      <c r="P2" s="3">
        <f t="shared" si="0"/>
        <v>10</v>
      </c>
    </row>
    <row r="3" spans="1:26" ht="14.25" customHeight="1" x14ac:dyDescent="0.2"/>
    <row r="4" spans="1:26" ht="14.25" customHeight="1" x14ac:dyDescent="0.25">
      <c r="A4" s="3" t="s">
        <v>2</v>
      </c>
      <c r="G4" s="5">
        <v>17</v>
      </c>
      <c r="H4" s="21">
        <f t="shared" ref="H4:P4" si="1">G4+1</f>
        <v>18</v>
      </c>
      <c r="I4" s="21">
        <f t="shared" si="1"/>
        <v>19</v>
      </c>
      <c r="J4" s="21">
        <f t="shared" si="1"/>
        <v>20</v>
      </c>
      <c r="K4" s="21">
        <f t="shared" si="1"/>
        <v>21</v>
      </c>
      <c r="L4" s="22">
        <f t="shared" si="1"/>
        <v>22</v>
      </c>
      <c r="M4" s="22">
        <f t="shared" si="1"/>
        <v>23</v>
      </c>
      <c r="N4" s="22">
        <f t="shared" si="1"/>
        <v>24</v>
      </c>
      <c r="O4" s="22">
        <f t="shared" si="1"/>
        <v>25</v>
      </c>
      <c r="P4" s="22">
        <f t="shared" si="1"/>
        <v>26</v>
      </c>
    </row>
    <row r="5" spans="1:26" ht="14.25" customHeight="1" x14ac:dyDescent="0.25">
      <c r="B5" s="7" t="s">
        <v>160</v>
      </c>
    </row>
    <row r="6" spans="1:26" ht="14.25" customHeight="1" x14ac:dyDescent="0.25">
      <c r="B6" s="15" t="s">
        <v>161</v>
      </c>
      <c r="E6" s="3" t="s">
        <v>162</v>
      </c>
      <c r="G6" s="26">
        <v>13.46</v>
      </c>
      <c r="H6" s="26">
        <v>15.74</v>
      </c>
      <c r="I6" s="26">
        <v>18.39</v>
      </c>
      <c r="J6" s="26">
        <v>17.920000000000002</v>
      </c>
      <c r="K6" s="26">
        <v>19.07</v>
      </c>
      <c r="L6" s="11">
        <f t="shared" ref="L6:P6" si="2">K6*(1+L7)</f>
        <v>20.977</v>
      </c>
      <c r="M6" s="11">
        <f t="shared" si="2"/>
        <v>24.530503800000002</v>
      </c>
      <c r="N6" s="11">
        <f t="shared" si="2"/>
        <v>28.685971143720003</v>
      </c>
      <c r="O6" s="11">
        <f t="shared" si="2"/>
        <v>33.545374655466169</v>
      </c>
      <c r="P6" s="11">
        <f t="shared" si="2"/>
        <v>39.227961122102137</v>
      </c>
    </row>
    <row r="7" spans="1:26" ht="14.25" customHeight="1" x14ac:dyDescent="0.25">
      <c r="C7" s="3" t="s">
        <v>163</v>
      </c>
      <c r="G7" s="25"/>
      <c r="H7" s="39">
        <f t="shared" ref="H7:K7" si="3">H6/G6-1</f>
        <v>0.16939078751857339</v>
      </c>
      <c r="I7" s="39">
        <f t="shared" si="3"/>
        <v>0.16836086404066086</v>
      </c>
      <c r="J7" s="39">
        <f t="shared" si="3"/>
        <v>-2.5557368134855873E-2</v>
      </c>
      <c r="K7" s="39">
        <f t="shared" si="3"/>
        <v>6.4174107142856984E-2</v>
      </c>
      <c r="L7" s="42">
        <v>0.1</v>
      </c>
      <c r="M7" s="58">
        <v>0.1694</v>
      </c>
      <c r="N7" s="58">
        <v>0.1694</v>
      </c>
      <c r="O7" s="58">
        <v>0.1694</v>
      </c>
      <c r="P7" s="58">
        <v>0.1694</v>
      </c>
    </row>
    <row r="8" spans="1:26" ht="14.25" customHeight="1" x14ac:dyDescent="0.25">
      <c r="C8" s="28"/>
      <c r="G8" s="25"/>
      <c r="H8" s="25"/>
      <c r="I8" s="25"/>
      <c r="J8" s="25"/>
      <c r="K8" s="25"/>
    </row>
    <row r="9" spans="1:26" ht="14.25" customHeight="1" x14ac:dyDescent="0.25">
      <c r="A9" s="7" t="s">
        <v>164</v>
      </c>
      <c r="G9" s="25"/>
      <c r="H9" s="25"/>
      <c r="I9" s="25"/>
      <c r="J9" s="25"/>
      <c r="K9" s="25"/>
    </row>
    <row r="10" spans="1:26" ht="14.25" customHeight="1" x14ac:dyDescent="0.25">
      <c r="B10" s="9" t="s">
        <v>161</v>
      </c>
      <c r="E10" s="3" t="s">
        <v>165</v>
      </c>
      <c r="G10" s="11">
        <f t="shared" ref="G10:K10" si="4">(G13/G6)</f>
        <v>121.3075780089153</v>
      </c>
      <c r="H10" s="11">
        <f t="shared" si="4"/>
        <v>123.63913595933926</v>
      </c>
      <c r="I10" s="11">
        <f t="shared" si="4"/>
        <v>123.24578575312668</v>
      </c>
      <c r="J10" s="11">
        <f t="shared" si="4"/>
        <v>132.97991071428569</v>
      </c>
      <c r="K10" s="11">
        <f t="shared" si="4"/>
        <v>122.38594651284741</v>
      </c>
      <c r="L10" s="11">
        <f t="shared" ref="L10:P10" si="5">K10*(1+L11)</f>
        <v>123.60980597797588</v>
      </c>
      <c r="M10" s="11">
        <f t="shared" si="5"/>
        <v>124.84590403775564</v>
      </c>
      <c r="N10" s="11">
        <f t="shared" si="5"/>
        <v>126.0943630781332</v>
      </c>
      <c r="O10" s="11">
        <f t="shared" si="5"/>
        <v>127.35530670891453</v>
      </c>
      <c r="P10" s="11">
        <f t="shared" si="5"/>
        <v>128.62885977600368</v>
      </c>
    </row>
    <row r="11" spans="1:26" ht="14.25" customHeight="1" x14ac:dyDescent="0.25">
      <c r="C11" s="3" t="s">
        <v>163</v>
      </c>
      <c r="G11" s="25"/>
      <c r="H11" s="39">
        <f t="shared" ref="H11:K11" si="6">H10/G10-1</f>
        <v>1.9220216813269575E-2</v>
      </c>
      <c r="I11" s="39">
        <f t="shared" si="6"/>
        <v>-3.1814376828218638E-3</v>
      </c>
      <c r="J11" s="39">
        <f t="shared" si="6"/>
        <v>7.898140209562543E-2</v>
      </c>
      <c r="K11" s="39">
        <f t="shared" si="6"/>
        <v>-7.9665899492141867E-2</v>
      </c>
      <c r="L11" s="58">
        <v>0.01</v>
      </c>
      <c r="M11" s="42">
        <v>0.01</v>
      </c>
      <c r="N11" s="42">
        <v>0.01</v>
      </c>
      <c r="O11" s="42">
        <v>0.01</v>
      </c>
      <c r="P11" s="42">
        <v>0.01</v>
      </c>
    </row>
    <row r="12" spans="1:26" ht="14.25" customHeight="1" x14ac:dyDescent="0.25">
      <c r="A12" s="7" t="s">
        <v>166</v>
      </c>
      <c r="G12" s="25"/>
      <c r="H12" s="25"/>
      <c r="I12" s="25"/>
      <c r="J12" s="25"/>
      <c r="K12" s="25"/>
    </row>
    <row r="13" spans="1:26" ht="14.25" customHeight="1" x14ac:dyDescent="0.25">
      <c r="B13" s="9" t="s">
        <v>161</v>
      </c>
      <c r="G13" s="10">
        <v>1632.8</v>
      </c>
      <c r="H13" s="10">
        <v>1946.08</v>
      </c>
      <c r="I13" s="10">
        <v>2266.4899999999998</v>
      </c>
      <c r="J13" s="10">
        <v>2383</v>
      </c>
      <c r="K13" s="10">
        <v>2333.9</v>
      </c>
      <c r="L13" s="11">
        <f t="shared" ref="L13:P13" si="7">L6*L10</f>
        <v>2592.9629</v>
      </c>
      <c r="M13" s="11">
        <f t="shared" si="7"/>
        <v>3062.5329234126002</v>
      </c>
      <c r="N13" s="11">
        <f t="shared" si="7"/>
        <v>3617.1392606450818</v>
      </c>
      <c r="O13" s="11">
        <f t="shared" si="7"/>
        <v>4272.1814779123415</v>
      </c>
      <c r="P13" s="11">
        <f t="shared" si="7"/>
        <v>5045.8479104733997</v>
      </c>
    </row>
    <row r="14" spans="1:26" ht="14.25" customHeight="1" x14ac:dyDescent="0.25">
      <c r="C14" s="3" t="s">
        <v>163</v>
      </c>
      <c r="G14" s="25"/>
      <c r="H14" s="39">
        <f t="shared" ref="H14:P14" si="8">H13/G13-1</f>
        <v>0.19186673199412052</v>
      </c>
      <c r="I14" s="39">
        <f t="shared" si="8"/>
        <v>0.16464379676066754</v>
      </c>
      <c r="J14" s="39">
        <f t="shared" si="8"/>
        <v>5.140547719160482E-2</v>
      </c>
      <c r="K14" s="39">
        <f t="shared" si="8"/>
        <v>-2.0604280318925694E-2</v>
      </c>
      <c r="L14" s="39">
        <f t="shared" si="8"/>
        <v>0.11099999999999999</v>
      </c>
      <c r="M14" s="39">
        <f t="shared" si="8"/>
        <v>0.18109400000000009</v>
      </c>
      <c r="N14" s="39">
        <f t="shared" si="8"/>
        <v>0.18109400000000009</v>
      </c>
      <c r="O14" s="39">
        <f t="shared" si="8"/>
        <v>0.18109399999999987</v>
      </c>
      <c r="P14" s="39">
        <f t="shared" si="8"/>
        <v>0.18109400000000009</v>
      </c>
    </row>
    <row r="15" spans="1:26" ht="14.25" customHeight="1" x14ac:dyDescent="0.25">
      <c r="C15" s="3"/>
      <c r="G15" s="25"/>
      <c r="H15" s="59"/>
      <c r="I15" s="59"/>
      <c r="J15" s="59"/>
      <c r="K15" s="59"/>
      <c r="L15" s="59"/>
      <c r="M15" s="59"/>
      <c r="N15" s="59"/>
      <c r="O15" s="59"/>
      <c r="P15" s="59"/>
    </row>
    <row r="16" spans="1:26" ht="14.25" customHeight="1" x14ac:dyDescent="0.25">
      <c r="B16" s="9" t="s">
        <v>167</v>
      </c>
      <c r="G16" s="26">
        <v>3.97</v>
      </c>
      <c r="H16" s="26">
        <v>3.79</v>
      </c>
      <c r="I16" s="26">
        <v>4.3099999999999996</v>
      </c>
      <c r="J16" s="26">
        <v>4.01</v>
      </c>
      <c r="K16" s="26">
        <v>3.62</v>
      </c>
      <c r="L16" s="11">
        <f t="shared" ref="L16:P16" si="9">K16*(1+L17)</f>
        <v>3.2679301745635914</v>
      </c>
      <c r="M16" s="11">
        <f t="shared" si="9"/>
        <v>2.9501015540948132</v>
      </c>
      <c r="N16" s="11">
        <f t="shared" si="9"/>
        <v>2.6631839465893328</v>
      </c>
      <c r="O16" s="11">
        <f t="shared" si="9"/>
        <v>2.4041710440532134</v>
      </c>
      <c r="P16" s="11">
        <f t="shared" si="9"/>
        <v>2.1703489225617538</v>
      </c>
    </row>
    <row r="17" spans="1:17" ht="14.25" customHeight="1" x14ac:dyDescent="0.25">
      <c r="C17" s="3" t="s">
        <v>163</v>
      </c>
      <c r="G17" s="25"/>
      <c r="H17" s="39">
        <f t="shared" ref="H17:K17" si="10">H16/G16-1</f>
        <v>-4.534005037783384E-2</v>
      </c>
      <c r="I17" s="39">
        <f t="shared" si="10"/>
        <v>0.13720316622691286</v>
      </c>
      <c r="J17" s="39">
        <f t="shared" si="10"/>
        <v>-6.9605568445475607E-2</v>
      </c>
      <c r="K17" s="39">
        <f t="shared" si="10"/>
        <v>-9.7256857855361534E-2</v>
      </c>
      <c r="L17" s="42">
        <f t="shared" ref="L17:P17" si="11">K17</f>
        <v>-9.7256857855361534E-2</v>
      </c>
      <c r="M17" s="42">
        <f t="shared" si="11"/>
        <v>-9.7256857855361534E-2</v>
      </c>
      <c r="N17" s="42">
        <f t="shared" si="11"/>
        <v>-9.7256857855361534E-2</v>
      </c>
      <c r="O17" s="42">
        <f t="shared" si="11"/>
        <v>-9.7256857855361534E-2</v>
      </c>
      <c r="P17" s="42">
        <f t="shared" si="11"/>
        <v>-9.7256857855361534E-2</v>
      </c>
    </row>
    <row r="18" spans="1:17" ht="14.25" customHeight="1" x14ac:dyDescent="0.25">
      <c r="C18" s="3"/>
      <c r="G18" s="25"/>
      <c r="H18" s="59"/>
      <c r="I18" s="59"/>
      <c r="J18" s="59"/>
      <c r="K18" s="59"/>
      <c r="L18" s="20"/>
      <c r="M18" s="20"/>
      <c r="N18" s="20"/>
      <c r="O18" s="20"/>
      <c r="P18" s="20"/>
    </row>
    <row r="19" spans="1:17" ht="14.25" customHeight="1" x14ac:dyDescent="0.25">
      <c r="B19" s="9" t="s">
        <v>168</v>
      </c>
      <c r="G19" s="26">
        <v>6.48</v>
      </c>
      <c r="H19" s="26">
        <v>5.26</v>
      </c>
      <c r="I19" s="26">
        <v>6.14</v>
      </c>
      <c r="J19" s="26">
        <v>5.92</v>
      </c>
      <c r="K19" s="26">
        <v>8.06</v>
      </c>
      <c r="L19" s="11">
        <f t="shared" ref="L19:P19" si="12">K19*(1+L20)</f>
        <v>8.6739395554109464</v>
      </c>
      <c r="M19" s="11">
        <f t="shared" si="12"/>
        <v>9.3346435993700538</v>
      </c>
      <c r="N19" s="11">
        <f t="shared" si="12"/>
        <v>10.045674237250561</v>
      </c>
      <c r="O19" s="11">
        <f t="shared" si="12"/>
        <v>10.810864904126589</v>
      </c>
      <c r="P19" s="11">
        <f t="shared" si="12"/>
        <v>11.634341032271411</v>
      </c>
    </row>
    <row r="20" spans="1:17" ht="14.25" customHeight="1" x14ac:dyDescent="0.25">
      <c r="C20" s="3" t="s">
        <v>163</v>
      </c>
      <c r="G20" s="25"/>
      <c r="H20" s="60">
        <f t="shared" ref="H20:K20" si="13">H19/G19-1</f>
        <v>-0.18827160493827166</v>
      </c>
      <c r="I20" s="60">
        <f t="shared" si="13"/>
        <v>0.16730038022813676</v>
      </c>
      <c r="J20" s="60">
        <f t="shared" si="13"/>
        <v>-3.5830618892508159E-2</v>
      </c>
      <c r="K20" s="60">
        <f t="shared" si="13"/>
        <v>0.36148648648648662</v>
      </c>
      <c r="L20" s="60">
        <f>AVERAGE(H20:K20)</f>
        <v>7.617116072096089E-2</v>
      </c>
      <c r="M20" s="42">
        <f t="shared" ref="M20:P20" si="14">L20</f>
        <v>7.617116072096089E-2</v>
      </c>
      <c r="N20" s="42">
        <f t="shared" si="14"/>
        <v>7.617116072096089E-2</v>
      </c>
      <c r="O20" s="42">
        <f t="shared" si="14"/>
        <v>7.617116072096089E-2</v>
      </c>
      <c r="P20" s="42">
        <f t="shared" si="14"/>
        <v>7.617116072096089E-2</v>
      </c>
    </row>
    <row r="21" spans="1:17" ht="14.25" customHeight="1" x14ac:dyDescent="0.25">
      <c r="C21" s="3"/>
      <c r="G21" s="25"/>
      <c r="H21" s="61"/>
      <c r="I21" s="61"/>
      <c r="J21" s="61"/>
      <c r="K21" s="61"/>
      <c r="L21" s="20"/>
      <c r="M21" s="20"/>
      <c r="N21" s="20"/>
      <c r="O21" s="20"/>
      <c r="P21" s="20"/>
    </row>
    <row r="22" spans="1:17" ht="14.25" customHeight="1" x14ac:dyDescent="0.25">
      <c r="B22" s="9" t="s">
        <v>169</v>
      </c>
      <c r="G22" s="26">
        <v>8.7200000000000006</v>
      </c>
      <c r="H22" s="26">
        <v>9.31</v>
      </c>
      <c r="I22" s="26">
        <v>15.14</v>
      </c>
      <c r="J22" s="26">
        <v>17.55</v>
      </c>
      <c r="K22" s="26">
        <v>13.57</v>
      </c>
      <c r="L22" s="11">
        <f t="shared" ref="L22:P22" si="15">K22*(1+L23)</f>
        <v>13.579498999999998</v>
      </c>
      <c r="M22" s="11">
        <f t="shared" si="15"/>
        <v>13.589004649299998</v>
      </c>
      <c r="N22" s="11">
        <f t="shared" si="15"/>
        <v>13.598516952554506</v>
      </c>
      <c r="O22" s="11">
        <f t="shared" si="15"/>
        <v>13.608035914421293</v>
      </c>
      <c r="P22" s="11">
        <f t="shared" si="15"/>
        <v>13.617561539561388</v>
      </c>
    </row>
    <row r="23" spans="1:17" ht="14.25" customHeight="1" x14ac:dyDescent="0.25">
      <c r="C23" s="3" t="s">
        <v>163</v>
      </c>
      <c r="G23" s="25"/>
      <c r="H23" s="53">
        <f t="shared" ref="H23:K23" si="16">H22/G22-1</f>
        <v>6.7660550458715552E-2</v>
      </c>
      <c r="I23" s="53">
        <f t="shared" si="16"/>
        <v>0.62620837808807739</v>
      </c>
      <c r="J23" s="53">
        <f t="shared" si="16"/>
        <v>0.1591809775429327</v>
      </c>
      <c r="K23" s="53">
        <f t="shared" si="16"/>
        <v>-0.22678062678062683</v>
      </c>
      <c r="L23" s="58">
        <v>6.9999999999999999E-4</v>
      </c>
      <c r="M23" s="58">
        <v>6.9999999999999999E-4</v>
      </c>
      <c r="N23" s="58">
        <v>6.9999999999999999E-4</v>
      </c>
      <c r="O23" s="58">
        <v>6.9999999999999999E-4</v>
      </c>
      <c r="P23" s="58">
        <v>6.9999999999999999E-4</v>
      </c>
    </row>
    <row r="24" spans="1:17" ht="14.25" customHeight="1" x14ac:dyDescent="0.25">
      <c r="C24" s="3"/>
      <c r="G24" s="25"/>
      <c r="H24" s="62"/>
      <c r="I24" s="62"/>
      <c r="J24" s="62"/>
      <c r="K24" s="62"/>
    </row>
    <row r="25" spans="1:17" ht="14.25" customHeight="1" x14ac:dyDescent="0.25">
      <c r="A25" s="18"/>
      <c r="B25" s="12" t="s">
        <v>170</v>
      </c>
      <c r="C25" s="18"/>
      <c r="D25" s="18"/>
      <c r="E25" s="18"/>
      <c r="F25" s="18"/>
      <c r="G25" s="13">
        <f t="shared" ref="G25:P25" si="17">G13+G16+G19+G22</f>
        <v>1651.97</v>
      </c>
      <c r="H25" s="13">
        <f t="shared" si="17"/>
        <v>1964.4399999999998</v>
      </c>
      <c r="I25" s="13">
        <f t="shared" si="17"/>
        <v>2292.0799999999995</v>
      </c>
      <c r="J25" s="13">
        <f t="shared" si="17"/>
        <v>2410.4800000000005</v>
      </c>
      <c r="K25" s="13">
        <f t="shared" si="17"/>
        <v>2359.15</v>
      </c>
      <c r="L25" s="13">
        <f t="shared" si="17"/>
        <v>2618.4842687299742</v>
      </c>
      <c r="M25" s="13">
        <f t="shared" si="17"/>
        <v>3088.4066732153651</v>
      </c>
      <c r="N25" s="13">
        <f t="shared" si="17"/>
        <v>3643.4466357814763</v>
      </c>
      <c r="O25" s="13">
        <f t="shared" si="17"/>
        <v>4299.0045497749434</v>
      </c>
      <c r="P25" s="13">
        <f t="shared" si="17"/>
        <v>5073.2701619677946</v>
      </c>
      <c r="Q25" s="18"/>
    </row>
    <row r="26" spans="1:17" ht="14.25" customHeight="1" x14ac:dyDescent="0.2"/>
    <row r="27" spans="1:17" ht="14.25" customHeight="1" x14ac:dyDescent="0.25">
      <c r="A27" s="18"/>
      <c r="B27" s="18" t="s">
        <v>20</v>
      </c>
      <c r="C27" s="18"/>
      <c r="D27" s="18"/>
      <c r="E27" s="18"/>
      <c r="F27" s="18"/>
      <c r="G27" s="63">
        <v>13.61</v>
      </c>
      <c r="H27" s="63">
        <v>4.46</v>
      </c>
      <c r="I27" s="63">
        <v>12.98</v>
      </c>
      <c r="J27" s="63">
        <v>9.0500000000000007</v>
      </c>
      <c r="K27" s="63">
        <v>22.77</v>
      </c>
      <c r="L27" s="27">
        <f t="shared" ref="L27:P27" si="18">K27*(1+L28)</f>
        <v>34.155000000000001</v>
      </c>
      <c r="M27" s="27">
        <f t="shared" si="18"/>
        <v>39.27825</v>
      </c>
      <c r="N27" s="27">
        <f t="shared" si="18"/>
        <v>45.169987499999998</v>
      </c>
      <c r="O27" s="27">
        <f t="shared" si="18"/>
        <v>51.945485624999996</v>
      </c>
      <c r="P27" s="27">
        <f t="shared" si="18"/>
        <v>59.737308468749994</v>
      </c>
      <c r="Q27" s="18"/>
    </row>
    <row r="28" spans="1:17" ht="14.25" customHeight="1" x14ac:dyDescent="0.25">
      <c r="C28" s="3" t="s">
        <v>163</v>
      </c>
      <c r="H28" s="39">
        <f t="shared" ref="H28:K28" si="19">H27/G27-1</f>
        <v>-0.67229977957384279</v>
      </c>
      <c r="I28" s="39">
        <f t="shared" si="19"/>
        <v>1.9103139013452917</v>
      </c>
      <c r="J28" s="39">
        <f t="shared" si="19"/>
        <v>-0.30277349768875195</v>
      </c>
      <c r="K28" s="39">
        <f t="shared" si="19"/>
        <v>1.5160220994475138</v>
      </c>
      <c r="L28" s="42">
        <v>0.5</v>
      </c>
      <c r="M28" s="42">
        <v>0.15</v>
      </c>
      <c r="N28" s="42">
        <v>0.15</v>
      </c>
      <c r="O28" s="42">
        <v>0.15</v>
      </c>
      <c r="P28" s="42">
        <v>0.15</v>
      </c>
    </row>
    <row r="29" spans="1:17" ht="14.25" customHeight="1" x14ac:dyDescent="0.25">
      <c r="C29" s="3"/>
      <c r="H29" s="43"/>
      <c r="I29" s="43"/>
      <c r="J29" s="43"/>
      <c r="K29" s="43"/>
      <c r="L29" s="20"/>
      <c r="M29" s="20"/>
      <c r="N29" s="20"/>
      <c r="O29" s="20"/>
      <c r="P29" s="20"/>
    </row>
    <row r="30" spans="1:17" ht="14.25" customHeight="1" x14ac:dyDescent="0.25">
      <c r="A30" s="16" t="s">
        <v>171</v>
      </c>
      <c r="B30" s="23"/>
      <c r="C30" s="23"/>
      <c r="D30" s="23"/>
      <c r="E30" s="23"/>
      <c r="F30" s="23"/>
      <c r="G30" s="17">
        <f t="shared" ref="G30:P30" si="20">G25+G27</f>
        <v>1665.58</v>
      </c>
      <c r="H30" s="17">
        <f t="shared" si="20"/>
        <v>1968.8999999999999</v>
      </c>
      <c r="I30" s="17">
        <f t="shared" si="20"/>
        <v>2305.0599999999995</v>
      </c>
      <c r="J30" s="17">
        <f t="shared" si="20"/>
        <v>2419.5300000000007</v>
      </c>
      <c r="K30" s="17">
        <f t="shared" si="20"/>
        <v>2381.92</v>
      </c>
      <c r="L30" s="17">
        <f t="shared" si="20"/>
        <v>2652.6392687299744</v>
      </c>
      <c r="M30" s="17">
        <f t="shared" si="20"/>
        <v>3127.684923215365</v>
      </c>
      <c r="N30" s="17">
        <f t="shared" si="20"/>
        <v>3688.6166232814762</v>
      </c>
      <c r="O30" s="17">
        <f t="shared" si="20"/>
        <v>4350.9500353999438</v>
      </c>
      <c r="P30" s="17">
        <f t="shared" si="20"/>
        <v>5133.0074704365443</v>
      </c>
      <c r="Q30" s="23"/>
    </row>
    <row r="31" spans="1:17" ht="14.25" customHeight="1" x14ac:dyDescent="0.25">
      <c r="C31" s="3" t="s">
        <v>163</v>
      </c>
      <c r="H31" s="39">
        <f t="shared" ref="H31:P31" si="21">H30/G30-1</f>
        <v>0.18211073620000229</v>
      </c>
      <c r="I31" s="39">
        <f t="shared" si="21"/>
        <v>0.1707349281324595</v>
      </c>
      <c r="J31" s="39">
        <f t="shared" si="21"/>
        <v>4.9660312529826278E-2</v>
      </c>
      <c r="K31" s="39">
        <f t="shared" si="21"/>
        <v>-1.554434125635995E-2</v>
      </c>
      <c r="L31" s="39">
        <f t="shared" si="21"/>
        <v>0.11365590310756635</v>
      </c>
      <c r="M31" s="39">
        <f t="shared" si="21"/>
        <v>0.17908415218207629</v>
      </c>
      <c r="N31" s="39">
        <f t="shared" si="21"/>
        <v>0.17934405601490533</v>
      </c>
      <c r="O31" s="39">
        <f t="shared" si="21"/>
        <v>0.17956146701123976</v>
      </c>
      <c r="P31" s="39">
        <f t="shared" si="21"/>
        <v>0.17974406248604802</v>
      </c>
    </row>
    <row r="32" spans="1:1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L7" sqref="L7"/>
    </sheetView>
  </sheetViews>
  <sheetFormatPr defaultColWidth="12.625" defaultRowHeight="15" customHeight="1" x14ac:dyDescent="0.2"/>
  <cols>
    <col min="1" max="2" width="4.625" customWidth="1"/>
    <col min="3" max="3" width="37.5" customWidth="1"/>
    <col min="4" max="6" width="4.625" customWidth="1"/>
    <col min="7" max="7" width="8.375" customWidth="1"/>
    <col min="8" max="11" width="7.625" customWidth="1"/>
    <col min="12" max="16" width="8.375" customWidth="1"/>
    <col min="17" max="17" width="7.625" customWidth="1"/>
    <col min="18" max="18" width="17.75" customWidth="1"/>
    <col min="19" max="26" width="7.625" customWidth="1"/>
  </cols>
  <sheetData>
    <row r="1" spans="1:26" ht="14.25" customHeight="1" x14ac:dyDescent="0.3">
      <c r="A1" s="1" t="s">
        <v>172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</v>
      </c>
      <c r="B2" s="3"/>
      <c r="C2" s="3"/>
      <c r="D2" s="3"/>
      <c r="E2" s="3"/>
      <c r="F2" s="3"/>
      <c r="G2" s="3">
        <v>1</v>
      </c>
      <c r="H2" s="3">
        <f t="shared" ref="H2:P2" si="0">G2+1</f>
        <v>2</v>
      </c>
      <c r="I2" s="3">
        <f t="shared" si="0"/>
        <v>3</v>
      </c>
      <c r="J2" s="3">
        <f t="shared" si="0"/>
        <v>4</v>
      </c>
      <c r="K2" s="3">
        <f t="shared" si="0"/>
        <v>5</v>
      </c>
      <c r="L2" s="3">
        <f t="shared" si="0"/>
        <v>6</v>
      </c>
      <c r="M2" s="3">
        <f t="shared" si="0"/>
        <v>7</v>
      </c>
      <c r="N2" s="3">
        <f t="shared" si="0"/>
        <v>8</v>
      </c>
      <c r="O2" s="3">
        <f t="shared" si="0"/>
        <v>9</v>
      </c>
      <c r="P2" s="3">
        <f t="shared" si="0"/>
        <v>10</v>
      </c>
    </row>
    <row r="3" spans="1:26" ht="14.25" customHeight="1" x14ac:dyDescent="0.2"/>
    <row r="4" spans="1:26" ht="14.25" customHeight="1" x14ac:dyDescent="0.25">
      <c r="A4" s="3" t="s">
        <v>2</v>
      </c>
      <c r="G4" s="21">
        <v>17</v>
      </c>
      <c r="H4" s="21">
        <f t="shared" ref="H4:P4" si="1">G4+1</f>
        <v>18</v>
      </c>
      <c r="I4" s="21">
        <f t="shared" si="1"/>
        <v>19</v>
      </c>
      <c r="J4" s="21">
        <f t="shared" si="1"/>
        <v>20</v>
      </c>
      <c r="K4" s="21">
        <f t="shared" si="1"/>
        <v>21</v>
      </c>
      <c r="L4" s="22">
        <f t="shared" si="1"/>
        <v>22</v>
      </c>
      <c r="M4" s="22">
        <f t="shared" si="1"/>
        <v>23</v>
      </c>
      <c r="N4" s="22">
        <f t="shared" si="1"/>
        <v>24</v>
      </c>
      <c r="O4" s="22">
        <f t="shared" si="1"/>
        <v>25</v>
      </c>
      <c r="P4" s="22">
        <f t="shared" si="1"/>
        <v>26</v>
      </c>
    </row>
    <row r="5" spans="1:26" ht="14.25" customHeight="1" x14ac:dyDescent="0.25">
      <c r="A5" s="7" t="s">
        <v>173</v>
      </c>
    </row>
    <row r="6" spans="1:26" ht="14.25" customHeight="1" x14ac:dyDescent="0.25">
      <c r="A6" s="12"/>
      <c r="B6" s="12" t="s">
        <v>174</v>
      </c>
      <c r="C6" s="12"/>
      <c r="D6" s="12"/>
      <c r="E6" s="12"/>
      <c r="F6" s="12"/>
      <c r="G6" s="13">
        <f>'P&amp;L'!G10</f>
        <v>746.65</v>
      </c>
      <c r="H6" s="13">
        <f>'P&amp;L'!H10</f>
        <v>890.53000000000009</v>
      </c>
      <c r="I6" s="13">
        <f>'P&amp;L'!I10</f>
        <v>1072.3200000000002</v>
      </c>
      <c r="J6" s="13">
        <f>'P&amp;L'!J10</f>
        <v>1039.32</v>
      </c>
      <c r="K6" s="13">
        <f>'P&amp;L'!K10</f>
        <v>1003.28</v>
      </c>
      <c r="L6" s="13">
        <f>L7*'P&amp;L'!L6</f>
        <v>1167.6223369806353</v>
      </c>
      <c r="M6" s="13">
        <f>M7*'P&amp;L'!M6</f>
        <v>1373.4246997197208</v>
      </c>
      <c r="N6" s="13">
        <f>N7*'P&amp;L'!N6</f>
        <v>1613.9701991254483</v>
      </c>
      <c r="O6" s="13">
        <f>O7*'P&amp;L'!O6</f>
        <v>1882.9955322626265</v>
      </c>
      <c r="P6" s="13">
        <f>P7*'P&amp;L'!P6</f>
        <v>2229.0698858728706</v>
      </c>
    </row>
    <row r="7" spans="1:26" ht="14.25" customHeight="1" x14ac:dyDescent="0.25">
      <c r="C7" s="3" t="s">
        <v>175</v>
      </c>
      <c r="D7" s="3"/>
      <c r="E7" s="3"/>
      <c r="F7" s="3"/>
      <c r="G7" s="39">
        <f>G6/'P&amp;L'!G6</f>
        <v>0.45197552013656422</v>
      </c>
      <c r="H7" s="39">
        <f>H6/'P&amp;L'!H6</f>
        <v>0.45332512064506936</v>
      </c>
      <c r="I7" s="39">
        <f>I6/'P&amp;L'!I6</f>
        <v>0.46783707374960742</v>
      </c>
      <c r="J7" s="39">
        <f>J6/'P&amp;L'!J6</f>
        <v>0.4311672364010487</v>
      </c>
      <c r="K7" s="39">
        <f>K6/'P&amp;L'!K6</f>
        <v>0.42527181400080533</v>
      </c>
      <c r="L7" s="39">
        <f t="shared" ref="L7:P7" si="2">AVERAGE(G7:K7)</f>
        <v>0.445915352986619</v>
      </c>
      <c r="M7" s="39">
        <f t="shared" si="2"/>
        <v>0.44470331955662995</v>
      </c>
      <c r="N7" s="39">
        <f t="shared" si="2"/>
        <v>0.44297895933894216</v>
      </c>
      <c r="O7" s="39">
        <f t="shared" si="2"/>
        <v>0.43800733645680906</v>
      </c>
      <c r="P7" s="39">
        <f t="shared" si="2"/>
        <v>0.43937535646796111</v>
      </c>
    </row>
    <row r="8" spans="1:26" ht="14.25" customHeight="1" x14ac:dyDescent="0.2"/>
    <row r="9" spans="1:26" ht="14.25" customHeight="1" x14ac:dyDescent="0.25">
      <c r="B9" s="7" t="s">
        <v>176</v>
      </c>
    </row>
    <row r="10" spans="1:26" ht="14.25" customHeight="1" x14ac:dyDescent="0.25">
      <c r="C10" s="9" t="s">
        <v>177</v>
      </c>
      <c r="G10" s="26">
        <v>152.56</v>
      </c>
      <c r="H10" s="26">
        <v>183.06</v>
      </c>
      <c r="I10" s="26">
        <v>221.17</v>
      </c>
      <c r="J10" s="26">
        <v>253.88</v>
      </c>
      <c r="K10" s="26">
        <v>264.75</v>
      </c>
      <c r="L10" s="11">
        <f>L11*'P&amp;L'!L7</f>
        <v>290.91360225590017</v>
      </c>
      <c r="M10" s="11">
        <f>M11*'P&amp;L'!M7</f>
        <v>343.12198139422708</v>
      </c>
      <c r="N10" s="11">
        <f>N11*'P&amp;L'!N7</f>
        <v>404.78692123532204</v>
      </c>
      <c r="O10" s="11">
        <f>O11*'P&amp;L'!O7</f>
        <v>477.6194054799962</v>
      </c>
      <c r="P10" s="11">
        <f>P11*'P&amp;L'!P7</f>
        <v>563.64031499462203</v>
      </c>
    </row>
    <row r="11" spans="1:26" ht="14.25" customHeight="1" x14ac:dyDescent="0.25">
      <c r="C11" s="3" t="s">
        <v>178</v>
      </c>
      <c r="D11" s="3"/>
      <c r="E11" s="3"/>
      <c r="F11" s="3"/>
      <c r="G11" s="39">
        <f>G10/'P&amp;L'!G7</f>
        <v>9.235034534525445E-2</v>
      </c>
      <c r="H11" s="39">
        <f>H10/'P&amp;L'!H7</f>
        <v>9.3186862413715862E-2</v>
      </c>
      <c r="I11" s="39">
        <f>I10/'P&amp;L'!I7</f>
        <v>9.6493141600642207E-2</v>
      </c>
      <c r="J11" s="39">
        <f>J10/'P&amp;L'!J7</f>
        <v>0.10532342106136537</v>
      </c>
      <c r="K11" s="39">
        <f>K10/'P&amp;L'!K7</f>
        <v>0.1122226225547337</v>
      </c>
      <c r="L11" s="58">
        <v>0.1111</v>
      </c>
      <c r="M11" s="58">
        <v>0.1111</v>
      </c>
      <c r="N11" s="58">
        <v>0.1111</v>
      </c>
      <c r="O11" s="58">
        <v>0.1111</v>
      </c>
      <c r="P11" s="58">
        <v>0.1111</v>
      </c>
      <c r="R11" s="64"/>
    </row>
    <row r="12" spans="1:26" ht="14.25" customHeight="1" x14ac:dyDescent="0.25">
      <c r="C12" s="3"/>
      <c r="D12" s="3"/>
      <c r="E12" s="3"/>
      <c r="F12" s="3"/>
      <c r="G12" s="65"/>
      <c r="H12" s="65"/>
      <c r="I12" s="65"/>
      <c r="J12" s="65"/>
      <c r="K12" s="65"/>
      <c r="L12" s="39"/>
      <c r="M12" s="39"/>
      <c r="N12" s="39"/>
      <c r="O12" s="39"/>
      <c r="P12" s="39"/>
      <c r="R12" s="64"/>
    </row>
    <row r="13" spans="1:26" ht="14.25" customHeight="1" x14ac:dyDescent="0.25">
      <c r="C13" s="9" t="s">
        <v>179</v>
      </c>
      <c r="G13" s="26">
        <v>12.14</v>
      </c>
      <c r="H13" s="26">
        <v>13.81</v>
      </c>
      <c r="I13" s="26">
        <v>16.55</v>
      </c>
      <c r="J13" s="26">
        <v>18.88</v>
      </c>
      <c r="K13" s="26">
        <v>18.57</v>
      </c>
      <c r="L13" s="11">
        <f t="shared" ref="L13:P13" si="3">L10*L14</f>
        <v>21.818520169192514</v>
      </c>
      <c r="M13" s="11">
        <f t="shared" si="3"/>
        <v>25.734148604567029</v>
      </c>
      <c r="N13" s="11">
        <f t="shared" si="3"/>
        <v>30.359019092649152</v>
      </c>
      <c r="O13" s="11">
        <f t="shared" si="3"/>
        <v>35.821455410999711</v>
      </c>
      <c r="P13" s="11">
        <f t="shared" si="3"/>
        <v>42.273023624596654</v>
      </c>
      <c r="R13" s="64"/>
    </row>
    <row r="14" spans="1:26" ht="14.25" customHeight="1" x14ac:dyDescent="0.25">
      <c r="C14" s="3" t="s">
        <v>180</v>
      </c>
      <c r="D14" s="3"/>
      <c r="E14" s="3"/>
      <c r="F14" s="3"/>
      <c r="G14" s="39">
        <f t="shared" ref="G14:K14" si="4">G13/G10</f>
        <v>7.957524908232827E-2</v>
      </c>
      <c r="H14" s="39">
        <f t="shared" si="4"/>
        <v>7.5439746531191967E-2</v>
      </c>
      <c r="I14" s="39">
        <f t="shared" si="4"/>
        <v>7.4829316815119604E-2</v>
      </c>
      <c r="J14" s="39">
        <f t="shared" si="4"/>
        <v>7.4365842130140219E-2</v>
      </c>
      <c r="K14" s="39">
        <f t="shared" si="4"/>
        <v>7.0141643059490083E-2</v>
      </c>
      <c r="L14" s="58">
        <v>7.4999999999999997E-2</v>
      </c>
      <c r="M14" s="58">
        <v>7.4999999999999997E-2</v>
      </c>
      <c r="N14" s="58">
        <v>7.4999999999999997E-2</v>
      </c>
      <c r="O14" s="58">
        <v>7.4999999999999997E-2</v>
      </c>
      <c r="P14" s="58">
        <v>7.4999999999999997E-2</v>
      </c>
      <c r="R14" s="64"/>
    </row>
    <row r="15" spans="1:26" ht="14.25" customHeight="1" x14ac:dyDescent="0.25">
      <c r="G15" s="59"/>
      <c r="H15" s="59"/>
      <c r="I15" s="59"/>
      <c r="J15" s="59"/>
      <c r="K15" s="59"/>
      <c r="L15" s="43"/>
      <c r="M15" s="43"/>
      <c r="N15" s="43"/>
      <c r="O15" s="43"/>
      <c r="P15" s="43"/>
      <c r="R15" s="64"/>
    </row>
    <row r="16" spans="1:26" ht="14.25" customHeight="1" x14ac:dyDescent="0.25">
      <c r="C16" s="9" t="s">
        <v>181</v>
      </c>
      <c r="G16" s="26">
        <v>3.78</v>
      </c>
      <c r="H16" s="26">
        <v>3.87</v>
      </c>
      <c r="I16" s="26">
        <v>4.59</v>
      </c>
      <c r="J16" s="26">
        <v>5.53</v>
      </c>
      <c r="K16" s="26">
        <v>5.95</v>
      </c>
      <c r="L16" s="11">
        <f t="shared" ref="L16:P16" si="5">L17*L10</f>
        <v>6.5455560507577539</v>
      </c>
      <c r="M16" s="11">
        <f t="shared" si="5"/>
        <v>7.7202445813701086</v>
      </c>
      <c r="N16" s="11">
        <f t="shared" si="5"/>
        <v>9.1077057277947464</v>
      </c>
      <c r="O16" s="11">
        <f t="shared" si="5"/>
        <v>10.746436623299914</v>
      </c>
      <c r="P16" s="11">
        <f t="shared" si="5"/>
        <v>12.681907087378995</v>
      </c>
      <c r="R16" s="64"/>
    </row>
    <row r="17" spans="1:18" ht="14.25" customHeight="1" x14ac:dyDescent="0.25">
      <c r="C17" s="3" t="s">
        <v>180</v>
      </c>
      <c r="D17" s="3"/>
      <c r="E17" s="3"/>
      <c r="F17" s="3"/>
      <c r="G17" s="39">
        <f t="shared" ref="G17:K17" si="6">G16/G10</f>
        <v>2.477713686418458E-2</v>
      </c>
      <c r="H17" s="39">
        <f t="shared" si="6"/>
        <v>2.1140609636184859E-2</v>
      </c>
      <c r="I17" s="39">
        <f t="shared" si="6"/>
        <v>2.0753266717909301E-2</v>
      </c>
      <c r="J17" s="39">
        <f t="shared" si="6"/>
        <v>2.1781944225618403E-2</v>
      </c>
      <c r="K17" s="39">
        <f t="shared" si="6"/>
        <v>2.2474032105760152E-2</v>
      </c>
      <c r="L17" s="58">
        <v>2.2499999999999999E-2</v>
      </c>
      <c r="M17" s="58">
        <v>2.2499999999999999E-2</v>
      </c>
      <c r="N17" s="58">
        <v>2.2499999999999999E-2</v>
      </c>
      <c r="O17" s="58">
        <v>2.2499999999999999E-2</v>
      </c>
      <c r="P17" s="58">
        <v>2.2499999999999999E-2</v>
      </c>
      <c r="R17" s="64"/>
    </row>
    <row r="18" spans="1:18" ht="14.25" customHeight="1" x14ac:dyDescent="0.25">
      <c r="G18" s="59"/>
      <c r="H18" s="59"/>
      <c r="I18" s="59"/>
      <c r="J18" s="59"/>
      <c r="K18" s="59"/>
      <c r="L18" s="43"/>
      <c r="M18" s="43"/>
      <c r="N18" s="43"/>
      <c r="O18" s="43"/>
      <c r="P18" s="43"/>
      <c r="R18" s="64"/>
    </row>
    <row r="19" spans="1:18" ht="14.25" customHeight="1" x14ac:dyDescent="0.25">
      <c r="C19" s="9" t="s">
        <v>182</v>
      </c>
      <c r="G19" s="26">
        <v>7.24</v>
      </c>
      <c r="H19" s="26">
        <v>9.27</v>
      </c>
      <c r="I19" s="26">
        <v>4.68</v>
      </c>
      <c r="J19" s="26">
        <v>2.94</v>
      </c>
      <c r="K19" s="26">
        <v>2.11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R19" s="64"/>
    </row>
    <row r="20" spans="1:18" ht="14.25" customHeight="1" x14ac:dyDescent="0.25">
      <c r="C20" s="9" t="s">
        <v>183</v>
      </c>
      <c r="G20" s="26">
        <v>1.32</v>
      </c>
      <c r="H20" s="26">
        <v>4.07</v>
      </c>
      <c r="I20" s="26">
        <v>11.67</v>
      </c>
      <c r="J20" s="26">
        <v>12.76</v>
      </c>
      <c r="K20" s="26">
        <v>10.01</v>
      </c>
      <c r="L20" s="11">
        <f t="shared" ref="L20:P20" si="7">L10*L21</f>
        <v>11.723818170912777</v>
      </c>
      <c r="M20" s="11">
        <f t="shared" si="7"/>
        <v>13.827815850187353</v>
      </c>
      <c r="N20" s="11">
        <f t="shared" si="7"/>
        <v>16.312912925783479</v>
      </c>
      <c r="O20" s="11">
        <f t="shared" si="7"/>
        <v>19.248062040843848</v>
      </c>
      <c r="P20" s="11">
        <f t="shared" si="7"/>
        <v>22.71470469428327</v>
      </c>
    </row>
    <row r="21" spans="1:18" ht="14.25" customHeight="1" x14ac:dyDescent="0.25">
      <c r="C21" s="3" t="s">
        <v>180</v>
      </c>
      <c r="D21" s="3"/>
      <c r="E21" s="3"/>
      <c r="F21" s="3"/>
      <c r="G21" s="39">
        <f t="shared" ref="G21:K21" si="8">G20/G10</f>
        <v>8.6523335081279493E-3</v>
      </c>
      <c r="H21" s="39">
        <f t="shared" si="8"/>
        <v>2.2233147601879166E-2</v>
      </c>
      <c r="I21" s="39">
        <f t="shared" si="8"/>
        <v>5.2764841524619077E-2</v>
      </c>
      <c r="J21" s="39">
        <f t="shared" si="8"/>
        <v>5.0259965337954939E-2</v>
      </c>
      <c r="K21" s="39">
        <f t="shared" si="8"/>
        <v>3.7809254013220016E-2</v>
      </c>
      <c r="L21" s="58">
        <v>4.0300000000000002E-2</v>
      </c>
      <c r="M21" s="58">
        <v>4.0300000000000002E-2</v>
      </c>
      <c r="N21" s="58">
        <v>4.0300000000000002E-2</v>
      </c>
      <c r="O21" s="58">
        <v>4.0300000000000002E-2</v>
      </c>
      <c r="P21" s="58">
        <v>4.0300000000000002E-2</v>
      </c>
    </row>
    <row r="22" spans="1:18" ht="14.25" customHeight="1" x14ac:dyDescent="0.25">
      <c r="G22" s="43"/>
      <c r="H22" s="43"/>
      <c r="I22" s="43"/>
      <c r="J22" s="43"/>
      <c r="K22" s="43"/>
    </row>
    <row r="23" spans="1:18" ht="14.25" customHeight="1" x14ac:dyDescent="0.25">
      <c r="A23" s="12"/>
      <c r="B23" s="12" t="s">
        <v>184</v>
      </c>
      <c r="C23" s="12"/>
      <c r="D23" s="12"/>
      <c r="E23" s="12"/>
      <c r="F23" s="12"/>
      <c r="G23" s="13">
        <f t="shared" ref="G23:P23" si="9">G20+G19+G16+G13+G10</f>
        <v>177.04</v>
      </c>
      <c r="H23" s="13">
        <f t="shared" si="9"/>
        <v>214.08</v>
      </c>
      <c r="I23" s="13">
        <f t="shared" si="9"/>
        <v>258.65999999999997</v>
      </c>
      <c r="J23" s="13">
        <f t="shared" si="9"/>
        <v>293.99</v>
      </c>
      <c r="K23" s="13">
        <f t="shared" si="9"/>
        <v>301.39</v>
      </c>
      <c r="L23" s="13">
        <f t="shared" si="9"/>
        <v>331.0014966467632</v>
      </c>
      <c r="M23" s="13">
        <f t="shared" si="9"/>
        <v>390.40419043035155</v>
      </c>
      <c r="N23" s="13">
        <f t="shared" si="9"/>
        <v>460.56655898154941</v>
      </c>
      <c r="O23" s="13">
        <f t="shared" si="9"/>
        <v>543.43535955513971</v>
      </c>
      <c r="P23" s="13">
        <f t="shared" si="9"/>
        <v>641.30995040088101</v>
      </c>
      <c r="R23" s="64"/>
    </row>
    <row r="24" spans="1:18" ht="14.25" customHeight="1" x14ac:dyDescent="0.25">
      <c r="G24" s="20"/>
    </row>
    <row r="25" spans="1:18" ht="14.25" customHeight="1" x14ac:dyDescent="0.25">
      <c r="B25" s="7" t="s">
        <v>9</v>
      </c>
      <c r="G25" s="66"/>
    </row>
    <row r="26" spans="1:18" ht="14.25" customHeight="1" x14ac:dyDescent="0.25">
      <c r="C26" s="9" t="s">
        <v>10</v>
      </c>
      <c r="G26" s="11">
        <f>'P&amp;L'!G13</f>
        <v>69.48</v>
      </c>
      <c r="H26" s="11">
        <f>'P&amp;L'!H13</f>
        <v>86.21</v>
      </c>
      <c r="I26" s="11">
        <f>'P&amp;L'!I13</f>
        <v>76.760000000000005</v>
      </c>
      <c r="J26" s="11">
        <f>'P&amp;L'!J13</f>
        <v>90.8</v>
      </c>
      <c r="K26" s="11">
        <f>'P&amp;L'!K13</f>
        <v>69.569999999999993</v>
      </c>
      <c r="L26" s="11">
        <f>'P&amp;L'!L7*'Cost Build Up'!L27</f>
        <v>104.73937074919897</v>
      </c>
      <c r="M26" s="11">
        <f>'P&amp;L'!M7*'Cost Build Up'!M27</f>
        <v>123.53626692861461</v>
      </c>
      <c r="N26" s="11">
        <f>'P&amp;L'!N7*'Cost Build Up'!N27</f>
        <v>145.73786543125905</v>
      </c>
      <c r="O26" s="11">
        <f>'P&amp;L'!O7*'Cost Build Up'!O27</f>
        <v>171.96018199099774</v>
      </c>
      <c r="P26" s="11">
        <f>'P&amp;L'!P7*'Cost Build Up'!P27</f>
        <v>202.93080647871179</v>
      </c>
    </row>
    <row r="27" spans="1:18" ht="14.25" customHeight="1" x14ac:dyDescent="0.25">
      <c r="C27" s="3" t="s">
        <v>185</v>
      </c>
      <c r="G27" s="39">
        <f>G26/'P&amp;L'!G7</f>
        <v>4.2058875161171211E-2</v>
      </c>
      <c r="H27" s="39">
        <f>H26/'P&amp;L'!H7</f>
        <v>4.3885280283439548E-2</v>
      </c>
      <c r="I27" s="39">
        <f>I26/'P&amp;L'!I7</f>
        <v>3.3489232487522252E-2</v>
      </c>
      <c r="J27" s="39">
        <f>J26/'P&amp;L'!J7</f>
        <v>3.7668846038963193E-2</v>
      </c>
      <c r="K27" s="39">
        <f>K26/'P&amp;L'!K7</f>
        <v>2.9489434754042764E-2</v>
      </c>
      <c r="L27" s="58">
        <v>0.04</v>
      </c>
      <c r="M27" s="58">
        <v>0.04</v>
      </c>
      <c r="N27" s="58">
        <v>0.04</v>
      </c>
      <c r="O27" s="58">
        <v>0.04</v>
      </c>
      <c r="P27" s="58">
        <v>0.04</v>
      </c>
    </row>
    <row r="28" spans="1:18" ht="14.25" customHeight="1" x14ac:dyDescent="0.25">
      <c r="C28" s="3"/>
      <c r="G28" s="65"/>
      <c r="H28" s="65"/>
      <c r="I28" s="65"/>
      <c r="J28" s="65"/>
      <c r="K28" s="65"/>
      <c r="L28" s="39"/>
      <c r="M28" s="39"/>
      <c r="N28" s="39"/>
      <c r="O28" s="39"/>
      <c r="P28" s="39"/>
    </row>
    <row r="29" spans="1:18" ht="14.25" customHeight="1" x14ac:dyDescent="0.25">
      <c r="C29" s="9" t="s">
        <v>11</v>
      </c>
      <c r="G29" s="11">
        <f>'P&amp;L'!G14</f>
        <v>73.23</v>
      </c>
      <c r="H29" s="11">
        <f>'P&amp;L'!H14</f>
        <v>82.39</v>
      </c>
      <c r="I29" s="11">
        <f>'P&amp;L'!I14</f>
        <v>99.18</v>
      </c>
      <c r="J29" s="11">
        <f>'P&amp;L'!J14</f>
        <v>102.12</v>
      </c>
      <c r="K29" s="11">
        <f>'P&amp;L'!K14</f>
        <v>102.62</v>
      </c>
      <c r="L29" s="11">
        <f>L30*'P&amp;L'!L7</f>
        <v>112.85667198226189</v>
      </c>
      <c r="M29" s="11">
        <f>M30*'P&amp;L'!M7</f>
        <v>133.11032761558224</v>
      </c>
      <c r="N29" s="11">
        <f>N30*'P&amp;L'!N7</f>
        <v>157.03255000218164</v>
      </c>
      <c r="O29" s="11">
        <f>O30*'P&amp;L'!O7</f>
        <v>185.28709609530006</v>
      </c>
      <c r="P29" s="11">
        <f>P30*'P&amp;L'!P7</f>
        <v>218.65794398081195</v>
      </c>
    </row>
    <row r="30" spans="1:18" ht="14.25" customHeight="1" x14ac:dyDescent="0.25">
      <c r="C30" s="3" t="s">
        <v>185</v>
      </c>
      <c r="G30" s="39">
        <f>G29/'P&amp;L'!G7</f>
        <v>4.4328892171165341E-2</v>
      </c>
      <c r="H30" s="39">
        <f>H29/'P&amp;L'!H7</f>
        <v>4.194070574820305E-2</v>
      </c>
      <c r="I30" s="39">
        <f>I29/'P&amp;L'!I7</f>
        <v>4.3270740986353008E-2</v>
      </c>
      <c r="J30" s="39">
        <f>J29/'P&amp;L'!J7</f>
        <v>4.2365006139855964E-2</v>
      </c>
      <c r="K30" s="39">
        <f>K29/'P&amp;L'!K7</f>
        <v>4.3498717758514722E-2</v>
      </c>
      <c r="L30" s="58">
        <v>4.3099999999999999E-2</v>
      </c>
      <c r="M30" s="58">
        <v>4.3099999999999999E-2</v>
      </c>
      <c r="N30" s="58">
        <v>4.3099999999999999E-2</v>
      </c>
      <c r="O30" s="58">
        <v>4.3099999999999999E-2</v>
      </c>
      <c r="P30" s="58">
        <v>4.3099999999999999E-2</v>
      </c>
    </row>
    <row r="31" spans="1:18" ht="14.25" customHeight="1" x14ac:dyDescent="0.25">
      <c r="C31" s="3"/>
      <c r="G31" s="59"/>
      <c r="H31" s="59"/>
      <c r="I31" s="59"/>
      <c r="J31" s="59"/>
      <c r="K31" s="59"/>
      <c r="L31" s="43"/>
      <c r="M31" s="43"/>
      <c r="N31" s="43"/>
      <c r="O31" s="43"/>
      <c r="P31" s="43"/>
    </row>
    <row r="32" spans="1:18" ht="14.25" customHeight="1" x14ac:dyDescent="0.25">
      <c r="C32" s="9" t="s">
        <v>12</v>
      </c>
      <c r="G32" s="11">
        <f>'P&amp;L'!G15</f>
        <v>47.63</v>
      </c>
      <c r="H32" s="11">
        <f>'P&amp;L'!H15</f>
        <v>54</v>
      </c>
      <c r="I32" s="11">
        <f>'P&amp;L'!I15</f>
        <v>70.88</v>
      </c>
      <c r="J32" s="11">
        <f>'P&amp;L'!J15</f>
        <v>76.47</v>
      </c>
      <c r="K32" s="11">
        <f>'P&amp;L'!K15</f>
        <v>73.47</v>
      </c>
      <c r="L32" s="11">
        <f>L33*'P&amp;L'!L7</f>
        <v>80.649315476883203</v>
      </c>
      <c r="M32" s="11">
        <f>M33*'P&amp;L'!M7</f>
        <v>95.122925535033247</v>
      </c>
      <c r="N32" s="11">
        <f>N33*'P&amp;L'!N7</f>
        <v>112.21815638206947</v>
      </c>
      <c r="O32" s="11">
        <f>O33*'P&amp;L'!O7</f>
        <v>132.40934013306827</v>
      </c>
      <c r="P32" s="11">
        <f>P33*'P&amp;L'!P7</f>
        <v>156.25672098860807</v>
      </c>
    </row>
    <row r="33" spans="2:16" ht="14.25" customHeight="1" x14ac:dyDescent="0.25">
      <c r="C33" s="3" t="s">
        <v>185</v>
      </c>
      <c r="G33" s="39">
        <f>G32/'P&amp;L'!G7</f>
        <v>2.8832242716272088E-2</v>
      </c>
      <c r="H33" s="39">
        <f>H32/'P&amp;L'!H7</f>
        <v>2.7488749974547453E-2</v>
      </c>
      <c r="I33" s="39">
        <f>I32/'P&amp;L'!I7</f>
        <v>3.0923877002547902E-2</v>
      </c>
      <c r="J33" s="39">
        <f>J32/'P&amp;L'!J7</f>
        <v>3.1723971988981449E-2</v>
      </c>
      <c r="K33" s="39">
        <f>K32/'P&amp;L'!K7</f>
        <v>3.1142572536718732E-2</v>
      </c>
      <c r="L33" s="58">
        <v>3.0800000000000001E-2</v>
      </c>
      <c r="M33" s="58">
        <v>3.0800000000000001E-2</v>
      </c>
      <c r="N33" s="58">
        <v>3.0800000000000001E-2</v>
      </c>
      <c r="O33" s="58">
        <v>3.0800000000000001E-2</v>
      </c>
      <c r="P33" s="58">
        <v>3.0800000000000001E-2</v>
      </c>
    </row>
    <row r="34" spans="2:16" ht="14.25" customHeight="1" x14ac:dyDescent="0.25">
      <c r="C34" s="3"/>
      <c r="G34" s="59"/>
      <c r="H34" s="59"/>
      <c r="I34" s="59"/>
      <c r="J34" s="59"/>
      <c r="K34" s="59"/>
      <c r="L34" s="43"/>
      <c r="M34" s="43"/>
      <c r="N34" s="43"/>
      <c r="O34" s="43"/>
      <c r="P34" s="43"/>
    </row>
    <row r="35" spans="2:16" ht="14.25" customHeight="1" x14ac:dyDescent="0.25">
      <c r="C35" s="9" t="s">
        <v>13</v>
      </c>
      <c r="G35" s="11">
        <f>'P&amp;L'!G16</f>
        <v>126.77</v>
      </c>
      <c r="H35" s="11">
        <f>'P&amp;L'!H16</f>
        <v>148.47999999999999</v>
      </c>
      <c r="I35" s="11">
        <f>'P&amp;L'!I16</f>
        <v>194.76</v>
      </c>
      <c r="J35" s="11">
        <f>'P&amp;L'!J16</f>
        <v>234.3</v>
      </c>
      <c r="K35" s="11">
        <f>'P&amp;L'!K16</f>
        <v>183.23</v>
      </c>
      <c r="L35" s="11">
        <f>L36*'P&amp;L'!L7</f>
        <v>201.36144026533501</v>
      </c>
      <c r="M35" s="11">
        <f>M36*'P&amp;L'!M7</f>
        <v>237.49847317026158</v>
      </c>
      <c r="N35" s="11">
        <f>N36*'P&amp;L'!N7</f>
        <v>280.18104629159552</v>
      </c>
      <c r="O35" s="11">
        <f>O36*'P&amp;L'!O7</f>
        <v>330.5934498776931</v>
      </c>
      <c r="P35" s="11">
        <f>P36*'P&amp;L'!P7</f>
        <v>390.13447545532341</v>
      </c>
    </row>
    <row r="36" spans="2:16" ht="14.25" customHeight="1" x14ac:dyDescent="0.25">
      <c r="C36" s="3" t="s">
        <v>185</v>
      </c>
      <c r="G36" s="39">
        <f>G35/'P&amp;L'!G7</f>
        <v>7.673868169518816E-2</v>
      </c>
      <c r="H36" s="39">
        <f>H35/'P&amp;L'!H7</f>
        <v>7.5583881411496398E-2</v>
      </c>
      <c r="I36" s="39">
        <f>I35/'P&amp;L'!I7</f>
        <v>8.4970856165578867E-2</v>
      </c>
      <c r="J36" s="39">
        <f>J35/'P&amp;L'!J7</f>
        <v>9.7200557565298204E-2</v>
      </c>
      <c r="K36" s="39">
        <f>K35/'P&amp;L'!K7</f>
        <v>7.7667804081978667E-2</v>
      </c>
      <c r="L36" s="58">
        <v>7.6899999999999996E-2</v>
      </c>
      <c r="M36" s="58">
        <v>7.6899999999999996E-2</v>
      </c>
      <c r="N36" s="58">
        <v>7.6899999999999996E-2</v>
      </c>
      <c r="O36" s="58">
        <v>7.6899999999999996E-2</v>
      </c>
      <c r="P36" s="58">
        <v>7.6899999999999996E-2</v>
      </c>
    </row>
    <row r="37" spans="2:16" ht="14.25" customHeight="1" x14ac:dyDescent="0.25">
      <c r="C37" s="3"/>
      <c r="G37" s="62"/>
      <c r="H37" s="62"/>
      <c r="I37" s="62"/>
      <c r="J37" s="62"/>
      <c r="K37" s="62"/>
      <c r="L37" s="11"/>
      <c r="M37" s="11"/>
      <c r="N37" s="11"/>
      <c r="O37" s="11"/>
      <c r="P37" s="11"/>
    </row>
    <row r="38" spans="2:16" ht="14.25" customHeight="1" x14ac:dyDescent="0.25">
      <c r="C38" s="9" t="s">
        <v>14</v>
      </c>
      <c r="G38" s="11">
        <f>'P&amp;L'!G17</f>
        <v>180.26</v>
      </c>
      <c r="H38" s="11">
        <f>'P&amp;L'!H17</f>
        <v>186.66000000000003</v>
      </c>
      <c r="I38" s="11">
        <f>'P&amp;L'!I17</f>
        <v>195.20999999999998</v>
      </c>
      <c r="J38" s="11">
        <f>'P&amp;L'!J17</f>
        <v>164.53000000000003</v>
      </c>
      <c r="K38" s="11">
        <f>'P&amp;L'!K17</f>
        <v>130.10000000000002</v>
      </c>
      <c r="L38" s="11">
        <f>L39*'P&amp;L'!L7</f>
        <v>122.7412766706247</v>
      </c>
      <c r="M38" s="11">
        <f>M39*'P&amp;L'!M7</f>
        <v>123.05352951863725</v>
      </c>
      <c r="N38" s="11">
        <f>N39*'P&amp;L'!N7</f>
        <v>123.39311601315256</v>
      </c>
      <c r="O38" s="11">
        <f>O39*'P&amp;L'!O7</f>
        <v>123.75573931852595</v>
      </c>
      <c r="P38" s="11">
        <f>P39*'P&amp;L'!P7</f>
        <v>124.13789018584291</v>
      </c>
    </row>
    <row r="39" spans="2:16" ht="14.25" customHeight="1" x14ac:dyDescent="0.25">
      <c r="C39" s="3" t="s">
        <v>185</v>
      </c>
      <c r="G39" s="39">
        <f>G38/'P&amp;L'!G7</f>
        <v>0.1091182043257444</v>
      </c>
      <c r="H39" s="39">
        <f>H38/'P&amp;L'!H7</f>
        <v>9.5019445745352371E-2</v>
      </c>
      <c r="I39" s="39">
        <f>I38/'P&amp;L'!I7</f>
        <v>8.5167184391469752E-2</v>
      </c>
      <c r="J39" s="39">
        <f>J38/'P&amp;L'!J7</f>
        <v>6.8256114964654349E-2</v>
      </c>
      <c r="K39" s="39">
        <f>K38/'P&amp;L'!K7</f>
        <v>5.5146980904139213E-2</v>
      </c>
      <c r="L39" s="39">
        <f t="shared" ref="L39:P39" si="10">K39*(1-15%)</f>
        <v>4.6874933768518333E-2</v>
      </c>
      <c r="M39" s="39">
        <f t="shared" si="10"/>
        <v>3.9843693703240583E-2</v>
      </c>
      <c r="N39" s="39">
        <f t="shared" si="10"/>
        <v>3.3867139647754493E-2</v>
      </c>
      <c r="O39" s="39">
        <f t="shared" si="10"/>
        <v>2.878706870059132E-2</v>
      </c>
      <c r="P39" s="39">
        <f t="shared" si="10"/>
        <v>2.4469008395502621E-2</v>
      </c>
    </row>
    <row r="40" spans="2:16" ht="14.25" customHeight="1" x14ac:dyDescent="0.2"/>
    <row r="41" spans="2:16" ht="14.25" customHeight="1" x14ac:dyDescent="0.25">
      <c r="B41" s="9" t="s">
        <v>186</v>
      </c>
      <c r="G41" s="11">
        <f t="shared" ref="G41:P41" si="11">G23+G26+G29+G32+G35+G38+G6</f>
        <v>1421.06</v>
      </c>
      <c r="H41" s="11">
        <f t="shared" si="11"/>
        <v>1662.35</v>
      </c>
      <c r="I41" s="11">
        <f t="shared" si="11"/>
        <v>1967.7700000000002</v>
      </c>
      <c r="J41" s="11">
        <f t="shared" si="11"/>
        <v>2001.53</v>
      </c>
      <c r="K41" s="11">
        <f t="shared" si="11"/>
        <v>1863.6599999999999</v>
      </c>
      <c r="L41" s="11">
        <f t="shared" si="11"/>
        <v>2120.9719087717021</v>
      </c>
      <c r="M41" s="11">
        <f t="shared" si="11"/>
        <v>2476.1504129182013</v>
      </c>
      <c r="N41" s="11">
        <f t="shared" si="11"/>
        <v>2893.0994922272557</v>
      </c>
      <c r="O41" s="11">
        <f t="shared" si="11"/>
        <v>3370.4366992333512</v>
      </c>
      <c r="P41" s="11">
        <f t="shared" si="11"/>
        <v>3962.4976733630497</v>
      </c>
    </row>
    <row r="42" spans="2:16" ht="14.25" customHeight="1" x14ac:dyDescent="0.25">
      <c r="C42" s="3" t="s">
        <v>178</v>
      </c>
      <c r="D42" s="3"/>
      <c r="E42" s="3"/>
      <c r="F42" s="3"/>
      <c r="G42" s="39">
        <f>G41/'P&amp;L'!G7</f>
        <v>0.86022143259260153</v>
      </c>
      <c r="H42" s="39">
        <f>H41/'P&amp;L'!H7</f>
        <v>0.84622080592942506</v>
      </c>
      <c r="I42" s="39">
        <f>I41/'P&amp;L'!I7</f>
        <v>0.858508429025165</v>
      </c>
      <c r="J42" s="39">
        <f>J41/'P&amp;L'!J7</f>
        <v>0.83034499352825997</v>
      </c>
      <c r="K42" s="39">
        <f>K41/'P&amp;L'!K7</f>
        <v>0.78997096411843237</v>
      </c>
      <c r="L42" s="39">
        <f>L41/'P&amp;L'!L7</f>
        <v>0.80999986675513724</v>
      </c>
      <c r="M42" s="39">
        <f>M41/'P&amp;L'!M7</f>
        <v>0.80175659325987048</v>
      </c>
      <c r="N42" s="39">
        <f>N41/'P&amp;L'!N7</f>
        <v>0.7940556789866966</v>
      </c>
      <c r="O42" s="39">
        <f>O41/'P&amp;L'!O7</f>
        <v>0.78400398515740033</v>
      </c>
      <c r="P42" s="39">
        <f>P41/'P&amp;L'!P7</f>
        <v>0.7810539448634638</v>
      </c>
    </row>
    <row r="43" spans="2:16" ht="14.25" customHeight="1" x14ac:dyDescent="0.2"/>
    <row r="44" spans="2:16" ht="14.25" customHeight="1" x14ac:dyDescent="0.2"/>
    <row r="45" spans="2:16" ht="14.25" customHeight="1" x14ac:dyDescent="0.2"/>
    <row r="46" spans="2:16" ht="14.25" customHeight="1" x14ac:dyDescent="0.2"/>
    <row r="47" spans="2:16" ht="14.25" customHeight="1" x14ac:dyDescent="0.2"/>
    <row r="48" spans="2:1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P&amp;L</vt:lpstr>
      <vt:lpstr>BS</vt:lpstr>
      <vt:lpstr>Cash Flow</vt:lpstr>
      <vt:lpstr>Accounting Ratios</vt:lpstr>
      <vt:lpstr>Assumptions</vt:lpstr>
      <vt:lpstr>BETA</vt:lpstr>
      <vt:lpstr>DCF</vt:lpstr>
      <vt:lpstr>Revenue Build Up</vt:lpstr>
      <vt:lpstr>Cost Build Up</vt:lpstr>
      <vt:lpstr>Assets and Lease Liab schedule</vt:lpstr>
      <vt:lpstr>Equity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Kumar</cp:lastModifiedBy>
  <dcterms:created xsi:type="dcterms:W3CDTF">2021-07-30T15:34:45Z</dcterms:created>
  <dcterms:modified xsi:type="dcterms:W3CDTF">2021-10-16T13:39:21Z</dcterms:modified>
</cp:coreProperties>
</file>