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TAM\LAPORAN PROGRES MINGGUAN\"/>
    </mc:Choice>
  </mc:AlternateContent>
  <xr:revisionPtr revIDLastSave="0" documentId="13_ncr:1_{38EE9DD3-875A-445A-BFD3-42F582AE46DB}" xr6:coauthVersionLast="47" xr6:coauthVersionMax="47" xr10:uidLastSave="{00000000-0000-0000-0000-000000000000}"/>
  <bookViews>
    <workbookView xWindow="-108" yWindow="-108" windowWidth="23256" windowHeight="12456" tabRatio="1000" activeTab="1" xr2:uid="{00000000-000D-0000-FFFF-FFFF00000000}"/>
  </bookViews>
  <sheets>
    <sheet name="COVER" sheetId="76" r:id="rId1"/>
    <sheet name="REKAP TOTAL" sheetId="10" r:id="rId2"/>
    <sheet name="I. PERSIAPAN" sheetId="11" r:id="rId3"/>
    <sheet name="II.PEK. LUAR" sheetId="12" r:id="rId4"/>
    <sheet name="III.BODY REPAIR" sheetId="1" r:id="rId5"/>
    <sheet name="IV.GENERAL REPAIR" sheetId="13" r:id="rId6"/>
    <sheet name="V.OFFICE &amp; SHOWROOM" sheetId="32" r:id="rId7"/>
    <sheet name="VI.KONDISI EXISTING" sheetId="63" r:id="rId8"/>
    <sheet name="REKAP ME" sheetId="64" state="hidden" r:id="rId9"/>
    <sheet name="I. Mek. Infrastruktur" sheetId="65" r:id="rId10"/>
    <sheet name="II. Mek. Body Repair" sheetId="66" r:id="rId11"/>
    <sheet name="III. Mek. General Repair" sheetId="67" r:id="rId12"/>
    <sheet name="I. Elektrikal Infrastruktur" sheetId="68" r:id="rId13"/>
    <sheet name="II. Elektrikal Body Repair" sheetId="69" r:id="rId14"/>
    <sheet name="III. Elektrikal General Repair" sheetId="70" r:id="rId15"/>
    <sheet name="IV. Elekt Office &amp; Showroom" sheetId="71" r:id="rId16"/>
    <sheet name="I. Elektronik Body Repair" sheetId="72" r:id="rId17"/>
    <sheet name="KURVA-S" sheetId="75" r:id="rId18"/>
    <sheet name="DOKUMENTASI" sheetId="77" r:id="rId19"/>
    <sheet name="Daftar Materil " sheetId="73" state="hidden" r:id="rId20"/>
    <sheet name="INTERIOR-SHOWROOM" sheetId="2" state="hidden" r:id="rId21"/>
  </sheets>
  <definedNames>
    <definedName name="_\A" localSheetId="19">#REF!</definedName>
    <definedName name="_\q" localSheetId="19">#REF!</definedName>
    <definedName name="_\x" localSheetId="19">#REF!</definedName>
    <definedName name="__\A" localSheetId="12">#REF!</definedName>
    <definedName name="__\q" localSheetId="12">#REF!</definedName>
    <definedName name="__\x">#REF!</definedName>
    <definedName name="___\A" localSheetId="16">#REF!</definedName>
    <definedName name="___\q" localSheetId="16">#REF!</definedName>
    <definedName name="____\A" localSheetId="13">#REF!</definedName>
    <definedName name="____\q" localSheetId="13">#REF!</definedName>
    <definedName name="_____\A" localSheetId="14">#REF!</definedName>
    <definedName name="_____\q" localSheetId="14">#REF!</definedName>
    <definedName name="______\A" localSheetId="15">#REF!</definedName>
    <definedName name="______\q" localSheetId="15">#REF!</definedName>
    <definedName name="_______\A">#REF!</definedName>
    <definedName name="_______\q">#REF!</definedName>
    <definedName name="___jum1" localSheetId="19">#REF!</definedName>
    <definedName name="___jum1">#REF!</definedName>
    <definedName name="___jum10" localSheetId="19">#REF!</definedName>
    <definedName name="___jum10">#REF!</definedName>
    <definedName name="___jum2" localSheetId="19">#REF!</definedName>
    <definedName name="___jum2">#REF!</definedName>
    <definedName name="___jum3" localSheetId="19">#REF!</definedName>
    <definedName name="___jum3">#REF!</definedName>
    <definedName name="___jum4" localSheetId="19">#REF!</definedName>
    <definedName name="___jum4">#REF!</definedName>
    <definedName name="___jum5" localSheetId="19">#REF!</definedName>
    <definedName name="___jum5">#REF!</definedName>
    <definedName name="___jum6" localSheetId="19">#REF!</definedName>
    <definedName name="___jum6">#REF!</definedName>
    <definedName name="___jum7" localSheetId="19">#REF!</definedName>
    <definedName name="___jum7">#REF!</definedName>
    <definedName name="___jum8" localSheetId="19">#REF!</definedName>
    <definedName name="___jum8">#REF!</definedName>
    <definedName name="___jum9" localSheetId="19">#REF!</definedName>
    <definedName name="___jum9">#REF!</definedName>
    <definedName name="__123Graph_A" hidden="1">#REF!</definedName>
    <definedName name="__123Graph_B" hidden="1">#REF!</definedName>
    <definedName name="__123Graph_C" hidden="1">#REF!</definedName>
    <definedName name="__123Graph_D" localSheetId="12" hidden="1">#REF!</definedName>
    <definedName name="__123Graph_D" localSheetId="16" hidden="1">#REF!</definedName>
    <definedName name="__123Graph_D" localSheetId="13" hidden="1">#REF!</definedName>
    <definedName name="__123Graph_D" localSheetId="14" hidden="1">#REF!</definedName>
    <definedName name="__123Graph_D" localSheetId="15" hidden="1">#REF!</definedName>
    <definedName name="__123Graph_D" hidden="1">#REF!</definedName>
    <definedName name="__123Graph_E" hidden="1">#REF!</definedName>
    <definedName name="__123Graph_F" localSheetId="2" hidden="1">#REF!</definedName>
    <definedName name="__123Graph_F" hidden="1">#REF!</definedName>
    <definedName name="__123Graph_X" hidden="1">#REF!</definedName>
    <definedName name="__1A" localSheetId="19">#REF!</definedName>
    <definedName name="__1A">#REF!</definedName>
    <definedName name="__gk2" hidden="1">#REF!</definedName>
    <definedName name="__IntlFixup" hidden="1">TRUE</definedName>
    <definedName name="__jum1" localSheetId="19">#REF!</definedName>
    <definedName name="__jum1">#REF!</definedName>
    <definedName name="__jum10" localSheetId="19">#REF!</definedName>
    <definedName name="__jum10">#REF!</definedName>
    <definedName name="__jum2" localSheetId="19">#REF!</definedName>
    <definedName name="__jum2">#REF!</definedName>
    <definedName name="__jum3" localSheetId="19">#REF!</definedName>
    <definedName name="__jum3">#REF!</definedName>
    <definedName name="__jum4" localSheetId="19">#REF!</definedName>
    <definedName name="__jum4">#REF!</definedName>
    <definedName name="__jum5" localSheetId="19">#REF!</definedName>
    <definedName name="__jum5">#REF!</definedName>
    <definedName name="__jum6" localSheetId="19">#REF!</definedName>
    <definedName name="__jum6">#REF!</definedName>
    <definedName name="__jum7" localSheetId="19">#REF!</definedName>
    <definedName name="__jum7">#REF!</definedName>
    <definedName name="__jum8" localSheetId="19">#REF!</definedName>
    <definedName name="__jum8">#REF!</definedName>
    <definedName name="__jum9" localSheetId="19">#REF!</definedName>
    <definedName name="__jum9">#REF!</definedName>
    <definedName name="__key1" hidden="1">#REF!</definedName>
    <definedName name="_123Graph_F" hidden="1">#REF!</definedName>
    <definedName name="_1A" localSheetId="19">#REF!</definedName>
    <definedName name="_1A">#REF!</definedName>
    <definedName name="_1Excel_BuiltIn_Print_Area_2_1_1_1" localSheetId="19">#REF!</definedName>
    <definedName name="_1Excel_BuiltIn_Print_Area_2_1_1_1">#REF!</definedName>
    <definedName name="_2Excel_BuiltIn_Print_Area_3_1_1_1" localSheetId="19">#REF!</definedName>
    <definedName name="_2Excel_BuiltIn_Print_Area_3_1_1_1">#REF!</definedName>
    <definedName name="_2Excel_BuiltIn_Print_Titles_14_1" localSheetId="19">#REF!</definedName>
    <definedName name="_2Excel_BuiltIn_Print_Titles_14_1">#REF!</definedName>
    <definedName name="_3Excel_BuiltIn_Print_Area_4_1_1_1" localSheetId="19">#REF!</definedName>
    <definedName name="_3Excel_BuiltIn_Print_Area_4_1_1_1">#REF!</definedName>
    <definedName name="_4Excel_BuiltIn_Print_Titles_2_1_1_1" localSheetId="19">#REF!</definedName>
    <definedName name="_4Excel_BuiltIn_Print_Titles_2_1_1_1">#REF!</definedName>
    <definedName name="_5Excel_BuiltIn_Print_Titles_3_1_1_1" localSheetId="19">#REF!</definedName>
    <definedName name="_5Excel_BuiltIn_Print_Titles_3_1_1_1">#REF!</definedName>
    <definedName name="_6Excel_BuiltIn_Print_Titles_4_1_1_1" localSheetId="19">#REF!</definedName>
    <definedName name="_6Excel_BuiltIn_Print_Titles_4_1_1_1">#REF!</definedName>
    <definedName name="_9__123Graph_ACHART_1" localSheetId="12" hidden="1">#REF!</definedName>
    <definedName name="_9__123Graph_ACHART_1" localSheetId="16" hidden="1">#REF!</definedName>
    <definedName name="_9__123Graph_ACHART_1" localSheetId="13" hidden="1">#REF!</definedName>
    <definedName name="_9__123Graph_ACHART_1" localSheetId="14" hidden="1">#REF!</definedName>
    <definedName name="_9__123Graph_ACHART_1" localSheetId="15" hidden="1">#REF!</definedName>
    <definedName name="_9__123Graph_ACHART_1" hidden="1">#REF!</definedName>
    <definedName name="_A" localSheetId="19">#REF!</definedName>
    <definedName name="_A">#REF!</definedName>
    <definedName name="_A_1" localSheetId="19">#REF!</definedName>
    <definedName name="_A_1">#REF!</definedName>
    <definedName name="_Dist_Bin" localSheetId="12" hidden="1">#REF!</definedName>
    <definedName name="_Dist_Bin" localSheetId="16" hidden="1">#REF!</definedName>
    <definedName name="_Dist_Bin" localSheetId="13" hidden="1">#REF!</definedName>
    <definedName name="_Dist_Bin" localSheetId="14" hidden="1">#REF!</definedName>
    <definedName name="_Dist_Bin" localSheetId="15" hidden="1">#REF!</definedName>
    <definedName name="_Dist_Bin" hidden="1">#REF!</definedName>
    <definedName name="_Dist_Values" hidden="1">#REF!</definedName>
    <definedName name="_Fill" localSheetId="2" hidden="1">#REF!</definedName>
    <definedName name="_Fill" hidden="1">#REF!</definedName>
    <definedName name="_xlnm._FilterDatabase" hidden="1">#REF!</definedName>
    <definedName name="_gen1000">#REF!</definedName>
    <definedName name="_gk2" hidden="1">#REF!</definedName>
    <definedName name="_jum1" localSheetId="19">#REF!</definedName>
    <definedName name="_jum1">#REF!</definedName>
    <definedName name="_jum10" localSheetId="19">#REF!</definedName>
    <definedName name="_jum10">#REF!</definedName>
    <definedName name="_jum2" localSheetId="19">#REF!</definedName>
    <definedName name="_jum2">#REF!</definedName>
    <definedName name="_jum3" localSheetId="19">#REF!</definedName>
    <definedName name="_jum3">#REF!</definedName>
    <definedName name="_jum4" localSheetId="19">#REF!</definedName>
    <definedName name="_jum4">#REF!</definedName>
    <definedName name="_jum5" localSheetId="19">#REF!</definedName>
    <definedName name="_jum5">#REF!</definedName>
    <definedName name="_jum6" localSheetId="19">#REF!</definedName>
    <definedName name="_jum6">#REF!</definedName>
    <definedName name="_jum7" localSheetId="19">#REF!</definedName>
    <definedName name="_jum7">#REF!</definedName>
    <definedName name="_jum8" localSheetId="19">#REF!</definedName>
    <definedName name="_jum8">#REF!</definedName>
    <definedName name="_jum9" localSheetId="19">#REF!</definedName>
    <definedName name="_jum9">#REF!</definedName>
    <definedName name="_Key1" localSheetId="2" hidden="1">#REF!</definedName>
    <definedName name="_Key1" hidden="1">#REF!</definedName>
    <definedName name="_Key2" localSheetId="2" hidden="1">#REF!</definedName>
    <definedName name="_Key2" hidden="1">#REF!</definedName>
    <definedName name="_mp3">#REF!</definedName>
    <definedName name="_Order1" hidden="1">255</definedName>
    <definedName name="_Order2" hidden="1">0</definedName>
    <definedName name="_pam120">#REF!</definedName>
    <definedName name="_q" localSheetId="19">#REF!</definedName>
    <definedName name="_q">#REF!</definedName>
    <definedName name="_Sort" localSheetId="2" hidden="1">#REF!</definedName>
    <definedName name="_Sort" hidden="1">#REF!</definedName>
    <definedName name="_Table1_In1" localSheetId="12" hidden="1">#REF!</definedName>
    <definedName name="_Table1_In1" localSheetId="16" hidden="1">#REF!</definedName>
    <definedName name="_Table1_In1" localSheetId="13" hidden="1">#REF!</definedName>
    <definedName name="_Table1_In1" localSheetId="14" hidden="1">#REF!</definedName>
    <definedName name="_Table1_In1" localSheetId="15" hidden="1">#REF!</definedName>
    <definedName name="_Table1_In1" hidden="1">#REF!</definedName>
    <definedName name="_Table1_Out" localSheetId="12" hidden="1">#REF!</definedName>
    <definedName name="_Table1_Out" localSheetId="16" hidden="1">#REF!</definedName>
    <definedName name="_Table1_Out" localSheetId="13" hidden="1">#REF!</definedName>
    <definedName name="_Table1_Out" localSheetId="14" hidden="1">#REF!</definedName>
    <definedName name="_Table1_Out" localSheetId="15" hidden="1">#REF!</definedName>
    <definedName name="_Table1_Out" hidden="1">#REF!</definedName>
    <definedName name="_Table2_In1" localSheetId="12" hidden="1">#REF!</definedName>
    <definedName name="_Table2_In1" localSheetId="16" hidden="1">#REF!</definedName>
    <definedName name="_Table2_In1" localSheetId="13" hidden="1">#REF!</definedName>
    <definedName name="_Table2_In1" localSheetId="14" hidden="1">#REF!</definedName>
    <definedName name="_Table2_In1" localSheetId="15" hidden="1">#REF!</definedName>
    <definedName name="_Table2_In1" hidden="1">#REF!</definedName>
    <definedName name="_Table2_Out" localSheetId="12" hidden="1">#REF!</definedName>
    <definedName name="_Table2_Out" localSheetId="16" hidden="1">#REF!</definedName>
    <definedName name="_Table2_Out" localSheetId="13" hidden="1">#REF!</definedName>
    <definedName name="_Table2_Out" localSheetId="14" hidden="1">#REF!</definedName>
    <definedName name="_Table2_Out" localSheetId="15" hidden="1">#REF!</definedName>
    <definedName name="_Table2_Out" hidden="1">#REF!</definedName>
    <definedName name="_ups10">#REF!</definedName>
    <definedName name="_x" localSheetId="19">#REF!</definedName>
    <definedName name="_x">#REF!</definedName>
    <definedName name="A" localSheetId="19">#REF!</definedName>
    <definedName name="A">#REF!</definedName>
    <definedName name="aaaaa" hidden="1">#REF!</definedName>
    <definedName name="ah" localSheetId="19">#REF!</definedName>
    <definedName name="ah">#REF!</definedName>
    <definedName name="ajunk" localSheetId="3" hidden="1">#REF!</definedName>
    <definedName name="ajunk" hidden="1">#REF!</definedName>
    <definedName name="alb">#REF!</definedName>
    <definedName name="amfm">#REF!</definedName>
    <definedName name="anou">#REF!</definedName>
    <definedName name="baja" localSheetId="5">'IV.GENERAL REPAIR'!#REF!</definedName>
    <definedName name="baja" localSheetId="6">'V.OFFICE &amp; SHOWROOM'!#REF!</definedName>
    <definedName name="baja" localSheetId="7">'VI.KONDISI EXISTING'!#REF!</definedName>
    <definedName name="baja">'III.BODY REPAIR'!#REF!</definedName>
    <definedName name="besi" localSheetId="5">'IV.GENERAL REPAIR'!#REF!</definedName>
    <definedName name="besi" localSheetId="6">'V.OFFICE &amp; SHOWROOM'!#REF!</definedName>
    <definedName name="besi" localSheetId="7">'VI.KONDISI EXISTING'!#REF!</definedName>
    <definedName name="besi">'III.BODY REPAIR'!#REF!</definedName>
    <definedName name="Beton" localSheetId="5">'IV.GENERAL REPAIR'!#REF!</definedName>
    <definedName name="Beton" localSheetId="6">'V.OFFICE &amp; SHOWROOM'!#REF!</definedName>
    <definedName name="Beton" localSheetId="7">'VI.KONDISI EXISTING'!#REF!</definedName>
    <definedName name="Beton">'III.BODY REPAIR'!$G$88</definedName>
    <definedName name="binjai.xls" hidden="1">#REF!</definedName>
    <definedName name="bs" localSheetId="3">'II.PEK. LUAR'!$H$18</definedName>
    <definedName name="cccr">#REF!</definedName>
    <definedName name="ClientState">"'file:///D:/Data/My Project/mmc.xls'#$'Fill this out first___'.$#REF!$#REF!"</definedName>
    <definedName name="ClientZip">"'file:///D:/Data/My Project/mmc.xls'#$'Fill this out first___'.$#REF!$#REF!"</definedName>
    <definedName name="coba" hidden="1">#REF!</definedName>
    <definedName name="Code" hidden="1">#REF!</definedName>
    <definedName name="cov">#REF!</definedName>
    <definedName name="csp">#REF!</definedName>
    <definedName name="data1" hidden="1">#REF!</definedName>
    <definedName name="data2" hidden="1">#REF!</definedName>
    <definedName name="data3" hidden="1">#REF!</definedName>
    <definedName name="Date">#REF!</definedName>
    <definedName name="dcd">#REF!</definedName>
    <definedName name="Discount" hidden="1">#REF!</definedName>
    <definedName name="display_area_2" hidden="1">#REF!</definedName>
    <definedName name="ECP">"'file://Donny/jfp (f)/2.1 Proposal/2.1 Excelcomindo Office Palembang/mmc.xls'#$'Fill this out first___'.$#REF!$#REF!"</definedName>
    <definedName name="efg">#REF!</definedName>
    <definedName name="eg" localSheetId="19">#REF!</definedName>
    <definedName name="eg">#REF!</definedName>
    <definedName name="EL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" localSheetId="1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" localSheetId="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ol">#REF!</definedName>
    <definedName name="equ">#REF!</definedName>
    <definedName name="Excel_BuiltIn_Print_Area">"$#REF!.$A$16:$AL$3872"</definedName>
    <definedName name="Excel_BuiltIn_Print_Area_1" localSheetId="19">#REF!</definedName>
    <definedName name="Excel_BuiltIn_Print_Area_1">#REF!</definedName>
    <definedName name="Excel_BuiltIn_Print_Area_1_1" localSheetId="19">#REF!</definedName>
    <definedName name="Excel_BuiltIn_Print_Area_1_1">#REF!</definedName>
    <definedName name="Excel_BuiltIn_Print_Area_1_1_1">"$#REF!.$A$16:$AJ$1098"</definedName>
    <definedName name="Excel_BuiltIn_Print_Area_1_1_1_1">"$#REF!.$A$16:$AJ$71"</definedName>
    <definedName name="Excel_BuiltIn_Print_Area_1_1_1_1_1">"$#REF!.$A$16:$AJ$1098"</definedName>
    <definedName name="Excel_BuiltIn_Print_Area_1_1_1_1_1_1">"$#REF!.$A$16:$AJ$1098"</definedName>
    <definedName name="Excel_BuiltIn_Print_Area_1_2">"$#REF!.$A$16:$AL$1932"</definedName>
    <definedName name="Excel_BuiltIn_Print_Area_10_1">"$#REF!.$A$16:$AJ$1152"</definedName>
    <definedName name="Excel_BuiltIn_Print_Area_11_1_1">"$#REF!.$A$16:$AJ$74"</definedName>
    <definedName name="Excel_BuiltIn_Print_Area_12" localSheetId="19">#REF!</definedName>
    <definedName name="Excel_BuiltIn_Print_Area_12">#REF!</definedName>
    <definedName name="Excel_BuiltIn_Print_Area_12_1_1">"$#REF!.$A$16:$AI$71"</definedName>
    <definedName name="Excel_BuiltIn_Print_Area_13_1" localSheetId="19">#REF!</definedName>
    <definedName name="Excel_BuiltIn_Print_Area_13_1">#REF!</definedName>
    <definedName name="Excel_BuiltIn_Print_Area_17_1" localSheetId="19">#REF!</definedName>
    <definedName name="Excel_BuiltIn_Print_Area_17_1" localSheetId="8">'REKAP ME'!$A$3:$D$50</definedName>
    <definedName name="Excel_BuiltIn_Print_Area_17_1">#REF!</definedName>
    <definedName name="Excel_BuiltIn_Print_Area_19" localSheetId="19">#REF!</definedName>
    <definedName name="Excel_BuiltIn_Print_Area_19">#REF!</definedName>
    <definedName name="Excel_BuiltIn_Print_Area_2_1" localSheetId="19">#REF!</definedName>
    <definedName name="Excel_BuiltIn_Print_Area_2_1">#REF!</definedName>
    <definedName name="Excel_BuiltIn_Print_Area_2_1_1" localSheetId="19">#REF!</definedName>
    <definedName name="Excel_BuiltIn_Print_Area_2_1_1">#REF!</definedName>
    <definedName name="Excel_BuiltIn_Print_Area_2_1_1_1">"$#REF!.$A$16:$AJ$546"</definedName>
    <definedName name="Excel_BuiltIn_Print_Area_3_1" localSheetId="19">#REF!</definedName>
    <definedName name="Excel_BuiltIn_Print_Area_3_1">#REF!</definedName>
    <definedName name="Excel_BuiltIn_Print_Area_3_1_1" localSheetId="19">#REF!</definedName>
    <definedName name="Excel_BuiltIn_Print_Area_3_1_1">#REF!</definedName>
    <definedName name="Excel_BuiltIn_Print_Area_4_1" localSheetId="19">#REF!</definedName>
    <definedName name="Excel_BuiltIn_Print_Area_4_1">#REF!</definedName>
    <definedName name="Excel_BuiltIn_Print_Area_4_1_1" localSheetId="19">#REF!</definedName>
    <definedName name="Excel_BuiltIn_Print_Area_4_1_1">#REF!</definedName>
    <definedName name="Excel_BuiltIn_Print_Area_4_1_1_1">"$#REF!.$A$16:$AJ$523"</definedName>
    <definedName name="Excel_BuiltIn_Print_Area_5" localSheetId="19">#REF!</definedName>
    <definedName name="Excel_BuiltIn_Print_Area_5">#REF!</definedName>
    <definedName name="Excel_BuiltIn_Print_Area_5_1" localSheetId="19">#REF!</definedName>
    <definedName name="Excel_BuiltIn_Print_Area_5_1">#REF!</definedName>
    <definedName name="Excel_BuiltIn_Print_Area_5_1_1" localSheetId="19">#REF!</definedName>
    <definedName name="Excel_BuiltIn_Print_Area_5_1_1">#REF!</definedName>
    <definedName name="Excel_BuiltIn_Print_Area_5_1_1_1">"$#REF!.$A$16:$AJ$355"</definedName>
    <definedName name="Excel_BuiltIn_Print_Area_6" localSheetId="19">#REF!</definedName>
    <definedName name="Excel_BuiltIn_Print_Area_6">#REF!</definedName>
    <definedName name="Excel_BuiltIn_Print_Area_6_1" localSheetId="19">#REF!</definedName>
    <definedName name="Excel_BuiltIn_Print_Area_6_1">#REF!</definedName>
    <definedName name="Excel_BuiltIn_Print_Area_6_1_1" localSheetId="19">#REF!</definedName>
    <definedName name="Excel_BuiltIn_Print_Area_6_1_1">#REF!</definedName>
    <definedName name="Excel_BuiltIn_Print_Area_6_1_1_1">"$#REF!.$A$16:$AJ$75"</definedName>
    <definedName name="Excel_BuiltIn_Print_Area_7_1" localSheetId="19">#REF!</definedName>
    <definedName name="Excel_BuiltIn_Print_Area_7_1">#REF!</definedName>
    <definedName name="Excel_BuiltIn_Print_Area_9_1" localSheetId="19">#REF!</definedName>
    <definedName name="Excel_BuiltIn_Print_Area_9_1">#REF!</definedName>
    <definedName name="Excel_BuiltIn_Print_Area_9_1_1">"$#REF!.$A$16:$AJ$1638"</definedName>
    <definedName name="Excel_BuiltIn_Print_Titles_1_1" localSheetId="19">#REF!</definedName>
    <definedName name="Excel_BuiltIn_Print_Titles_1_1">#REF!</definedName>
    <definedName name="Excel_BuiltIn_Print_Titles_10_1" localSheetId="19">#REF!</definedName>
    <definedName name="Excel_BuiltIn_Print_Titles_10_1">#REF!</definedName>
    <definedName name="Excel_BuiltIn_Print_Titles_10_1_1">"$#REF!.$A$16:$IV$19"</definedName>
    <definedName name="Excel_BuiltIn_Print_Titles_11_1" localSheetId="19">#REF!</definedName>
    <definedName name="Excel_BuiltIn_Print_Titles_11_1">#REF!</definedName>
    <definedName name="Excel_BuiltIn_Print_Titles_11_1_1" localSheetId="19">#REF!</definedName>
    <definedName name="Excel_BuiltIn_Print_Titles_11_1_1">#REF!</definedName>
    <definedName name="Excel_BuiltIn_Print_Titles_11_1_1_1">"$#REF!.$A$16:$IV$19"</definedName>
    <definedName name="Excel_BuiltIn_Print_Titles_12_1" localSheetId="19">#REF!</definedName>
    <definedName name="Excel_BuiltIn_Print_Titles_12_1">#REF!</definedName>
    <definedName name="Excel_BuiltIn_Print_Titles_12_1_1" localSheetId="19">#REF!</definedName>
    <definedName name="Excel_BuiltIn_Print_Titles_12_1_1">#REF!</definedName>
    <definedName name="Excel_BuiltIn_Print_Titles_13_1" localSheetId="19">#REF!</definedName>
    <definedName name="Excel_BuiltIn_Print_Titles_13_1">#REF!</definedName>
    <definedName name="Excel_BuiltIn_Print_Titles_14_1" localSheetId="19">#REF!</definedName>
    <definedName name="Excel_BuiltIn_Print_Titles_14_1">#REF!</definedName>
    <definedName name="Excel_BuiltIn_Print_Titles_15" localSheetId="19">#REF!</definedName>
    <definedName name="Excel_BuiltIn_Print_Titles_15" localSheetId="12">'I. Elektrikal Infrastruktur'!$A$8:$HK$9</definedName>
    <definedName name="Excel_BuiltIn_Print_Titles_15" localSheetId="13">'II. Elektrikal Body Repair'!$A$8:$HK$9</definedName>
    <definedName name="Excel_BuiltIn_Print_Titles_15" localSheetId="14">'III. Elektrikal General Repair'!$A$8:$HK$9</definedName>
    <definedName name="Excel_BuiltIn_Print_Titles_15" localSheetId="15">'IV. Elekt Office &amp; Showroom'!$A$8:$HJ$9</definedName>
    <definedName name="Excel_BuiltIn_Print_Titles_15">#REF!</definedName>
    <definedName name="Excel_BuiltIn_Print_Titles_16" localSheetId="19">#REF!</definedName>
    <definedName name="Excel_BuiltIn_Print_Titles_16" localSheetId="12">'I. Elektrikal Infrastruktur'!$A$8:$HK$9</definedName>
    <definedName name="Excel_BuiltIn_Print_Titles_16" localSheetId="13">'II. Elektrikal Body Repair'!$A$8:$HK$9</definedName>
    <definedName name="Excel_BuiltIn_Print_Titles_16" localSheetId="14">'III. Elektrikal General Repair'!$A$8:$HK$9</definedName>
    <definedName name="Excel_BuiltIn_Print_Titles_16" localSheetId="15">'IV. Elekt Office &amp; Showroom'!$A$8:$HJ$9</definedName>
    <definedName name="Excel_BuiltIn_Print_Titles_16">#REF!</definedName>
    <definedName name="Excel_BuiltIn_Print_Titles_16_1" localSheetId="19">#REF!</definedName>
    <definedName name="Excel_BuiltIn_Print_Titles_16_1" localSheetId="16">'I. Elektronik Body Repair'!$A$8:$HJ$9</definedName>
    <definedName name="Excel_BuiltIn_Print_Titles_16_1">#REF!</definedName>
    <definedName name="Excel_BuiltIn_Print_Titles_17" localSheetId="19">#REF!</definedName>
    <definedName name="Excel_BuiltIn_Print_Titles_17" localSheetId="16">'I. Elektronik Body Repair'!$A$8:$HJ$9</definedName>
    <definedName name="Excel_BuiltIn_Print_Titles_17">#REF!</definedName>
    <definedName name="Excel_BuiltIn_Print_Titles_18" localSheetId="19">#REF!</definedName>
    <definedName name="Excel_BuiltIn_Print_Titles_18" localSheetId="8">'REKAP ME'!$A$3:$HO$3</definedName>
    <definedName name="Excel_BuiltIn_Print_Titles_18">#REF!</definedName>
    <definedName name="Excel_BuiltIn_Print_Titles_2_1" localSheetId="19">#REF!</definedName>
    <definedName name="Excel_BuiltIn_Print_Titles_2_1">#REF!</definedName>
    <definedName name="Excel_BuiltIn_Print_Titles_2_1_1" localSheetId="19">#REF!</definedName>
    <definedName name="Excel_BuiltIn_Print_Titles_2_1_1">#REF!</definedName>
    <definedName name="Excel_BuiltIn_Print_Titles_3_1" localSheetId="19">#REF!</definedName>
    <definedName name="Excel_BuiltIn_Print_Titles_3_1">#REF!</definedName>
    <definedName name="Excel_BuiltIn_Print_Titles_3_1_1" localSheetId="19">#REF!</definedName>
    <definedName name="Excel_BuiltIn_Print_Titles_3_1_1">#REF!</definedName>
    <definedName name="Excel_BuiltIn_Print_Titles_4_1" localSheetId="19">#REF!</definedName>
    <definedName name="Excel_BuiltIn_Print_Titles_4_1">#REF!</definedName>
    <definedName name="Excel_BuiltIn_Print_Titles_4_1_1" localSheetId="19">#REF!</definedName>
    <definedName name="Excel_BuiltIn_Print_Titles_4_1_1">#REF!</definedName>
    <definedName name="Excel_BuiltIn_Print_Titles_4_1_1_1">"$#REF!.$A$16:$IV$19"</definedName>
    <definedName name="Excel_BuiltIn_Print_Titles_5" localSheetId="19">#REF!</definedName>
    <definedName name="Excel_BuiltIn_Print_Titles_5">#REF!</definedName>
    <definedName name="Excel_BuiltIn_Print_Titles_5_1" localSheetId="19">#REF!</definedName>
    <definedName name="Excel_BuiltIn_Print_Titles_5_1">#REF!</definedName>
    <definedName name="Excel_BuiltIn_Print_Titles_5_1_1" localSheetId="19">#REF!</definedName>
    <definedName name="Excel_BuiltIn_Print_Titles_5_1_1">#REF!</definedName>
    <definedName name="Excel_BuiltIn_Print_Titles_5_1_1_1">"$#REF!.$A$16:$IV$19"</definedName>
    <definedName name="Excel_BuiltIn_Print_Titles_6" localSheetId="19">#REF!</definedName>
    <definedName name="Excel_BuiltIn_Print_Titles_6">#REF!</definedName>
    <definedName name="Excel_BuiltIn_Print_Titles_6_1" localSheetId="19">#REF!</definedName>
    <definedName name="Excel_BuiltIn_Print_Titles_6_1">#REF!</definedName>
    <definedName name="Excel_BuiltIn_Print_Titles_6_1_1">"$#REF!.$A$16:$IV$19"</definedName>
    <definedName name="Excel_BuiltIn_Print_Titles_9_1" localSheetId="19">#REF!</definedName>
    <definedName name="Excel_BuiltIn_Print_Titles_9_1">#REF!</definedName>
    <definedName name="Excel_BuiltIn_Print_Titles_9_1_1">"$#REF!.$A$16:$IV$19"</definedName>
    <definedName name="fa" localSheetId="19">#REF!</definedName>
    <definedName name="fa">#REF!</definedName>
    <definedName name="fall" localSheetId="3" hidden="1">#REF!</definedName>
    <definedName name="fall" hidden="1">#REF!</definedName>
    <definedName name="FCode" hidden="1">#REF!</definedName>
    <definedName name="FILL" hidden="1">#REF!</definedName>
    <definedName name="FILLL" hidden="1">#REF!</definedName>
    <definedName name="fkieifi" hidden="1">#REF!</definedName>
    <definedName name="fr" localSheetId="19">#REF!</definedName>
    <definedName name="fr">#REF!</definedName>
    <definedName name="frc2.1_5">#REF!</definedName>
    <definedName name="fs" localSheetId="19">#REF!</definedName>
    <definedName name="fs">#REF!</definedName>
    <definedName name="gf" hidden="1">#REF!</definedName>
    <definedName name="GFF" hidden="1">#REF!</definedName>
    <definedName name="gh">#REF!</definedName>
    <definedName name="gogon" hidden="1">#REF!</definedName>
    <definedName name="gphp">#REF!</definedName>
    <definedName name="gron5">#REF!</definedName>
    <definedName name="gtt" localSheetId="12" hidden="1">{#N/A,#N/A,FALSE,"REK";#N/A,#N/A,FALSE,"rab"}</definedName>
    <definedName name="gtt" localSheetId="16" hidden="1">{#N/A,#N/A,FALSE,"REK";#N/A,#N/A,FALSE,"rab"}</definedName>
    <definedName name="gtt" localSheetId="13" hidden="1">{#N/A,#N/A,FALSE,"REK";#N/A,#N/A,FALSE,"rab"}</definedName>
    <definedName name="gtt" localSheetId="3" hidden="1">{#N/A,#N/A,FALSE,"REK";#N/A,#N/A,FALSE,"rab"}</definedName>
    <definedName name="gtt" localSheetId="14" hidden="1">{#N/A,#N/A,FALSE,"REK";#N/A,#N/A,FALSE,"rab"}</definedName>
    <definedName name="gtt" localSheetId="15" hidden="1">{#N/A,#N/A,FALSE,"REK";#N/A,#N/A,FALSE,"rab"}</definedName>
    <definedName name="gtt" hidden="1">{#N/A,#N/A,FALSE,"REK";#N/A,#N/A,FALSE,"rab"}</definedName>
    <definedName name="gv">#REF!</definedName>
    <definedName name="harga" hidden="1">#REF!</definedName>
    <definedName name="HiddenRows" hidden="1">#REF!</definedName>
    <definedName name="hsp">#REF!</definedName>
    <definedName name="ilm">#REF!</definedName>
    <definedName name="injin">#REF!</definedName>
    <definedName name="insalb">#REF!</definedName>
    <definedName name="insbs">#REF!</definedName>
    <definedName name="inscs">#REF!</definedName>
    <definedName name="insdet">#REF!</definedName>
    <definedName name="insfs">#REF!</definedName>
    <definedName name="inshs">#REF!</definedName>
    <definedName name="jangan" hidden="1">#REF!</definedName>
    <definedName name="jbfasb">#REF!</definedName>
    <definedName name="jbts">#REF!</definedName>
    <definedName name="jin">#REF!</definedName>
    <definedName name="JJ" localSheetId="19">#REF!</definedName>
    <definedName name="JJ">#REF!</definedName>
    <definedName name="kb" localSheetId="19">#REF!</definedName>
    <definedName name="kb">#REF!</definedName>
    <definedName name="kcl" localSheetId="19">#REF!</definedName>
    <definedName name="kcl">#REF!</definedName>
    <definedName name="koreksi" localSheetId="12" hidden="1">{#N/A,#N/A,FALSE,"REK";#N/A,#N/A,FALSE,"Bq-ARS"}</definedName>
    <definedName name="koreksi" localSheetId="16" hidden="1">{#N/A,#N/A,FALSE,"REK";#N/A,#N/A,FALSE,"Bq-ARS"}</definedName>
    <definedName name="koreksi" localSheetId="13" hidden="1">{#N/A,#N/A,FALSE,"REK";#N/A,#N/A,FALSE,"Bq-ARS"}</definedName>
    <definedName name="koreksi" localSheetId="3" hidden="1">{#N/A,#N/A,FALSE,"REK";#N/A,#N/A,FALSE,"Bq-ARS"}</definedName>
    <definedName name="koreksi" localSheetId="14" hidden="1">{#N/A,#N/A,FALSE,"REK";#N/A,#N/A,FALSE,"Bq-ARS"}</definedName>
    <definedName name="koreksi" localSheetId="15" hidden="1">{#N/A,#N/A,FALSE,"REK";#N/A,#N/A,FALSE,"Bq-ARS"}</definedName>
    <definedName name="koreksi" hidden="1">{#N/A,#N/A,FALSE,"REK";#N/A,#N/A,FALSE,"Bq-ARS"}</definedName>
    <definedName name="Lett" hidden="1">#REF!</definedName>
    <definedName name="llfoeo" hidden="1">#REF!</definedName>
    <definedName name="lmpp" hidden="1">#REF!</definedName>
    <definedName name="lp" localSheetId="19">#REF!</definedName>
    <definedName name="lp">#REF!</definedName>
    <definedName name="ma3.240">#REF!</definedName>
    <definedName name="mcfa">#REF!</definedName>
    <definedName name="mdffa">#REF!</definedName>
    <definedName name="mdfts">#REF!</definedName>
    <definedName name="mmc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1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pa">#REF!</definedName>
    <definedName name="mpb">#REF!</definedName>
    <definedName name="nyy2.40.1_5">#REF!</definedName>
    <definedName name="nyy3.2_5">#REF!</definedName>
    <definedName name="oke" hidden="1">#REF!</definedName>
    <definedName name="OLF" hidden="1">#REF!</definedName>
    <definedName name="OMC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1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rderTable" hidden="1">#REF!</definedName>
    <definedName name="pa" localSheetId="19">#REF!</definedName>
    <definedName name="pa">#REF!</definedName>
    <definedName name="pa6.240">#REF!</definedName>
    <definedName name="pacr">#REF!</definedName>
    <definedName name="pamf">#REF!</definedName>
    <definedName name="pbb">#REF!</definedName>
    <definedName name="pc" localSheetId="19">#REF!</definedName>
    <definedName name="pc">#REF!</definedName>
    <definedName name="pesd">#REF!</definedName>
    <definedName name="pf" localSheetId="19">#REF!</definedName>
    <definedName name="pf">#REF!</definedName>
    <definedName name="ph" localSheetId="19">#REF!</definedName>
    <definedName name="ph">#REF!</definedName>
    <definedName name="Philip" localSheetId="12" hidden="1">{#N/A,#N/A,FALSE,"REK-S-TPL";#N/A,#N/A,FALSE,"REK-TPML";#N/A,#N/A,FALSE,"RAB-TEMPEL"}</definedName>
    <definedName name="Philip" localSheetId="16" hidden="1">{#N/A,#N/A,FALSE,"REK-S-TPL";#N/A,#N/A,FALSE,"REK-TPML";#N/A,#N/A,FALSE,"RAB-TEMPEL"}</definedName>
    <definedName name="Philip" localSheetId="13" hidden="1">{#N/A,#N/A,FALSE,"REK-S-TPL";#N/A,#N/A,FALSE,"REK-TPML";#N/A,#N/A,FALSE,"RAB-TEMPEL"}</definedName>
    <definedName name="Philip" localSheetId="3" hidden="1">{#N/A,#N/A,FALSE,"REK-S-TPL";#N/A,#N/A,FALSE,"REK-TPML";#N/A,#N/A,FALSE,"RAB-TEMPEL"}</definedName>
    <definedName name="Philip" localSheetId="14" hidden="1">{#N/A,#N/A,FALSE,"REK-S-TPL";#N/A,#N/A,FALSE,"REK-TPML";#N/A,#N/A,FALSE,"RAB-TEMPEL"}</definedName>
    <definedName name="Philip" localSheetId="15" hidden="1">{#N/A,#N/A,FALSE,"REK-S-TPL";#N/A,#N/A,FALSE,"REK-TPML";#N/A,#N/A,FALSE,"RAB-TEMPEL"}</definedName>
    <definedName name="Philip" hidden="1">{#N/A,#N/A,FALSE,"REK-S-TPL";#N/A,#N/A,FALSE,"REK-TPML";#N/A,#N/A,FALSE,"RAB-TEMPEL"}</definedName>
    <definedName name="pkp">#REF!</definedName>
    <definedName name="prelim" hidden="1">#REF!</definedName>
    <definedName name="Prem" hidden="1">#REF!</definedName>
    <definedName name="_xlnm.Print_Area" localSheetId="19">'Daftar Materil '!$A$1:$E$129</definedName>
    <definedName name="_xlnm.Print_Area" localSheetId="12">'I. Elektrikal Infrastruktur'!$A$1:$R$43</definedName>
    <definedName name="_xlnm.Print_Area" localSheetId="16">'I. Elektronik Body Repair'!$A$1:$R$61</definedName>
    <definedName name="_xlnm.Print_Area" localSheetId="9">'I. Mek. Infrastruktur'!$B$1:$R$62</definedName>
    <definedName name="_xlnm.Print_Area" localSheetId="2">'I. PERSIAPAN'!$A$1:$V$39</definedName>
    <definedName name="_xlnm.Print_Area" localSheetId="13">'II. Elektrikal Body Repair'!$A$1:$R$169</definedName>
    <definedName name="_xlnm.Print_Area" localSheetId="10">'II. Mek. Body Repair'!$A$1:$Q$188</definedName>
    <definedName name="_xlnm.Print_Area" localSheetId="3">'II.PEK. LUAR'!$B$1:$U$90</definedName>
    <definedName name="_xlnm.Print_Area" localSheetId="14">'III. Elektrikal General Repair'!$A$1:$R$89</definedName>
    <definedName name="_xlnm.Print_Area" localSheetId="11">'III. Mek. General Repair'!$A$1:$Q$88</definedName>
    <definedName name="_xlnm.Print_Area" localSheetId="4">'III.BODY REPAIR'!$B$1:$S$397</definedName>
    <definedName name="_xlnm.Print_Area" localSheetId="20">'INTERIOR-SHOWROOM'!$A$1:$G$245</definedName>
    <definedName name="_xlnm.Print_Area" localSheetId="15">'IV. Elekt Office &amp; Showroom'!$A$1:$R$45</definedName>
    <definedName name="_xlnm.Print_Area" localSheetId="5">'IV.GENERAL REPAIR'!$A$1:$V$261</definedName>
    <definedName name="_xlnm.Print_Area" localSheetId="8">'REKAP ME'!$A$1:$C$27</definedName>
    <definedName name="_xlnm.Print_Area" localSheetId="1">'REKAP TOTAL'!$B$1:$Q$67</definedName>
    <definedName name="_xlnm.Print_Area" localSheetId="6">'V.OFFICE &amp; SHOWROOM'!$B$1:$V$116</definedName>
    <definedName name="_xlnm.Print_Area" localSheetId="7">'VI.KONDISI EXISTING'!$A$1:$T$36</definedName>
    <definedName name="PRINT_AREA_MI">"$#REF!.$A$2955:$AL$2991"</definedName>
    <definedName name="PRINT_AREA_MI_11">"$#REF!.$A$2955:$AL$2991"</definedName>
    <definedName name="PRINT_AREA_MI_12">"$#REF!.$A$2955:$AL$2991"</definedName>
    <definedName name="_xlnm.Print_Titles" localSheetId="19">'Daftar Materil '!$5:$5</definedName>
    <definedName name="_xlnm.Print_Titles" localSheetId="12">'I. Elektrikal Infrastruktur'!$8:$9</definedName>
    <definedName name="_xlnm.Print_Titles" localSheetId="16">'I. Elektronik Body Repair'!$8:$9</definedName>
    <definedName name="_xlnm.Print_Titles" localSheetId="13">'II. Elektrikal Body Repair'!$8:$9</definedName>
    <definedName name="_xlnm.Print_Titles" localSheetId="10">'II. Mek. Body Repair'!$8:$9</definedName>
    <definedName name="_xlnm.Print_Titles" localSheetId="3">'II.PEK. LUAR'!$8:$9</definedName>
    <definedName name="_xlnm.Print_Titles" localSheetId="14">'III. Elektrikal General Repair'!$8:$9</definedName>
    <definedName name="_xlnm.Print_Titles" localSheetId="11">'III. Mek. General Repair'!$8:$9</definedName>
    <definedName name="_xlnm.Print_Titles" localSheetId="4">'III.BODY REPAIR'!$8:$9</definedName>
    <definedName name="_xlnm.Print_Titles" localSheetId="15">'IV. Elekt Office &amp; Showroom'!$8:$9</definedName>
    <definedName name="_xlnm.Print_Titles" localSheetId="5">'IV.GENERAL REPAIR'!$8:$9</definedName>
    <definedName name="_xlnm.Print_Titles" localSheetId="6">'V.OFFICE &amp; SHOWROOM'!$8:$9</definedName>
    <definedName name="_xlnm.Print_Titles" localSheetId="7">'VI.KONDISI EXISTING'!$8:$9</definedName>
    <definedName name="PRINT_TITLES_MI" localSheetId="19">#REF!</definedName>
    <definedName name="PRINT_TITLES_MI">#REF!</definedName>
    <definedName name="ProdForm" hidden="1">#REF!</definedName>
    <definedName name="Product" hidden="1">#REF!</definedName>
    <definedName name="ProjectLocation">#REF!</definedName>
    <definedName name="ProjectNumber">#REF!</definedName>
    <definedName name="ProjectSubtitle">#REF!</definedName>
    <definedName name="ProjectTitle">#REF!</definedName>
    <definedName name="RCArea" hidden="1">#REF!</definedName>
    <definedName name="RE" hidden="1">#REF!</definedName>
    <definedName name="remic">#REF!</definedName>
    <definedName name="rk" localSheetId="19">#REF!</definedName>
    <definedName name="rk">#REF!</definedName>
    <definedName name="ror">#REF!</definedName>
    <definedName name="rpm">#REF!</definedName>
    <definedName name="sat">#REF!</definedName>
    <definedName name="sda" hidden="1">#REF!</definedName>
    <definedName name="Section_1_Title">#REF!</definedName>
    <definedName name="Section_8_Title">#REF!</definedName>
    <definedName name="sg" localSheetId="19">#REF!</definedName>
    <definedName name="sg">#REF!</definedName>
    <definedName name="smr">#REF!</definedName>
    <definedName name="sol">#REF!</definedName>
    <definedName name="sort" hidden="1">#REF!</definedName>
    <definedName name="spb">#REF!</definedName>
    <definedName name="SpecialPrice" hidden="1">#REF!</definedName>
    <definedName name="spf">#REF!</definedName>
    <definedName name="spp" hidden="1">#REF!</definedName>
    <definedName name="sps">#REF!</definedName>
    <definedName name="ss" localSheetId="19">#REF!</definedName>
    <definedName name="ss">#REF!</definedName>
    <definedName name="ssw" localSheetId="19">#REF!</definedName>
    <definedName name="ssw">#REF!</definedName>
    <definedName name="ta" localSheetId="19">#REF!</definedName>
    <definedName name="ta">#REF!</definedName>
    <definedName name="table" localSheetId="3" hidden="1">#REF!</definedName>
    <definedName name="table" hidden="1">#REF!</definedName>
    <definedName name="tanjd" hidden="1">#REF!</definedName>
    <definedName name="tbb4000.10000">#REF!</definedName>
    <definedName name="tbl_ProdInfo" hidden="1">#REF!</definedName>
    <definedName name="td" localSheetId="19">#REF!</definedName>
    <definedName name="td">#REF!</definedName>
    <definedName name="ter" hidden="1">#REF!</definedName>
    <definedName name="tp" localSheetId="19">#REF!</definedName>
    <definedName name="tp">#REF!</definedName>
    <definedName name="tr" localSheetId="19">#REF!</definedName>
    <definedName name="tr">#REF!</definedName>
    <definedName name="tv" localSheetId="19">#REF!</definedName>
    <definedName name="tv">#REF!</definedName>
    <definedName name="uu" hidden="1">#REF!</definedName>
    <definedName name="uv" localSheetId="19">#REF!</definedName>
    <definedName name="uv">#REF!</definedName>
    <definedName name="vd" localSheetId="19">#REF!</definedName>
    <definedName name="vd">#REF!</definedName>
    <definedName name="vl" localSheetId="19">#REF!</definedName>
    <definedName name="vl">#REF!</definedName>
    <definedName name="vvvvvvv" hidden="1">#REF!</definedName>
    <definedName name="waste">#REF!</definedName>
    <definedName name="wedus" localSheetId="3" hidden="1">#REF!</definedName>
    <definedName name="wedus" hidden="1">#REF!</definedName>
    <definedName name="wrn.AAA." localSheetId="12" hidden="1">{#N/A,#N/A,FALSE,"REK";#N/A,#N/A,FALSE,"Bq-ARS"}</definedName>
    <definedName name="wrn.AAA." localSheetId="16" hidden="1">{#N/A,#N/A,FALSE,"REK";#N/A,#N/A,FALSE,"Bq-ARS"}</definedName>
    <definedName name="wrn.AAA." localSheetId="13" hidden="1">{#N/A,#N/A,FALSE,"REK";#N/A,#N/A,FALSE,"Bq-ARS"}</definedName>
    <definedName name="wrn.AAA." localSheetId="3" hidden="1">{#N/A,#N/A,FALSE,"REK";#N/A,#N/A,FALSE,"Bq-ARS"}</definedName>
    <definedName name="wrn.AAA." localSheetId="14" hidden="1">{#N/A,#N/A,FALSE,"REK";#N/A,#N/A,FALSE,"Bq-ARS"}</definedName>
    <definedName name="wrn.AAA." localSheetId="15" hidden="1">{#N/A,#N/A,FALSE,"REK";#N/A,#N/A,FALSE,"Bq-ARS"}</definedName>
    <definedName name="wrn.AAA." hidden="1">{#N/A,#N/A,FALSE,"REK";#N/A,#N/A,FALSE,"Bq-ARS"}</definedName>
    <definedName name="wrn.chi._.tiÆt." localSheetId="12" hidden="1">{#N/A,#N/A,FALSE,"Chi tiÆt"}</definedName>
    <definedName name="wrn.chi._.tiÆt." localSheetId="16" hidden="1">{#N/A,#N/A,FALSE,"Chi tiÆt"}</definedName>
    <definedName name="wrn.chi._.tiÆt." localSheetId="13" hidden="1">{#N/A,#N/A,FALSE,"Chi tiÆt"}</definedName>
    <definedName name="wrn.chi._.tiÆt." localSheetId="3" hidden="1">{#N/A,#N/A,FALSE,"Chi tiÆt"}</definedName>
    <definedName name="wrn.chi._.tiÆt." localSheetId="14" hidden="1">{#N/A,#N/A,FALSE,"Chi tiÆt"}</definedName>
    <definedName name="wrn.chi._.tiÆt." localSheetId="15" hidden="1">{#N/A,#N/A,FALSE,"Chi tiÆt"}</definedName>
    <definedName name="wrn.chi._.tiÆt." hidden="1">{#N/A,#N/A,FALSE,"Chi tiÆt"}</definedName>
    <definedName name="wrn.Full._.Report.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rtpl." localSheetId="12" hidden="1">{#N/A,#N/A,FALSE,"REK-S-TPL";#N/A,#N/A,FALSE,"REK-TPML";#N/A,#N/A,FALSE,"RAB-TEMPEL"}</definedName>
    <definedName name="wrn.rtpl." localSheetId="16" hidden="1">{#N/A,#N/A,FALSE,"REK-S-TPL";#N/A,#N/A,FALSE,"REK-TPML";#N/A,#N/A,FALSE,"RAB-TEMPEL"}</definedName>
    <definedName name="wrn.rtpl." localSheetId="13" hidden="1">{#N/A,#N/A,FALSE,"REK-S-TPL";#N/A,#N/A,FALSE,"REK-TPML";#N/A,#N/A,FALSE,"RAB-TEMPEL"}</definedName>
    <definedName name="wrn.rtpl." localSheetId="3" hidden="1">{#N/A,#N/A,FALSE,"REK-S-TPL";#N/A,#N/A,FALSE,"REK-TPML";#N/A,#N/A,FALSE,"RAB-TEMPEL"}</definedName>
    <definedName name="wrn.rtpl." localSheetId="14" hidden="1">{#N/A,#N/A,FALSE,"REK-S-TPL";#N/A,#N/A,FALSE,"REK-TPML";#N/A,#N/A,FALSE,"RAB-TEMPEL"}</definedName>
    <definedName name="wrn.rtpl." localSheetId="15" hidden="1">{#N/A,#N/A,FALSE,"REK-S-TPL";#N/A,#N/A,FALSE,"REK-TPML";#N/A,#N/A,FALSE,"RAB-TEMPEL"}</definedName>
    <definedName name="wrn.rtpl." hidden="1">{#N/A,#N/A,FALSE,"REK-S-TPL";#N/A,#N/A,FALSE,"REK-TPML";#N/A,#N/A,FALSE,"RAB-TEMPEL"}</definedName>
    <definedName name="wrn.ry" localSheetId="12" hidden="1">{#N/A,#N/A,FALSE,"REK";#N/A,#N/A,FALSE,"rab"}</definedName>
    <definedName name="wrn.ry" localSheetId="16" hidden="1">{#N/A,#N/A,FALSE,"REK";#N/A,#N/A,FALSE,"rab"}</definedName>
    <definedName name="wrn.ry" localSheetId="13" hidden="1">{#N/A,#N/A,FALSE,"REK";#N/A,#N/A,FALSE,"rab"}</definedName>
    <definedName name="wrn.ry" localSheetId="3" hidden="1">{#N/A,#N/A,FALSE,"REK";#N/A,#N/A,FALSE,"rab"}</definedName>
    <definedName name="wrn.ry" localSheetId="14" hidden="1">{#N/A,#N/A,FALSE,"REK";#N/A,#N/A,FALSE,"rab"}</definedName>
    <definedName name="wrn.ry" localSheetId="15" hidden="1">{#N/A,#N/A,FALSE,"REK";#N/A,#N/A,FALSE,"rab"}</definedName>
    <definedName name="wrn.ry" hidden="1">{#N/A,#N/A,FALSE,"REK";#N/A,#N/A,FALSE,"rab"}</definedName>
    <definedName name="wrn.ry." localSheetId="12" hidden="1">{#N/A,#N/A,FALSE,"REK";#N/A,#N/A,FALSE,"rab"}</definedName>
    <definedName name="wrn.ry." localSheetId="16" hidden="1">{#N/A,#N/A,FALSE,"REK";#N/A,#N/A,FALSE,"rab"}</definedName>
    <definedName name="wrn.ry." localSheetId="13" hidden="1">{#N/A,#N/A,FALSE,"REK";#N/A,#N/A,FALSE,"rab"}</definedName>
    <definedName name="wrn.ry." localSheetId="3" hidden="1">{#N/A,#N/A,FALSE,"REK";#N/A,#N/A,FALSE,"rab"}</definedName>
    <definedName name="wrn.ry." localSheetId="14" hidden="1">{#N/A,#N/A,FALSE,"REK";#N/A,#N/A,FALSE,"rab"}</definedName>
    <definedName name="wrn.ry." localSheetId="15" hidden="1">{#N/A,#N/A,FALSE,"REK";#N/A,#N/A,FALSE,"rab"}</definedName>
    <definedName name="wrn.ry." hidden="1">{#N/A,#N/A,FALSE,"REK";#N/A,#N/A,FALSE,"rab"}</definedName>
    <definedName name="yayuk" hidden="1">#REF!</definedName>
    <definedName name="yeir">#REF!</definedName>
    <definedName name="yuiwrei">#REF!</definedName>
    <definedName name="Z" localSheetId="19">#REF!</definedName>
    <definedName name="Z">#REF!</definedName>
    <definedName name="Z_03AB8D74_C3BE_40FE_92FE_1EAEF1A4B29A_.wvu.PrintArea" localSheetId="12" hidden="1">'I. Elektrikal Infrastruktur'!$A$1:$H$43</definedName>
    <definedName name="Z_03AB8D74_C3BE_40FE_92FE_1EAEF1A4B29A_.wvu.PrintArea" localSheetId="9" hidden="1">'I. Mek. Infrastruktur'!$B$1:$G$61</definedName>
    <definedName name="Z_03AB8D74_C3BE_40FE_92FE_1EAEF1A4B29A_.wvu.PrintArea" localSheetId="13" hidden="1">'II. Elektrikal Body Repair'!$A$1:$H$169</definedName>
    <definedName name="Z_03AB8D74_C3BE_40FE_92FE_1EAEF1A4B29A_.wvu.PrintArea" localSheetId="10" hidden="1">'II. Mek. Body Repair'!$A$1:$F$406</definedName>
    <definedName name="Z_03AB8D74_C3BE_40FE_92FE_1EAEF1A4B29A_.wvu.PrintArea" localSheetId="14" hidden="1">'III. Elektrikal General Repair'!$A$1:$H$89</definedName>
    <definedName name="Z_03AB8D74_C3BE_40FE_92FE_1EAEF1A4B29A_.wvu.PrintArea" localSheetId="11" hidden="1">'III. Mek. General Repair'!$A$1:$F$306</definedName>
    <definedName name="Z_03AB8D74_C3BE_40FE_92FE_1EAEF1A4B29A_.wvu.PrintArea" localSheetId="15" hidden="1">'IV. Elekt Office &amp; Showroom'!$A$1:$H$45</definedName>
    <definedName name="Z_068D88C7_088B_468A_8CF1_1F5D24250463_.wvu.PrintArea" localSheetId="3" hidden="1">'II.PEK. LUAR'!$B$7:$I$16</definedName>
    <definedName name="Z_068D88C7_088B_468A_8CF1_1F5D24250463_.wvu.PrintTitles" localSheetId="3" hidden="1">'II.PEK. LUAR'!$8:$8</definedName>
    <definedName name="Z_16631DFC_457A_40EB_B1EE_2A41F7FBE702_.wvu.PrintArea" localSheetId="19" hidden="1">'Daftar Materil '!$A$1:$E$87</definedName>
    <definedName name="Z_16631DFC_457A_40EB_B1EE_2A41F7FBE702_.wvu.PrintArea" localSheetId="12" hidden="1">'I. Elektrikal Infrastruktur'!$A$1:$H$43</definedName>
    <definedName name="Z_16631DFC_457A_40EB_B1EE_2A41F7FBE702_.wvu.PrintArea" localSheetId="9" hidden="1">'I. Mek. Infrastruktur'!$B$1:$G$61</definedName>
    <definedName name="Z_16631DFC_457A_40EB_B1EE_2A41F7FBE702_.wvu.PrintArea" localSheetId="13" hidden="1">'II. Elektrikal Body Repair'!$A$1:$H$169</definedName>
    <definedName name="Z_16631DFC_457A_40EB_B1EE_2A41F7FBE702_.wvu.PrintArea" localSheetId="10" hidden="1">'II. Mek. Body Repair'!$A$1:$F$188</definedName>
    <definedName name="Z_16631DFC_457A_40EB_B1EE_2A41F7FBE702_.wvu.PrintArea" localSheetId="14" hidden="1">'III. Elektrikal General Repair'!$A$1:$H$89</definedName>
    <definedName name="Z_16631DFC_457A_40EB_B1EE_2A41F7FBE702_.wvu.PrintArea" localSheetId="11" hidden="1">'III. Mek. General Repair'!$A$1:$F$88</definedName>
    <definedName name="Z_16631DFC_457A_40EB_B1EE_2A41F7FBE702_.wvu.PrintArea" localSheetId="15" hidden="1">'IV. Elekt Office &amp; Showroom'!$A$1:$H$45</definedName>
    <definedName name="Z_16631DFC_457A_40EB_B1EE_2A41F7FBE702_.wvu.PrintArea" localSheetId="8" hidden="1">'REKAP ME'!$A$1:$D$27</definedName>
    <definedName name="Z_1E1797DC_9B0C_4A20_9D48_53790DC7BF78_.wvu.PrintArea" localSheetId="2" hidden="1">'I. PERSIAPAN'!#REF!</definedName>
    <definedName name="Z_1E1797DC_9B0C_4A20_9D48_53790DC7BF78_.wvu.PrintArea" localSheetId="1" hidden="1">'REKAP TOTAL'!$B$8:$F$11</definedName>
    <definedName name="Z_1E1797DC_9B0C_4A20_9D48_53790DC7BF78_.wvu.PrintTitles" localSheetId="2" hidden="1">'I. PERSIAPAN'!$8:$9</definedName>
    <definedName name="Z_21FD4D0A_CB71_44C0_A235_2BCE8AE4156E_.wvu.PrintArea" localSheetId="19" hidden="1">'Daftar Materil '!$A$1:$E$129</definedName>
    <definedName name="Z_21FD4D0A_CB71_44C0_A235_2BCE8AE4156E_.wvu.PrintArea" localSheetId="12" hidden="1">'I. Elektrikal Infrastruktur'!$A$1:$G$43</definedName>
    <definedName name="Z_21FD4D0A_CB71_44C0_A235_2BCE8AE4156E_.wvu.PrintArea" localSheetId="16" hidden="1">'I. Elektronik Body Repair'!$A$1:$G$61</definedName>
    <definedName name="Z_21FD4D0A_CB71_44C0_A235_2BCE8AE4156E_.wvu.PrintArea" localSheetId="9" hidden="1">'I. Mek. Infrastruktur'!$B$1:$G$61</definedName>
    <definedName name="Z_21FD4D0A_CB71_44C0_A235_2BCE8AE4156E_.wvu.PrintArea" localSheetId="13" hidden="1">'II. Elektrikal Body Repair'!$A$1:$G$169</definedName>
    <definedName name="Z_21FD4D0A_CB71_44C0_A235_2BCE8AE4156E_.wvu.PrintArea" localSheetId="10" hidden="1">'II. Mek. Body Repair'!$A$1:$F$188</definedName>
    <definedName name="Z_21FD4D0A_CB71_44C0_A235_2BCE8AE4156E_.wvu.PrintArea" localSheetId="14" hidden="1">'III. Elektrikal General Repair'!$A$1:$G$89</definedName>
    <definedName name="Z_21FD4D0A_CB71_44C0_A235_2BCE8AE4156E_.wvu.PrintArea" localSheetId="11" hidden="1">'III. Mek. General Repair'!$A$1:$F$88</definedName>
    <definedName name="Z_21FD4D0A_CB71_44C0_A235_2BCE8AE4156E_.wvu.PrintArea" localSheetId="15" hidden="1">'IV. Elekt Office &amp; Showroom'!$A$1:$G$45</definedName>
    <definedName name="Z_21FD4D0A_CB71_44C0_A235_2BCE8AE4156E_.wvu.PrintArea" localSheetId="8" hidden="1">'REKAP ME'!$A$1:$D$27</definedName>
    <definedName name="Z_21FD4D0A_CB71_44C0_A235_2BCE8AE4156E_.wvu.PrintTitles" localSheetId="12" hidden="1">'I. Elektrikal Infrastruktur'!$8:$9</definedName>
    <definedName name="Z_21FD4D0A_CB71_44C0_A235_2BCE8AE4156E_.wvu.PrintTitles" localSheetId="16" hidden="1">'I. Elektronik Body Repair'!$8:$9</definedName>
    <definedName name="Z_21FD4D0A_CB71_44C0_A235_2BCE8AE4156E_.wvu.PrintTitles" localSheetId="13" hidden="1">'II. Elektrikal Body Repair'!$8:$9</definedName>
    <definedName name="Z_21FD4D0A_CB71_44C0_A235_2BCE8AE4156E_.wvu.PrintTitles" localSheetId="14" hidden="1">'III. Elektrikal General Repair'!$8:$9</definedName>
    <definedName name="Z_21FD4D0A_CB71_44C0_A235_2BCE8AE4156E_.wvu.PrintTitles" localSheetId="15" hidden="1">'IV. Elekt Office &amp; Showroom'!$8:$9</definedName>
    <definedName name="Z_23B9F58C_AA49_458A_9C7E_3C45C120A173_.wvu.PrintArea" localSheetId="19" hidden="1">'Daftar Materil '!$A$1:$E$129</definedName>
    <definedName name="Z_23B9F58C_AA49_458A_9C7E_3C45C120A173_.wvu.PrintArea" localSheetId="12" hidden="1">'I. Elektrikal Infrastruktur'!$A$1:$G$43</definedName>
    <definedName name="Z_23B9F58C_AA49_458A_9C7E_3C45C120A173_.wvu.PrintArea" localSheetId="16" hidden="1">'I. Elektronik Body Repair'!$A$1:$G$61</definedName>
    <definedName name="Z_23B9F58C_AA49_458A_9C7E_3C45C120A173_.wvu.PrintArea" localSheetId="9" hidden="1">'I. Mek. Infrastruktur'!$B$1:$G$61</definedName>
    <definedName name="Z_23B9F58C_AA49_458A_9C7E_3C45C120A173_.wvu.PrintArea" localSheetId="13" hidden="1">'II. Elektrikal Body Repair'!$A$1:$G$169</definedName>
    <definedName name="Z_23B9F58C_AA49_458A_9C7E_3C45C120A173_.wvu.PrintArea" localSheetId="10" hidden="1">'II. Mek. Body Repair'!$A$1:$F$188</definedName>
    <definedName name="Z_23B9F58C_AA49_458A_9C7E_3C45C120A173_.wvu.PrintArea" localSheetId="14" hidden="1">'III. Elektrikal General Repair'!$A$1:$G$89</definedName>
    <definedName name="Z_23B9F58C_AA49_458A_9C7E_3C45C120A173_.wvu.PrintArea" localSheetId="11" hidden="1">'III. Mek. General Repair'!$A$1:$F$88</definedName>
    <definedName name="Z_23B9F58C_AA49_458A_9C7E_3C45C120A173_.wvu.PrintArea" localSheetId="15" hidden="1">'IV. Elekt Office &amp; Showroom'!$A$1:$G$45</definedName>
    <definedName name="Z_23B9F58C_AA49_458A_9C7E_3C45C120A173_.wvu.PrintArea" localSheetId="8" hidden="1">'REKAP ME'!$A$1:$D$27</definedName>
    <definedName name="Z_23B9F58C_AA49_458A_9C7E_3C45C120A173_.wvu.PrintTitles" localSheetId="12" hidden="1">'I. Elektrikal Infrastruktur'!$8:$9</definedName>
    <definedName name="Z_23B9F58C_AA49_458A_9C7E_3C45C120A173_.wvu.PrintTitles" localSheetId="16" hidden="1">'I. Elektronik Body Repair'!$8:$9</definedName>
    <definedName name="Z_23B9F58C_AA49_458A_9C7E_3C45C120A173_.wvu.PrintTitles" localSheetId="13" hidden="1">'II. Elektrikal Body Repair'!$8:$9</definedName>
    <definedName name="Z_23B9F58C_AA49_458A_9C7E_3C45C120A173_.wvu.PrintTitles" localSheetId="14" hidden="1">'III. Elektrikal General Repair'!$8:$9</definedName>
    <definedName name="Z_23B9F58C_AA49_458A_9C7E_3C45C120A173_.wvu.PrintTitles" localSheetId="15" hidden="1">'IV. Elekt Office &amp; Showroom'!$8:$9</definedName>
    <definedName name="Z_2557F01D_08D6_4E0C_8BFA_3899BB2E9B8B_.wvu.PrintArea" localSheetId="12" hidden="1">'I. Elektrikal Infrastruktur'!$A$1:$H$43</definedName>
    <definedName name="Z_2557F01D_08D6_4E0C_8BFA_3899BB2E9B8B_.wvu.PrintArea" localSheetId="16" hidden="1">'I. Elektronik Body Repair'!$A$1:$H$61</definedName>
    <definedName name="Z_2557F01D_08D6_4E0C_8BFA_3899BB2E9B8B_.wvu.PrintArea" localSheetId="13" hidden="1">'II. Elektrikal Body Repair'!$A$1:$H$169</definedName>
    <definedName name="Z_2557F01D_08D6_4E0C_8BFA_3899BB2E9B8B_.wvu.PrintArea" localSheetId="14" hidden="1">'III. Elektrikal General Repair'!$A$1:$H$89</definedName>
    <definedName name="Z_2557F01D_08D6_4E0C_8BFA_3899BB2E9B8B_.wvu.PrintArea" localSheetId="15" hidden="1">'IV. Elekt Office &amp; Showroom'!$A$1:$H$45</definedName>
    <definedName name="Z_2A554A2B_1B8C_456B_99CC_F94EC9BA60E1_.wvu.PrintArea" localSheetId="9" hidden="1">'I. Mek. Infrastruktur'!$B$1:$G$61</definedName>
    <definedName name="Z_2A554A2B_1B8C_456B_99CC_F94EC9BA60E1_.wvu.PrintArea" localSheetId="10" hidden="1">'II. Mek. Body Repair'!$A$1:$F$410</definedName>
    <definedName name="Z_2A554A2B_1B8C_456B_99CC_F94EC9BA60E1_.wvu.PrintArea" localSheetId="11" hidden="1">'III. Mek. General Repair'!$A$1:$F$310</definedName>
    <definedName name="Z_3B6852BA_1F32_4838_A9D5_1505E8DC16F5_.wvu.PrintArea" localSheetId="2" hidden="1">'I. PERSIAPAN'!#REF!</definedName>
    <definedName name="Z_3B6852BA_1F32_4838_A9D5_1505E8DC16F5_.wvu.PrintArea" localSheetId="1" hidden="1">'REKAP TOTAL'!$B$8:$F$11</definedName>
    <definedName name="Z_3B6852BA_1F32_4838_A9D5_1505E8DC16F5_.wvu.PrintTitles" localSheetId="2" hidden="1">'I. PERSIAPAN'!$7:$9</definedName>
    <definedName name="Z_4900D912_D400_4A61_8DD9_12CD5711EDE2_.wvu.FilterData" localSheetId="12" hidden="1">#REF!</definedName>
    <definedName name="Z_4900D912_D400_4A61_8DD9_12CD5711EDE2_.wvu.FilterData" localSheetId="16" hidden="1">#REF!</definedName>
    <definedName name="Z_4900D912_D400_4A61_8DD9_12CD5711EDE2_.wvu.FilterData" localSheetId="13" hidden="1">#REF!</definedName>
    <definedName name="Z_4900D912_D400_4A61_8DD9_12CD5711EDE2_.wvu.FilterData" localSheetId="14" hidden="1">#REF!</definedName>
    <definedName name="Z_4900D912_D400_4A61_8DD9_12CD5711EDE2_.wvu.FilterData" localSheetId="15" hidden="1">#REF!</definedName>
    <definedName name="Z_4900D912_D400_4A61_8DD9_12CD5711EDE2_.wvu.FilterData" hidden="1">#REF!</definedName>
    <definedName name="Z_4C2AC15E_5CA2_458B_8373_6D95F4959CD2_.wvu.PrintArea" localSheetId="2" hidden="1">'I. PERSIAPAN'!$B$7:$I$38</definedName>
    <definedName name="Z_4C2AC15E_5CA2_458B_8373_6D95F4959CD2_.wvu.PrintArea" localSheetId="3" hidden="1">'II.PEK. LUAR'!$B$7:$I$45</definedName>
    <definedName name="Z_4C2AC15E_5CA2_458B_8373_6D95F4959CD2_.wvu.PrintArea" localSheetId="1" hidden="1">'REKAP TOTAL'!$B$8:$F$57</definedName>
    <definedName name="Z_4C2AC15E_5CA2_458B_8373_6D95F4959CD2_.wvu.PrintTitles" localSheetId="2" hidden="1">'I. PERSIAPAN'!$8:$9</definedName>
    <definedName name="Z_4C2AC15E_5CA2_458B_8373_6D95F4959CD2_.wvu.PrintTitles" localSheetId="3" hidden="1">'II.PEK. LUAR'!$7:$9</definedName>
    <definedName name="Z_4C2AC15E_5CA2_458B_8373_6D95F4959CD2_.wvu.PrintTitles" localSheetId="1" hidden="1">'REKAP TOTAL'!$8:$10</definedName>
    <definedName name="Z_5107985B_0AF1_481E_8B01_41E5AE471770_.wvu.FilterData" localSheetId="12" hidden="1">#REF!</definedName>
    <definedName name="Z_5107985B_0AF1_481E_8B01_41E5AE471770_.wvu.FilterData" localSheetId="16" hidden="1">#REF!</definedName>
    <definedName name="Z_5107985B_0AF1_481E_8B01_41E5AE471770_.wvu.FilterData" localSheetId="13" hidden="1">#REF!</definedName>
    <definedName name="Z_5107985B_0AF1_481E_8B01_41E5AE471770_.wvu.FilterData" localSheetId="14" hidden="1">#REF!</definedName>
    <definedName name="Z_5107985B_0AF1_481E_8B01_41E5AE471770_.wvu.FilterData" localSheetId="15" hidden="1">#REF!</definedName>
    <definedName name="Z_5107985B_0AF1_481E_8B01_41E5AE471770_.wvu.FilterData" hidden="1">#REF!</definedName>
    <definedName name="Z_5B7C7364_7CAA_4047_A122_0224E981FBAB_.wvu.PrintArea" localSheetId="2" hidden="1">'I. PERSIAPAN'!$B$7:$I$38</definedName>
    <definedName name="Z_5B7C7364_7CAA_4047_A122_0224E981FBAB_.wvu.PrintArea" localSheetId="3" hidden="1">'II.PEK. LUAR'!$B$7:$I$45</definedName>
    <definedName name="Z_5B7C7364_7CAA_4047_A122_0224E981FBAB_.wvu.PrintArea" localSheetId="1" hidden="1">'REKAP TOTAL'!$B$8:$F$57</definedName>
    <definedName name="Z_5B7C7364_7CAA_4047_A122_0224E981FBAB_.wvu.PrintTitles" localSheetId="2" hidden="1">'I. PERSIAPAN'!$8:$9</definedName>
    <definedName name="Z_5B7C7364_7CAA_4047_A122_0224E981FBAB_.wvu.PrintTitles" localSheetId="3" hidden="1">'II.PEK. LUAR'!$7:$9</definedName>
    <definedName name="Z_5B7C7364_7CAA_4047_A122_0224E981FBAB_.wvu.PrintTitles" localSheetId="1" hidden="1">'REKAP TOTAL'!$8:$10</definedName>
    <definedName name="Z_60C09D59_E1B8_4DE0_84A5_C4D52EC877AC_.wvu.Rows" hidden="1">#REF!,#REF!,#REF!,#REF!,#REF!,#REF!,#REF!,#REF!,#REF!</definedName>
    <definedName name="Z_854D43DB_C635_4D51_A82B_18D5381C8694_.wvu.Cols" localSheetId="19" hidden="1">'Daftar Materil '!$F:$F</definedName>
    <definedName name="Z_854D43DB_C635_4D51_A82B_18D5381C8694_.wvu.PrintArea" localSheetId="19" hidden="1">'Daftar Materil '!$A$1:$E$87</definedName>
    <definedName name="Z_854D43DB_C635_4D51_A82B_18D5381C8694_.wvu.PrintArea" localSheetId="12" hidden="1">'I. Elektrikal Infrastruktur'!$A$1:$H$43</definedName>
    <definedName name="Z_854D43DB_C635_4D51_A82B_18D5381C8694_.wvu.PrintArea" localSheetId="9" hidden="1">'I. Mek. Infrastruktur'!$B$1:$G$61</definedName>
    <definedName name="Z_854D43DB_C635_4D51_A82B_18D5381C8694_.wvu.PrintArea" localSheetId="13" hidden="1">'II. Elektrikal Body Repair'!$A$1:$H$169</definedName>
    <definedName name="Z_854D43DB_C635_4D51_A82B_18D5381C8694_.wvu.PrintArea" localSheetId="10" hidden="1">'II. Mek. Body Repair'!$A$1:$F$410</definedName>
    <definedName name="Z_854D43DB_C635_4D51_A82B_18D5381C8694_.wvu.PrintArea" localSheetId="14" hidden="1">'III. Elektrikal General Repair'!$A$1:$H$89</definedName>
    <definedName name="Z_854D43DB_C635_4D51_A82B_18D5381C8694_.wvu.PrintArea" localSheetId="11" hidden="1">'III. Mek. General Repair'!$A$1:$F$310</definedName>
    <definedName name="Z_854D43DB_C635_4D51_A82B_18D5381C8694_.wvu.PrintArea" localSheetId="15" hidden="1">'IV. Elekt Office &amp; Showroom'!$A$1:$H$45</definedName>
    <definedName name="Z_854D43DB_C635_4D51_A82B_18D5381C8694_.wvu.PrintArea" localSheetId="8" hidden="1">'REKAP ME'!$A$1:$D$27</definedName>
    <definedName name="Z_854D43DB_C635_4D51_A82B_18D5381C8694_.wvu.PrintTitles" localSheetId="19" hidden="1">'Daftar Materil '!$1:$5</definedName>
    <definedName name="Z_854D43DB_C635_4D51_A82B_18D5381C8694_.wvu.PrintTitles" localSheetId="12" hidden="1">'I. Elektrikal Infrastruktur'!$8:$9</definedName>
    <definedName name="Z_854D43DB_C635_4D51_A82B_18D5381C8694_.wvu.PrintTitles" localSheetId="16" hidden="1">'I. Elektronik Body Repair'!$8:$9</definedName>
    <definedName name="Z_854D43DB_C635_4D51_A82B_18D5381C8694_.wvu.PrintTitles" localSheetId="9" hidden="1">'I. Mek. Infrastruktur'!$8:$9</definedName>
    <definedName name="Z_854D43DB_C635_4D51_A82B_18D5381C8694_.wvu.PrintTitles" localSheetId="13" hidden="1">'II. Elektrikal Body Repair'!$8:$9</definedName>
    <definedName name="Z_854D43DB_C635_4D51_A82B_18D5381C8694_.wvu.PrintTitles" localSheetId="10" hidden="1">'II. Mek. Body Repair'!$8:$9</definedName>
    <definedName name="Z_854D43DB_C635_4D51_A82B_18D5381C8694_.wvu.PrintTitles" localSheetId="14" hidden="1">'III. Elektrikal General Repair'!$8:$9</definedName>
    <definedName name="Z_854D43DB_C635_4D51_A82B_18D5381C8694_.wvu.PrintTitles" localSheetId="11" hidden="1">'III. Mek. General Repair'!$8:$9</definedName>
    <definedName name="Z_854D43DB_C635_4D51_A82B_18D5381C8694_.wvu.PrintTitles" localSheetId="15" hidden="1">'IV. Elekt Office &amp; Showroom'!$8:$9</definedName>
    <definedName name="Z_88435A10_C245_4C64_B683_3E2CE5289A6F_.wvu.PrintArea" localSheetId="2" hidden="1">'I. PERSIAPAN'!#REF!</definedName>
    <definedName name="Z_88435A10_C245_4C64_B683_3E2CE5289A6F_.wvu.PrintArea" localSheetId="1" hidden="1">'REKAP TOTAL'!$B$8:$F$11</definedName>
    <definedName name="Z_88435A10_C245_4C64_B683_3E2CE5289A6F_.wvu.PrintTitles" localSheetId="2" hidden="1">'I. PERSIAPAN'!$8:$9</definedName>
    <definedName name="Z_905CC869_795C_4E5E_B879_52BB42470404_.wvu.FilterData" hidden="1">#REF!</definedName>
    <definedName name="Z_951381D6_C6D1_4C6C_A572_59CAF1F656FA_.wvu.Rows" hidden="1">#REF!</definedName>
    <definedName name="Z_9663CF64_D956_11DB_8165_00D009C65C56_.wvu.PrintArea" localSheetId="2" hidden="1">'I. PERSIAPAN'!#REF!</definedName>
    <definedName name="Z_9663CF64_D956_11DB_8165_00D009C65C56_.wvu.PrintArea" localSheetId="1" hidden="1">'REKAP TOTAL'!$B$8:$F$11</definedName>
    <definedName name="Z_9663CF64_D956_11DB_8165_00D009C65C56_.wvu.PrintTitles" localSheetId="2" hidden="1">'I. PERSIAPAN'!$8:$9</definedName>
    <definedName name="Z_9C451DF7_4738_4967_867D_4EF09C07CF56_.wvu.PrintArea" localSheetId="9" hidden="1">'I. Mek. Infrastruktur'!$B$1:$G$61</definedName>
    <definedName name="Z_9C451DF7_4738_4967_867D_4EF09C07CF56_.wvu.PrintArea" localSheetId="10" hidden="1">'II. Mek. Body Repair'!$A$1:$F$410</definedName>
    <definedName name="Z_9C451DF7_4738_4967_867D_4EF09C07CF56_.wvu.PrintArea" localSheetId="11" hidden="1">'III. Mek. General Repair'!$A$1:$F$310</definedName>
    <definedName name="Z_AB976FFF_EC15_44C9_ADA6_E2A6D4B82263_.wvu.PrintArea" localSheetId="19" hidden="1">'Daftar Materil '!$A$1:$E$129</definedName>
    <definedName name="Z_AB976FFF_EC15_44C9_ADA6_E2A6D4B82263_.wvu.PrintArea" localSheetId="12" hidden="1">'I. Elektrikal Infrastruktur'!$A$1:$G$43</definedName>
    <definedName name="Z_AB976FFF_EC15_44C9_ADA6_E2A6D4B82263_.wvu.PrintArea" localSheetId="16" hidden="1">'I. Elektronik Body Repair'!$A$1:$G$61</definedName>
    <definedName name="Z_AB976FFF_EC15_44C9_ADA6_E2A6D4B82263_.wvu.PrintArea" localSheetId="9" hidden="1">'I. Mek. Infrastruktur'!$B$1:$G$61</definedName>
    <definedName name="Z_AB976FFF_EC15_44C9_ADA6_E2A6D4B82263_.wvu.PrintArea" localSheetId="13" hidden="1">'II. Elektrikal Body Repair'!$A$1:$G$169</definedName>
    <definedName name="Z_AB976FFF_EC15_44C9_ADA6_E2A6D4B82263_.wvu.PrintArea" localSheetId="10" hidden="1">'II. Mek. Body Repair'!$A$1:$F$188</definedName>
    <definedName name="Z_AB976FFF_EC15_44C9_ADA6_E2A6D4B82263_.wvu.PrintArea" localSheetId="14" hidden="1">'III. Elektrikal General Repair'!$A$1:$G$89</definedName>
    <definedName name="Z_AB976FFF_EC15_44C9_ADA6_E2A6D4B82263_.wvu.PrintArea" localSheetId="11" hidden="1">'III. Mek. General Repair'!$A$1:$F$88</definedName>
    <definedName name="Z_AB976FFF_EC15_44C9_ADA6_E2A6D4B82263_.wvu.PrintArea" localSheetId="15" hidden="1">'IV. Elekt Office &amp; Showroom'!$A$1:$G$45</definedName>
    <definedName name="Z_AB976FFF_EC15_44C9_ADA6_E2A6D4B82263_.wvu.PrintArea" localSheetId="8" hidden="1">'REKAP ME'!$A$1:$D$27</definedName>
    <definedName name="Z_AB976FFF_EC15_44C9_ADA6_E2A6D4B82263_.wvu.PrintTitles" localSheetId="12" hidden="1">'I. Elektrikal Infrastruktur'!$8:$9</definedName>
    <definedName name="Z_AB976FFF_EC15_44C9_ADA6_E2A6D4B82263_.wvu.PrintTitles" localSheetId="16" hidden="1">'I. Elektronik Body Repair'!$8:$9</definedName>
    <definedName name="Z_AB976FFF_EC15_44C9_ADA6_E2A6D4B82263_.wvu.PrintTitles" localSheetId="13" hidden="1">'II. Elektrikal Body Repair'!$8:$9</definedName>
    <definedName name="Z_AB976FFF_EC15_44C9_ADA6_E2A6D4B82263_.wvu.PrintTitles" localSheetId="14" hidden="1">'III. Elektrikal General Repair'!$8:$9</definedName>
    <definedName name="Z_AB976FFF_EC15_44C9_ADA6_E2A6D4B82263_.wvu.PrintTitles" localSheetId="15" hidden="1">'IV. Elekt Office &amp; Showroom'!$8:$9</definedName>
    <definedName name="Z_C5F07B99_5B9B_4D7E_8E51_7715CFFC23CA_.wvu.Rows" localSheetId="12" hidden="1">#REF!,#REF!,#REF!,#REF!,#REF!,#REF!,#REF!,#REF!,#REF!,#REF!,#REF!,#REF!,#REF!,#REF!,#REF!,#REF!</definedName>
    <definedName name="Z_C5F07B99_5B9B_4D7E_8E51_7715CFFC23CA_.wvu.Rows" localSheetId="16" hidden="1">#REF!,#REF!,#REF!,#REF!,#REF!,#REF!,#REF!,#REF!,#REF!,#REF!,#REF!,#REF!,#REF!,#REF!,#REF!,#REF!</definedName>
    <definedName name="Z_C5F07B99_5B9B_4D7E_8E51_7715CFFC23CA_.wvu.Rows" localSheetId="13" hidden="1">#REF!,#REF!,#REF!,#REF!,#REF!,#REF!,#REF!,#REF!,#REF!,#REF!,#REF!,#REF!,#REF!,#REF!,#REF!,#REF!</definedName>
    <definedName name="Z_C5F07B99_5B9B_4D7E_8E51_7715CFFC23CA_.wvu.Rows" localSheetId="14" hidden="1">#REF!,#REF!,#REF!,#REF!,#REF!,#REF!,#REF!,#REF!,#REF!,#REF!,#REF!,#REF!,#REF!,#REF!,#REF!,#REF!</definedName>
    <definedName name="Z_C5F07B99_5B9B_4D7E_8E51_7715CFFC23CA_.wvu.Rows" localSheetId="15" hidden="1">#REF!,#REF!,#REF!,#REF!,#REF!,#REF!,#REF!,#REF!,#REF!,#REF!,#REF!,#REF!,#REF!,#REF!,#REF!,#REF!</definedName>
    <definedName name="Z_C5F07B99_5B9B_4D7E_8E51_7715CFFC23CA_.wvu.Rows" hidden="1">#REF!,#REF!,#REF!,#REF!,#REF!,#REF!,#REF!,#REF!,#REF!,#REF!,#REF!,#REF!,#REF!,#REF!,#REF!,#REF!</definedName>
    <definedName name="Z_C68F7E66_DBEE_4C62_8CE7_6B99B31303FC_.wvu.PrintTitles" localSheetId="3" hidden="1">#REF!</definedName>
    <definedName name="Z_C68F7E66_DBEE_4C62_8CE7_6B99B31303FC_.wvu.PrintTitles" hidden="1">#REF!</definedName>
    <definedName name="Z_C68F7E66_DBEE_4C62_8CE7_6B99B31303FC_.wvu.Rows" hidden="1">#REF!,#REF!,#REF!</definedName>
    <definedName name="Z_DB669CB7_F981_41B6_B4C3_3063796D1090_.wvu.PrintArea" localSheetId="3" hidden="1">'II.PEK. LUAR'!$B$7:$I$16</definedName>
    <definedName name="Z_DB669CB7_F981_41B6_B4C3_3063796D1090_.wvu.PrintTitles" localSheetId="3" hidden="1">'II.PEK. LUAR'!$8:$8</definedName>
    <definedName name="Z_DDC0BB37_5F00_41F7_B136_43C49A82DA61_.wvu.PrintArea" localSheetId="2" hidden="1">'I. PERSIAPAN'!#REF!</definedName>
    <definedName name="Z_DDC0BB37_5F00_41F7_B136_43C49A82DA61_.wvu.PrintArea" localSheetId="1" hidden="1">'REKAP TOTAL'!$B$8:$F$11</definedName>
    <definedName name="Z_DDC0BB37_5F00_41F7_B136_43C49A82DA61_.wvu.PrintTitles" localSheetId="2" hidden="1">'I. PERSIAPAN'!$8:$9</definedName>
    <definedName name="Z_E7DC8D9C_E757_4A13_8CBC_C72BD3B14D9A_.wvu.PrintArea" localSheetId="12" hidden="1">'I. Elektrikal Infrastruktur'!$A$1:$H$43</definedName>
    <definedName name="Z_E7DC8D9C_E757_4A13_8CBC_C72BD3B14D9A_.wvu.PrintArea" localSheetId="13" hidden="1">'II. Elektrikal Body Repair'!$A$1:$H$169</definedName>
    <definedName name="Z_E7DC8D9C_E757_4A13_8CBC_C72BD3B14D9A_.wvu.PrintArea" localSheetId="14" hidden="1">'III. Elektrikal General Repair'!$A$1:$H$89</definedName>
    <definedName name="Z_E7DC8D9C_E757_4A13_8CBC_C72BD3B14D9A_.wvu.PrintArea" localSheetId="15" hidden="1">'IV. Elekt Office &amp; Showroom'!$A$1:$H$45</definedName>
    <definedName name="Z_ED410DB1_D49A_475F_8E8B_230D46DCD8C1_.wvu.PrintArea" localSheetId="2" hidden="1">'I. PERSIAPAN'!#REF!</definedName>
    <definedName name="Z_ED410DB1_D49A_475F_8E8B_230D46DCD8C1_.wvu.PrintArea" localSheetId="1" hidden="1">'REKAP TOTAL'!$B$8:$F$11</definedName>
    <definedName name="Z_ED410DB1_D49A_475F_8E8B_230D46DCD8C1_.wvu.PrintTitles" localSheetId="2" hidden="1">'I. PERSIAPAN'!$7:$10</definedName>
    <definedName name="Z_ED410DB1_D49A_475F_8E8B_230D46DCD8C1_.wvu.Rows" localSheetId="2" hidden="1">'I. PERSIAPAN'!#REF!</definedName>
    <definedName name="Z_F8B87DCF_7D21_4570_B6D0_8D2162EE06F3_.wvu.PrintArea" localSheetId="19" hidden="1">'Daftar Materil '!$A$1:$E$129</definedName>
    <definedName name="Z_F8B87DCF_7D21_4570_B6D0_8D2162EE06F3_.wvu.PrintArea" localSheetId="12" hidden="1">'I. Elektrikal Infrastruktur'!$A$1:$H$43</definedName>
    <definedName name="Z_F8B87DCF_7D21_4570_B6D0_8D2162EE06F3_.wvu.PrintArea" localSheetId="9" hidden="1">'I. Mek. Infrastruktur'!$B$1:$G$61</definedName>
    <definedName name="Z_F8B87DCF_7D21_4570_B6D0_8D2162EE06F3_.wvu.PrintArea" localSheetId="13" hidden="1">'II. Elektrikal Body Repair'!$A$1:$H$169</definedName>
    <definedName name="Z_F8B87DCF_7D21_4570_B6D0_8D2162EE06F3_.wvu.PrintArea" localSheetId="10" hidden="1">'II. Mek. Body Repair'!$A$1:$F$188</definedName>
    <definedName name="Z_F8B87DCF_7D21_4570_B6D0_8D2162EE06F3_.wvu.PrintArea" localSheetId="14" hidden="1">'III. Elektrikal General Repair'!$A$1:$H$89</definedName>
    <definedName name="Z_F8B87DCF_7D21_4570_B6D0_8D2162EE06F3_.wvu.PrintArea" localSheetId="11" hidden="1">'III. Mek. General Repair'!$A$1:$F$88</definedName>
    <definedName name="Z_F8B87DCF_7D21_4570_B6D0_8D2162EE06F3_.wvu.PrintArea" localSheetId="15" hidden="1">'IV. Elekt Office &amp; Showroom'!$A$1:$H$45</definedName>
    <definedName name="Z_F8B87DCF_7D21_4570_B6D0_8D2162EE06F3_.wvu.PrintArea" localSheetId="8" hidden="1">'REKAP ME'!$A$1:$D$27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8" i="11" l="1"/>
  <c r="M12" i="10" s="1"/>
  <c r="M42" i="10" s="1"/>
  <c r="J12" i="10"/>
  <c r="P42" i="10"/>
  <c r="W32" i="11"/>
  <c r="W33" i="11"/>
  <c r="G44" i="75"/>
  <c r="W30" i="11" l="1"/>
  <c r="W35" i="11"/>
  <c r="G245" i="2"/>
  <c r="G239" i="2"/>
  <c r="A237" i="2"/>
  <c r="A236" i="2"/>
  <c r="A234" i="2"/>
  <c r="G228" i="2"/>
  <c r="G223" i="2"/>
  <c r="F223" i="2"/>
  <c r="E223" i="2"/>
  <c r="A223" i="2"/>
  <c r="G213" i="2"/>
  <c r="F213" i="2"/>
  <c r="E213" i="2"/>
  <c r="A213" i="2"/>
  <c r="G206" i="2"/>
  <c r="F206" i="2"/>
  <c r="E206" i="2"/>
  <c r="A206" i="2"/>
  <c r="G199" i="2"/>
  <c r="F199" i="2"/>
  <c r="E199" i="2"/>
  <c r="A198" i="2"/>
  <c r="G195" i="2"/>
  <c r="F195" i="2"/>
  <c r="E195" i="2"/>
  <c r="A195" i="2"/>
  <c r="G189" i="2"/>
  <c r="F189" i="2"/>
  <c r="E189" i="2"/>
  <c r="A189" i="2"/>
  <c r="G182" i="2"/>
  <c r="F182" i="2"/>
  <c r="E182" i="2"/>
  <c r="A182" i="2"/>
  <c r="G176" i="2"/>
  <c r="F176" i="2"/>
  <c r="E176" i="2"/>
  <c r="A176" i="2"/>
  <c r="G169" i="2"/>
  <c r="F169" i="2"/>
  <c r="E169" i="2"/>
  <c r="A169" i="2"/>
  <c r="G162" i="2"/>
  <c r="F162" i="2"/>
  <c r="E162" i="2"/>
  <c r="A162" i="2"/>
  <c r="G154" i="2"/>
  <c r="F154" i="2"/>
  <c r="E154" i="2"/>
  <c r="A154" i="2"/>
  <c r="G147" i="2"/>
  <c r="F147" i="2"/>
  <c r="E147" i="2"/>
  <c r="A147" i="2"/>
  <c r="G140" i="2"/>
  <c r="F140" i="2"/>
  <c r="E140" i="2"/>
  <c r="A139" i="2"/>
  <c r="G131" i="2"/>
  <c r="F131" i="2"/>
  <c r="E131" i="2"/>
  <c r="A131" i="2"/>
  <c r="G126" i="2"/>
  <c r="F126" i="2"/>
  <c r="E126" i="2"/>
  <c r="A126" i="2"/>
  <c r="G117" i="2"/>
  <c r="F117" i="2"/>
  <c r="E117" i="2"/>
  <c r="A117" i="2"/>
  <c r="G107" i="2"/>
  <c r="F107" i="2"/>
  <c r="E107" i="2"/>
  <c r="A107" i="2"/>
  <c r="G99" i="2"/>
  <c r="F99" i="2"/>
  <c r="E99" i="2"/>
  <c r="A99" i="2"/>
  <c r="G92" i="2"/>
  <c r="F92" i="2"/>
  <c r="E92" i="2"/>
  <c r="A92" i="2"/>
  <c r="G83" i="2"/>
  <c r="F83" i="2"/>
  <c r="E83" i="2"/>
  <c r="A83" i="2"/>
  <c r="G76" i="2"/>
  <c r="F76" i="2"/>
  <c r="E76" i="2"/>
  <c r="A76" i="2"/>
  <c r="G69" i="2"/>
  <c r="F69" i="2"/>
  <c r="E69" i="2"/>
  <c r="A69" i="2"/>
  <c r="G62" i="2"/>
  <c r="F62" i="2"/>
  <c r="E62" i="2"/>
  <c r="A62" i="2"/>
  <c r="G58" i="2"/>
  <c r="F58" i="2"/>
  <c r="E58" i="2"/>
  <c r="A58" i="2"/>
  <c r="G48" i="2"/>
  <c r="F48" i="2"/>
  <c r="E48" i="2"/>
  <c r="A48" i="2"/>
  <c r="G41" i="2"/>
  <c r="F41" i="2"/>
  <c r="E41" i="2"/>
  <c r="A41" i="2"/>
  <c r="G34" i="2"/>
  <c r="F34" i="2"/>
  <c r="E34" i="2"/>
  <c r="A34" i="2"/>
  <c r="G28" i="2"/>
  <c r="F28" i="2"/>
  <c r="E28" i="2"/>
  <c r="G20" i="2"/>
  <c r="G18" i="2"/>
  <c r="C18" i="2"/>
  <c r="A18" i="2"/>
  <c r="G17" i="2"/>
  <c r="C17" i="2"/>
  <c r="A17" i="2"/>
  <c r="G16" i="2"/>
  <c r="C16" i="2"/>
  <c r="A16" i="2"/>
  <c r="A14" i="2"/>
  <c r="L11" i="77"/>
  <c r="G61" i="72"/>
  <c r="G58" i="72"/>
  <c r="E58" i="72"/>
  <c r="G54" i="72"/>
  <c r="G51" i="72"/>
  <c r="G46" i="72"/>
  <c r="G37" i="72"/>
  <c r="E37" i="72"/>
  <c r="G35" i="72"/>
  <c r="G24" i="72"/>
  <c r="E24" i="72"/>
  <c r="G21" i="72"/>
  <c r="A5" i="72"/>
  <c r="A4" i="72"/>
  <c r="A3" i="72"/>
  <c r="A2" i="72"/>
  <c r="A1" i="72"/>
  <c r="G45" i="71"/>
  <c r="G41" i="71"/>
  <c r="E41" i="71"/>
  <c r="G39" i="71"/>
  <c r="G36" i="71"/>
  <c r="E36" i="71"/>
  <c r="G34" i="71"/>
  <c r="G32" i="71"/>
  <c r="G29" i="71"/>
  <c r="G24" i="71"/>
  <c r="E24" i="71"/>
  <c r="G22" i="71"/>
  <c r="A6" i="71"/>
  <c r="A5" i="71"/>
  <c r="A4" i="71"/>
  <c r="A3" i="71"/>
  <c r="A2" i="71"/>
  <c r="A1" i="71"/>
  <c r="G89" i="70"/>
  <c r="G85" i="70"/>
  <c r="G82" i="70"/>
  <c r="E82" i="70"/>
  <c r="G79" i="70"/>
  <c r="E79" i="70"/>
  <c r="G77" i="70"/>
  <c r="G75" i="70"/>
  <c r="G72" i="70"/>
  <c r="E72" i="70"/>
  <c r="G70" i="70"/>
  <c r="G68" i="70"/>
  <c r="G65" i="70"/>
  <c r="G62" i="70"/>
  <c r="G59" i="70"/>
  <c r="G46" i="70"/>
  <c r="E46" i="70"/>
  <c r="G43" i="70"/>
  <c r="E43" i="70"/>
  <c r="G38" i="70"/>
  <c r="E38" i="70"/>
  <c r="G35" i="70"/>
  <c r="E35" i="70"/>
  <c r="G23" i="70"/>
  <c r="G22" i="70"/>
  <c r="A6" i="70"/>
  <c r="A5" i="70"/>
  <c r="A4" i="70"/>
  <c r="A3" i="70"/>
  <c r="A2" i="70"/>
  <c r="A1" i="70"/>
  <c r="G169" i="69"/>
  <c r="G166" i="69"/>
  <c r="G164" i="69"/>
  <c r="G162" i="69"/>
  <c r="G161" i="69"/>
  <c r="G160" i="69"/>
  <c r="G156" i="69"/>
  <c r="G154" i="69"/>
  <c r="G151" i="69"/>
  <c r="G142" i="69"/>
  <c r="E142" i="69"/>
  <c r="G140" i="69"/>
  <c r="G138" i="69"/>
  <c r="G136" i="69"/>
  <c r="G134" i="69"/>
  <c r="G131" i="69"/>
  <c r="G128" i="69"/>
  <c r="E128" i="69"/>
  <c r="G126" i="69"/>
  <c r="G124" i="69"/>
  <c r="G122" i="69"/>
  <c r="G119" i="69"/>
  <c r="G116" i="69"/>
  <c r="G113" i="69"/>
  <c r="G110" i="69"/>
  <c r="G107" i="69"/>
  <c r="G104" i="69"/>
  <c r="G101" i="69"/>
  <c r="G90" i="69"/>
  <c r="E90" i="69"/>
  <c r="G88" i="69"/>
  <c r="G86" i="69"/>
  <c r="G84" i="69"/>
  <c r="G82" i="69"/>
  <c r="G80" i="69"/>
  <c r="G78" i="69"/>
  <c r="G76" i="69"/>
  <c r="G74" i="69"/>
  <c r="E74" i="69"/>
  <c r="G72" i="69"/>
  <c r="E72" i="69"/>
  <c r="G58" i="69"/>
  <c r="G55" i="69"/>
  <c r="E55" i="69"/>
  <c r="G52" i="69"/>
  <c r="E52" i="69"/>
  <c r="G49" i="69"/>
  <c r="E49" i="69"/>
  <c r="G44" i="69"/>
  <c r="G33" i="69"/>
  <c r="G31" i="69"/>
  <c r="G29" i="69"/>
  <c r="G27" i="69"/>
  <c r="G25" i="69"/>
  <c r="G23" i="69"/>
  <c r="A6" i="69"/>
  <c r="A5" i="69"/>
  <c r="A4" i="69"/>
  <c r="A3" i="69"/>
  <c r="A2" i="69"/>
  <c r="A1" i="69"/>
  <c r="G43" i="68"/>
  <c r="G38" i="68"/>
  <c r="G26" i="68"/>
  <c r="G23" i="68"/>
  <c r="G19" i="68"/>
  <c r="G15" i="68"/>
  <c r="A6" i="68"/>
  <c r="A5" i="68"/>
  <c r="A4" i="68"/>
  <c r="A3" i="68"/>
  <c r="A2" i="68"/>
  <c r="A1" i="68"/>
  <c r="F87" i="67"/>
  <c r="F85" i="67"/>
  <c r="F84" i="67"/>
  <c r="F76" i="67"/>
  <c r="F72" i="67"/>
  <c r="D72" i="67"/>
  <c r="F71" i="67"/>
  <c r="F67" i="67"/>
  <c r="F64" i="67"/>
  <c r="F52" i="67"/>
  <c r="F47" i="67"/>
  <c r="F41" i="67"/>
  <c r="F37" i="67"/>
  <c r="F36" i="67"/>
  <c r="F29" i="67"/>
  <c r="F28" i="67"/>
  <c r="F21" i="67"/>
  <c r="F20" i="67"/>
  <c r="A6" i="67"/>
  <c r="A5" i="67"/>
  <c r="A4" i="67"/>
  <c r="A3" i="67"/>
  <c r="A2" i="67"/>
  <c r="A1" i="67"/>
  <c r="F187" i="66"/>
  <c r="F185" i="66"/>
  <c r="F184" i="66"/>
  <c r="F176" i="66"/>
  <c r="F172" i="66"/>
  <c r="F171" i="66"/>
  <c r="F170" i="66"/>
  <c r="F161" i="66"/>
  <c r="F157" i="66"/>
  <c r="F153" i="66"/>
  <c r="F149" i="66"/>
  <c r="F145" i="66"/>
  <c r="F142" i="66"/>
  <c r="D142" i="66"/>
  <c r="F139" i="66"/>
  <c r="F134" i="66"/>
  <c r="F128" i="66"/>
  <c r="F124" i="66"/>
  <c r="F120" i="66"/>
  <c r="F117" i="66"/>
  <c r="F105" i="66"/>
  <c r="F99" i="66"/>
  <c r="F98" i="66"/>
  <c r="F97" i="66"/>
  <c r="F93" i="66"/>
  <c r="D93" i="66"/>
  <c r="F90" i="66"/>
  <c r="D90" i="66"/>
  <c r="F89" i="66"/>
  <c r="F88" i="66"/>
  <c r="F81" i="66"/>
  <c r="F76" i="66"/>
  <c r="D76" i="66"/>
  <c r="F73" i="66"/>
  <c r="F72" i="66"/>
  <c r="F71" i="66"/>
  <c r="D71" i="66"/>
  <c r="F65" i="66"/>
  <c r="D65" i="66"/>
  <c r="F60" i="66"/>
  <c r="F56" i="66"/>
  <c r="F55" i="66"/>
  <c r="F49" i="66"/>
  <c r="F48" i="66"/>
  <c r="F47" i="66"/>
  <c r="F46" i="66"/>
  <c r="F42" i="66"/>
  <c r="F41" i="66"/>
  <c r="D41" i="66"/>
  <c r="F35" i="66"/>
  <c r="F34" i="66"/>
  <c r="F33" i="66"/>
  <c r="F26" i="66"/>
  <c r="F24" i="66"/>
  <c r="F22" i="66"/>
  <c r="F21" i="66"/>
  <c r="F18" i="66"/>
  <c r="F17" i="66"/>
  <c r="F16" i="66"/>
  <c r="A6" i="66"/>
  <c r="A5" i="66"/>
  <c r="A4" i="66"/>
  <c r="A3" i="66"/>
  <c r="A2" i="66"/>
  <c r="A1" i="66"/>
  <c r="G59" i="65"/>
  <c r="G54" i="65"/>
  <c r="I16" i="65"/>
  <c r="G16" i="65"/>
  <c r="B6" i="65"/>
  <c r="B5" i="65"/>
  <c r="B4" i="65"/>
  <c r="B3" i="65"/>
  <c r="B2" i="65"/>
  <c r="B1" i="65"/>
  <c r="C27" i="64"/>
  <c r="C24" i="64"/>
  <c r="C21" i="64"/>
  <c r="C20" i="64"/>
  <c r="C17" i="64"/>
  <c r="C16" i="64"/>
  <c r="C15" i="64"/>
  <c r="C12" i="64"/>
  <c r="C11" i="64"/>
  <c r="I36" i="63"/>
  <c r="I33" i="63"/>
  <c r="I32" i="63"/>
  <c r="I31" i="63"/>
  <c r="I30" i="63"/>
  <c r="I29" i="63"/>
  <c r="I28" i="63"/>
  <c r="I27" i="63"/>
  <c r="I26" i="63"/>
  <c r="I25" i="63"/>
  <c r="I18" i="63"/>
  <c r="I16" i="63"/>
  <c r="D16" i="63"/>
  <c r="A14" i="63"/>
  <c r="A6" i="63"/>
  <c r="A5" i="63"/>
  <c r="A4" i="63"/>
  <c r="A3" i="63"/>
  <c r="A2" i="63"/>
  <c r="A1" i="63"/>
  <c r="J116" i="32"/>
  <c r="J114" i="32"/>
  <c r="J113" i="32"/>
  <c r="J112" i="32"/>
  <c r="J111" i="32"/>
  <c r="J110" i="32"/>
  <c r="J109" i="32"/>
  <c r="J108" i="32"/>
  <c r="J107" i="32"/>
  <c r="J106" i="32"/>
  <c r="J105" i="32"/>
  <c r="J104" i="32"/>
  <c r="J103" i="32"/>
  <c r="J102" i="32"/>
  <c r="J101" i="32"/>
  <c r="J96" i="32"/>
  <c r="J94" i="32"/>
  <c r="J93" i="32"/>
  <c r="J91" i="32"/>
  <c r="J90" i="32"/>
  <c r="J88" i="32"/>
  <c r="J87" i="32"/>
  <c r="J85" i="32"/>
  <c r="J84" i="32"/>
  <c r="J82" i="32"/>
  <c r="J77" i="32"/>
  <c r="J75" i="32"/>
  <c r="J74" i="32"/>
  <c r="J72" i="32"/>
  <c r="J71" i="32"/>
  <c r="J65" i="32"/>
  <c r="J60" i="32"/>
  <c r="J51" i="32"/>
  <c r="J47" i="32"/>
  <c r="J45" i="32"/>
  <c r="J44" i="32"/>
  <c r="J39" i="32"/>
  <c r="J37" i="32"/>
  <c r="J34" i="32"/>
  <c r="J25" i="32"/>
  <c r="J21" i="32"/>
  <c r="E21" i="32"/>
  <c r="J20" i="32"/>
  <c r="E20" i="32"/>
  <c r="J19" i="32"/>
  <c r="E19" i="32"/>
  <c r="J18" i="32"/>
  <c r="E18" i="32"/>
  <c r="J17" i="32"/>
  <c r="E17" i="32"/>
  <c r="J16" i="32"/>
  <c r="E16" i="32"/>
  <c r="B14" i="32"/>
  <c r="B6" i="32"/>
  <c r="B5" i="32"/>
  <c r="B4" i="32"/>
  <c r="B3" i="32"/>
  <c r="B2" i="32"/>
  <c r="B1" i="32"/>
  <c r="J260" i="13"/>
  <c r="J258" i="13"/>
  <c r="J256" i="13"/>
  <c r="J255" i="13"/>
  <c r="J254" i="13"/>
  <c r="J252" i="13"/>
  <c r="J251" i="13"/>
  <c r="J250" i="13"/>
  <c r="J245" i="13"/>
  <c r="J244" i="13"/>
  <c r="J243" i="13"/>
  <c r="D242" i="13"/>
  <c r="J241" i="13"/>
  <c r="J240" i="13"/>
  <c r="D240" i="13"/>
  <c r="J239" i="13"/>
  <c r="D239" i="13"/>
  <c r="J238" i="13"/>
  <c r="J237" i="13"/>
  <c r="J235" i="13"/>
  <c r="J233" i="13"/>
  <c r="J228" i="13"/>
  <c r="J226" i="13"/>
  <c r="J224" i="13"/>
  <c r="J221" i="13"/>
  <c r="J219" i="13"/>
  <c r="J217" i="13"/>
  <c r="J216" i="13"/>
  <c r="J215" i="13"/>
  <c r="J210" i="13"/>
  <c r="J209" i="13"/>
  <c r="J208" i="13"/>
  <c r="J206" i="13"/>
  <c r="J205" i="13"/>
  <c r="J204" i="13"/>
  <c r="J200" i="13"/>
  <c r="J198" i="13"/>
  <c r="J196" i="13"/>
  <c r="J193" i="13"/>
  <c r="J191" i="13"/>
  <c r="J189" i="13"/>
  <c r="J188" i="13"/>
  <c r="J187" i="13"/>
  <c r="J183" i="13"/>
  <c r="J182" i="13"/>
  <c r="J178" i="13"/>
  <c r="J177" i="13"/>
  <c r="J176" i="13"/>
  <c r="J175" i="13"/>
  <c r="J174" i="13"/>
  <c r="J173" i="13"/>
  <c r="J170" i="13"/>
  <c r="J169" i="13"/>
  <c r="J167" i="13"/>
  <c r="J166" i="13"/>
  <c r="J163" i="13"/>
  <c r="J162" i="13"/>
  <c r="J155" i="13"/>
  <c r="J154" i="13"/>
  <c r="J153" i="13"/>
  <c r="J152" i="13"/>
  <c r="J151" i="13"/>
  <c r="J150" i="13"/>
  <c r="J149" i="13"/>
  <c r="J148" i="13"/>
  <c r="J147" i="13"/>
  <c r="J146" i="13"/>
  <c r="J139" i="13"/>
  <c r="J137" i="13"/>
  <c r="J136" i="13"/>
  <c r="J135" i="13"/>
  <c r="J134" i="13"/>
  <c r="J133" i="13"/>
  <c r="J132" i="13"/>
  <c r="J127" i="13"/>
  <c r="J125" i="13"/>
  <c r="J123" i="13"/>
  <c r="J121" i="13"/>
  <c r="J119" i="13"/>
  <c r="J114" i="13"/>
  <c r="J112" i="13"/>
  <c r="J110" i="13"/>
  <c r="J108" i="13"/>
  <c r="J105" i="13"/>
  <c r="J99" i="13"/>
  <c r="J97" i="13"/>
  <c r="J92" i="13"/>
  <c r="J90" i="13"/>
  <c r="J88" i="13"/>
  <c r="J86" i="13"/>
  <c r="J84" i="13"/>
  <c r="J82" i="13"/>
  <c r="J77" i="13"/>
  <c r="J75" i="13"/>
  <c r="J72" i="13"/>
  <c r="J65" i="13"/>
  <c r="J63" i="13"/>
  <c r="J58" i="13"/>
  <c r="J56" i="13"/>
  <c r="J55" i="13"/>
  <c r="J54" i="13"/>
  <c r="J53" i="13"/>
  <c r="J52" i="13"/>
  <c r="J51" i="13"/>
  <c r="J47" i="13"/>
  <c r="J46" i="13"/>
  <c r="J45" i="13"/>
  <c r="J44" i="13"/>
  <c r="J43" i="13"/>
  <c r="J42" i="13"/>
  <c r="J34" i="13"/>
  <c r="J30" i="13"/>
  <c r="E30" i="13"/>
  <c r="J29" i="13"/>
  <c r="E29" i="13"/>
  <c r="J28" i="13"/>
  <c r="E28" i="13"/>
  <c r="J27" i="13"/>
  <c r="E27" i="13"/>
  <c r="J26" i="13"/>
  <c r="E26" i="13"/>
  <c r="J25" i="13"/>
  <c r="E25" i="13"/>
  <c r="J24" i="13"/>
  <c r="E24" i="13"/>
  <c r="B22" i="13"/>
  <c r="J19" i="13"/>
  <c r="J16" i="13"/>
  <c r="E16" i="13"/>
  <c r="J15" i="13"/>
  <c r="E15" i="13"/>
  <c r="E13" i="13"/>
  <c r="B6" i="13"/>
  <c r="B5" i="13"/>
  <c r="B4" i="13"/>
  <c r="B3" i="13"/>
  <c r="B2" i="13"/>
  <c r="B1" i="13"/>
  <c r="L396" i="1"/>
  <c r="H396" i="1"/>
  <c r="Q394" i="1"/>
  <c r="P394" i="1"/>
  <c r="N394" i="1"/>
  <c r="M394" i="1"/>
  <c r="H394" i="1"/>
  <c r="Q392" i="1"/>
  <c r="P392" i="1"/>
  <c r="N392" i="1"/>
  <c r="M392" i="1"/>
  <c r="H392" i="1"/>
  <c r="Q390" i="1"/>
  <c r="P390" i="1"/>
  <c r="N390" i="1"/>
  <c r="M390" i="1"/>
  <c r="H390" i="1"/>
  <c r="Q388" i="1"/>
  <c r="P388" i="1"/>
  <c r="N388" i="1"/>
  <c r="M388" i="1"/>
  <c r="H388" i="1"/>
  <c r="Q386" i="1"/>
  <c r="P386" i="1"/>
  <c r="N386" i="1"/>
  <c r="M386" i="1"/>
  <c r="H386" i="1"/>
  <c r="L382" i="1"/>
  <c r="H382" i="1"/>
  <c r="Q380" i="1"/>
  <c r="P380" i="1"/>
  <c r="N380" i="1"/>
  <c r="M380" i="1"/>
  <c r="H380" i="1"/>
  <c r="Q379" i="1"/>
  <c r="P379" i="1"/>
  <c r="N379" i="1"/>
  <c r="M379" i="1"/>
  <c r="H379" i="1"/>
  <c r="Q378" i="1"/>
  <c r="P378" i="1"/>
  <c r="N378" i="1"/>
  <c r="M378" i="1"/>
  <c r="H378" i="1"/>
  <c r="Q377" i="1"/>
  <c r="P377" i="1"/>
  <c r="N377" i="1"/>
  <c r="M377" i="1"/>
  <c r="H377" i="1"/>
  <c r="Q376" i="1"/>
  <c r="P376" i="1"/>
  <c r="N376" i="1"/>
  <c r="M376" i="1"/>
  <c r="H376" i="1"/>
  <c r="Q375" i="1"/>
  <c r="P375" i="1"/>
  <c r="N375" i="1"/>
  <c r="M375" i="1"/>
  <c r="H375" i="1"/>
  <c r="L370" i="1"/>
  <c r="H370" i="1"/>
  <c r="Q368" i="1"/>
  <c r="P368" i="1"/>
  <c r="N368" i="1"/>
  <c r="M368" i="1"/>
  <c r="H368" i="1"/>
  <c r="Q366" i="1"/>
  <c r="P366" i="1"/>
  <c r="N366" i="1"/>
  <c r="M366" i="1"/>
  <c r="H366" i="1"/>
  <c r="Q364" i="1"/>
  <c r="P364" i="1"/>
  <c r="N364" i="1"/>
  <c r="M364" i="1"/>
  <c r="H364" i="1"/>
  <c r="Q362" i="1"/>
  <c r="P362" i="1"/>
  <c r="N362" i="1"/>
  <c r="M362" i="1"/>
  <c r="H362" i="1"/>
  <c r="Q360" i="1"/>
  <c r="P360" i="1"/>
  <c r="N360" i="1"/>
  <c r="M360" i="1"/>
  <c r="H360" i="1"/>
  <c r="Q358" i="1"/>
  <c r="P358" i="1"/>
  <c r="N358" i="1"/>
  <c r="M358" i="1"/>
  <c r="H358" i="1"/>
  <c r="L353" i="1"/>
  <c r="H353" i="1"/>
  <c r="Q351" i="1"/>
  <c r="P351" i="1"/>
  <c r="N351" i="1"/>
  <c r="M351" i="1"/>
  <c r="H351" i="1"/>
  <c r="Q349" i="1"/>
  <c r="P349" i="1"/>
  <c r="N349" i="1"/>
  <c r="M349" i="1"/>
  <c r="H349" i="1"/>
  <c r="Q346" i="1"/>
  <c r="P346" i="1"/>
  <c r="N346" i="1"/>
  <c r="M346" i="1"/>
  <c r="H346" i="1"/>
  <c r="L340" i="1"/>
  <c r="H340" i="1"/>
  <c r="Q335" i="1"/>
  <c r="P335" i="1"/>
  <c r="N335" i="1"/>
  <c r="M335" i="1"/>
  <c r="H335" i="1"/>
  <c r="Q330" i="1"/>
  <c r="P330" i="1"/>
  <c r="N330" i="1"/>
  <c r="M330" i="1"/>
  <c r="H330" i="1"/>
  <c r="Q325" i="1"/>
  <c r="P325" i="1"/>
  <c r="N325" i="1"/>
  <c r="M325" i="1"/>
  <c r="H325" i="1"/>
  <c r="Q320" i="1"/>
  <c r="P320" i="1"/>
  <c r="N320" i="1"/>
  <c r="M320" i="1"/>
  <c r="H320" i="1"/>
  <c r="Q315" i="1"/>
  <c r="P315" i="1"/>
  <c r="N315" i="1"/>
  <c r="M315" i="1"/>
  <c r="H315" i="1"/>
  <c r="Q310" i="1"/>
  <c r="P310" i="1"/>
  <c r="N310" i="1"/>
  <c r="M310" i="1"/>
  <c r="H310" i="1"/>
  <c r="Q306" i="1"/>
  <c r="P306" i="1"/>
  <c r="N306" i="1"/>
  <c r="M306" i="1"/>
  <c r="H306" i="1"/>
  <c r="Q302" i="1"/>
  <c r="P302" i="1"/>
  <c r="N302" i="1"/>
  <c r="M302" i="1"/>
  <c r="H302" i="1"/>
  <c r="Q292" i="1"/>
  <c r="P292" i="1"/>
  <c r="N292" i="1"/>
  <c r="M292" i="1"/>
  <c r="H292" i="1"/>
  <c r="Q285" i="1"/>
  <c r="P285" i="1"/>
  <c r="N285" i="1"/>
  <c r="M285" i="1"/>
  <c r="H285" i="1"/>
  <c r="Q278" i="1"/>
  <c r="P278" i="1"/>
  <c r="N278" i="1"/>
  <c r="M278" i="1"/>
  <c r="H278" i="1"/>
  <c r="Q268" i="1"/>
  <c r="P268" i="1"/>
  <c r="N268" i="1"/>
  <c r="M268" i="1"/>
  <c r="H268" i="1"/>
  <c r="L264" i="1"/>
  <c r="H264" i="1"/>
  <c r="Q262" i="1"/>
  <c r="P262" i="1"/>
  <c r="N262" i="1"/>
  <c r="M262" i="1"/>
  <c r="H262" i="1"/>
  <c r="Q260" i="1"/>
  <c r="P260" i="1"/>
  <c r="N260" i="1"/>
  <c r="M260" i="1"/>
  <c r="H260" i="1"/>
  <c r="Q258" i="1"/>
  <c r="P258" i="1"/>
  <c r="N258" i="1"/>
  <c r="M258" i="1"/>
  <c r="H258" i="1"/>
  <c r="Q256" i="1"/>
  <c r="P256" i="1"/>
  <c r="N256" i="1"/>
  <c r="M256" i="1"/>
  <c r="H256" i="1"/>
  <c r="L251" i="1"/>
  <c r="H251" i="1"/>
  <c r="Q249" i="1"/>
  <c r="P249" i="1"/>
  <c r="N249" i="1"/>
  <c r="M249" i="1"/>
  <c r="H249" i="1"/>
  <c r="Q247" i="1"/>
  <c r="P247" i="1"/>
  <c r="N247" i="1"/>
  <c r="M247" i="1"/>
  <c r="H247" i="1"/>
  <c r="Q245" i="1"/>
  <c r="P245" i="1"/>
  <c r="N245" i="1"/>
  <c r="M245" i="1"/>
  <c r="H245" i="1"/>
  <c r="Q243" i="1"/>
  <c r="P243" i="1"/>
  <c r="N243" i="1"/>
  <c r="M243" i="1"/>
  <c r="H243" i="1"/>
  <c r="Q241" i="1"/>
  <c r="P241" i="1"/>
  <c r="N241" i="1"/>
  <c r="M241" i="1"/>
  <c r="H241" i="1"/>
  <c r="Q239" i="1"/>
  <c r="P239" i="1"/>
  <c r="N239" i="1"/>
  <c r="M239" i="1"/>
  <c r="H239" i="1"/>
  <c r="L234" i="1"/>
  <c r="H234" i="1"/>
  <c r="Q232" i="1"/>
  <c r="P232" i="1"/>
  <c r="N232" i="1"/>
  <c r="M232" i="1"/>
  <c r="H232" i="1"/>
  <c r="Q229" i="1"/>
  <c r="P229" i="1"/>
  <c r="N229" i="1"/>
  <c r="M229" i="1"/>
  <c r="H229" i="1"/>
  <c r="H222" i="1"/>
  <c r="L221" i="1"/>
  <c r="H221" i="1"/>
  <c r="Q219" i="1"/>
  <c r="P219" i="1"/>
  <c r="N219" i="1"/>
  <c r="M219" i="1"/>
  <c r="H219" i="1"/>
  <c r="L214" i="1"/>
  <c r="H214" i="1"/>
  <c r="Q212" i="1"/>
  <c r="P212" i="1"/>
  <c r="N212" i="1"/>
  <c r="M212" i="1"/>
  <c r="H212" i="1"/>
  <c r="Q211" i="1"/>
  <c r="P211" i="1"/>
  <c r="N211" i="1"/>
  <c r="M211" i="1"/>
  <c r="H211" i="1"/>
  <c r="Q210" i="1"/>
  <c r="P210" i="1"/>
  <c r="N210" i="1"/>
  <c r="M210" i="1"/>
  <c r="H210" i="1"/>
  <c r="H209" i="1"/>
  <c r="B209" i="1"/>
  <c r="Q208" i="1"/>
  <c r="P208" i="1"/>
  <c r="N208" i="1"/>
  <c r="M208" i="1"/>
  <c r="H208" i="1"/>
  <c r="Q205" i="1"/>
  <c r="P205" i="1"/>
  <c r="N205" i="1"/>
  <c r="M205" i="1"/>
  <c r="H205" i="1"/>
  <c r="Q204" i="1"/>
  <c r="P204" i="1"/>
  <c r="N204" i="1"/>
  <c r="M204" i="1"/>
  <c r="H204" i="1"/>
  <c r="Q202" i="1"/>
  <c r="P202" i="1"/>
  <c r="N202" i="1"/>
  <c r="M202" i="1"/>
  <c r="H202" i="1"/>
  <c r="Q201" i="1"/>
  <c r="P201" i="1"/>
  <c r="N201" i="1"/>
  <c r="M201" i="1"/>
  <c r="H201" i="1"/>
  <c r="Q200" i="1"/>
  <c r="P200" i="1"/>
  <c r="N200" i="1"/>
  <c r="M200" i="1"/>
  <c r="H200" i="1"/>
  <c r="Q199" i="1"/>
  <c r="P199" i="1"/>
  <c r="N199" i="1"/>
  <c r="M199" i="1"/>
  <c r="H199" i="1"/>
  <c r="B198" i="1"/>
  <c r="Q197" i="1"/>
  <c r="P197" i="1"/>
  <c r="N197" i="1"/>
  <c r="M197" i="1"/>
  <c r="H197" i="1"/>
  <c r="B197" i="1"/>
  <c r="Q196" i="1"/>
  <c r="P196" i="1"/>
  <c r="N196" i="1"/>
  <c r="M196" i="1"/>
  <c r="H196" i="1"/>
  <c r="Q195" i="1"/>
  <c r="P195" i="1"/>
  <c r="N195" i="1"/>
  <c r="M195" i="1"/>
  <c r="H195" i="1"/>
  <c r="L190" i="1"/>
  <c r="H190" i="1"/>
  <c r="Q186" i="1"/>
  <c r="P186" i="1"/>
  <c r="N186" i="1"/>
  <c r="M186" i="1"/>
  <c r="H186" i="1"/>
  <c r="Q185" i="1"/>
  <c r="P185" i="1"/>
  <c r="N185" i="1"/>
  <c r="M185" i="1"/>
  <c r="H185" i="1"/>
  <c r="Q184" i="1"/>
  <c r="P184" i="1"/>
  <c r="N184" i="1"/>
  <c r="M184" i="1"/>
  <c r="H184" i="1"/>
  <c r="Q183" i="1"/>
  <c r="P183" i="1"/>
  <c r="N183" i="1"/>
  <c r="M183" i="1"/>
  <c r="H183" i="1"/>
  <c r="Q182" i="1"/>
  <c r="P182" i="1"/>
  <c r="N182" i="1"/>
  <c r="M182" i="1"/>
  <c r="H182" i="1"/>
  <c r="H181" i="1"/>
  <c r="B181" i="1"/>
  <c r="Q180" i="1"/>
  <c r="P180" i="1"/>
  <c r="N180" i="1"/>
  <c r="M180" i="1"/>
  <c r="H180" i="1"/>
  <c r="B180" i="1"/>
  <c r="Q179" i="1"/>
  <c r="P179" i="1"/>
  <c r="N179" i="1"/>
  <c r="M179" i="1"/>
  <c r="H179" i="1"/>
  <c r="B179" i="1"/>
  <c r="Q178" i="1"/>
  <c r="P178" i="1"/>
  <c r="N178" i="1"/>
  <c r="M178" i="1"/>
  <c r="H178" i="1"/>
  <c r="Q177" i="1"/>
  <c r="P177" i="1"/>
  <c r="N177" i="1"/>
  <c r="M177" i="1"/>
  <c r="H177" i="1"/>
  <c r="Q176" i="1"/>
  <c r="P176" i="1"/>
  <c r="N176" i="1"/>
  <c r="M176" i="1"/>
  <c r="H176" i="1"/>
  <c r="Q175" i="1"/>
  <c r="P175" i="1"/>
  <c r="N175" i="1"/>
  <c r="M175" i="1"/>
  <c r="H175" i="1"/>
  <c r="Q174" i="1"/>
  <c r="P174" i="1"/>
  <c r="N174" i="1"/>
  <c r="M174" i="1"/>
  <c r="H174" i="1"/>
  <c r="Q173" i="1"/>
  <c r="P173" i="1"/>
  <c r="N173" i="1"/>
  <c r="M173" i="1"/>
  <c r="H173" i="1"/>
  <c r="H172" i="1"/>
  <c r="H168" i="1"/>
  <c r="Q167" i="1"/>
  <c r="P167" i="1"/>
  <c r="N167" i="1"/>
  <c r="M167" i="1"/>
  <c r="H167" i="1"/>
  <c r="Q166" i="1"/>
  <c r="P166" i="1"/>
  <c r="N166" i="1"/>
  <c r="M166" i="1"/>
  <c r="H166" i="1"/>
  <c r="Q165" i="1"/>
  <c r="P165" i="1"/>
  <c r="N165" i="1"/>
  <c r="M165" i="1"/>
  <c r="H165" i="1"/>
  <c r="H164" i="1"/>
  <c r="Q163" i="1"/>
  <c r="P163" i="1"/>
  <c r="N163" i="1"/>
  <c r="M163" i="1"/>
  <c r="H163" i="1"/>
  <c r="Q162" i="1"/>
  <c r="P162" i="1"/>
  <c r="N162" i="1"/>
  <c r="M162" i="1"/>
  <c r="H162" i="1"/>
  <c r="Q161" i="1"/>
  <c r="P161" i="1"/>
  <c r="N161" i="1"/>
  <c r="M161" i="1"/>
  <c r="H161" i="1"/>
  <c r="Q160" i="1"/>
  <c r="P160" i="1"/>
  <c r="N160" i="1"/>
  <c r="M160" i="1"/>
  <c r="H160" i="1"/>
  <c r="Q159" i="1"/>
  <c r="P159" i="1"/>
  <c r="N159" i="1"/>
  <c r="M159" i="1"/>
  <c r="H159" i="1"/>
  <c r="H158" i="1"/>
  <c r="B158" i="1"/>
  <c r="Q157" i="1"/>
  <c r="P157" i="1"/>
  <c r="N157" i="1"/>
  <c r="M157" i="1"/>
  <c r="H157" i="1"/>
  <c r="Q156" i="1"/>
  <c r="P156" i="1"/>
  <c r="N156" i="1"/>
  <c r="M156" i="1"/>
  <c r="H156" i="1"/>
  <c r="B156" i="1"/>
  <c r="Q155" i="1"/>
  <c r="P155" i="1"/>
  <c r="N155" i="1"/>
  <c r="M155" i="1"/>
  <c r="H155" i="1"/>
  <c r="B155" i="1"/>
  <c r="Q154" i="1"/>
  <c r="P154" i="1"/>
  <c r="N154" i="1"/>
  <c r="M154" i="1"/>
  <c r="H154" i="1"/>
  <c r="Q153" i="1"/>
  <c r="P153" i="1"/>
  <c r="N153" i="1"/>
  <c r="M153" i="1"/>
  <c r="H153" i="1"/>
  <c r="Q151" i="1"/>
  <c r="P151" i="1"/>
  <c r="N151" i="1"/>
  <c r="M151" i="1"/>
  <c r="H151" i="1"/>
  <c r="Q150" i="1"/>
  <c r="P150" i="1"/>
  <c r="N150" i="1"/>
  <c r="M150" i="1"/>
  <c r="H150" i="1"/>
  <c r="Q149" i="1"/>
  <c r="P149" i="1"/>
  <c r="N149" i="1"/>
  <c r="M149" i="1"/>
  <c r="H149" i="1"/>
  <c r="Q148" i="1"/>
  <c r="P148" i="1"/>
  <c r="N148" i="1"/>
  <c r="M148" i="1"/>
  <c r="H148" i="1"/>
  <c r="Q147" i="1"/>
  <c r="P147" i="1"/>
  <c r="N147" i="1"/>
  <c r="M147" i="1"/>
  <c r="H147" i="1"/>
  <c r="Q146" i="1"/>
  <c r="P146" i="1"/>
  <c r="N146" i="1"/>
  <c r="M146" i="1"/>
  <c r="H146" i="1"/>
  <c r="Q145" i="1"/>
  <c r="P145" i="1"/>
  <c r="N145" i="1"/>
  <c r="M145" i="1"/>
  <c r="H145" i="1"/>
  <c r="Q144" i="1"/>
  <c r="P144" i="1"/>
  <c r="N144" i="1"/>
  <c r="M144" i="1"/>
  <c r="H144" i="1"/>
  <c r="Q142" i="1"/>
  <c r="P142" i="1"/>
  <c r="N142" i="1"/>
  <c r="M142" i="1"/>
  <c r="H142" i="1"/>
  <c r="Q141" i="1"/>
  <c r="P141" i="1"/>
  <c r="N141" i="1"/>
  <c r="M141" i="1"/>
  <c r="H141" i="1"/>
  <c r="Q140" i="1"/>
  <c r="P140" i="1"/>
  <c r="N140" i="1"/>
  <c r="M140" i="1"/>
  <c r="H140" i="1"/>
  <c r="L135" i="1"/>
  <c r="H135" i="1"/>
  <c r="Q133" i="1"/>
  <c r="P133" i="1"/>
  <c r="N133" i="1"/>
  <c r="M133" i="1"/>
  <c r="H133" i="1"/>
  <c r="Q131" i="1"/>
  <c r="P131" i="1"/>
  <c r="N131" i="1"/>
  <c r="M131" i="1"/>
  <c r="H131" i="1"/>
  <c r="Q129" i="1"/>
  <c r="P129" i="1"/>
  <c r="N129" i="1"/>
  <c r="M129" i="1"/>
  <c r="H129" i="1"/>
  <c r="Q126" i="1"/>
  <c r="P126" i="1"/>
  <c r="N126" i="1"/>
  <c r="M126" i="1"/>
  <c r="H126" i="1"/>
  <c r="Q125" i="1"/>
  <c r="P125" i="1"/>
  <c r="N125" i="1"/>
  <c r="M125" i="1"/>
  <c r="H125" i="1"/>
  <c r="Q123" i="1"/>
  <c r="P123" i="1"/>
  <c r="N123" i="1"/>
  <c r="M123" i="1"/>
  <c r="H123" i="1"/>
  <c r="Q121" i="1"/>
  <c r="P121" i="1"/>
  <c r="N121" i="1"/>
  <c r="M121" i="1"/>
  <c r="H121" i="1"/>
  <c r="Q120" i="1"/>
  <c r="P120" i="1"/>
  <c r="N120" i="1"/>
  <c r="M120" i="1"/>
  <c r="H120" i="1"/>
  <c r="H115" i="1"/>
  <c r="Q113" i="1"/>
  <c r="P113" i="1"/>
  <c r="N113" i="1"/>
  <c r="M113" i="1"/>
  <c r="H113" i="1"/>
  <c r="Q112" i="1"/>
  <c r="P112" i="1"/>
  <c r="N112" i="1"/>
  <c r="M112" i="1"/>
  <c r="H112" i="1"/>
  <c r="Q111" i="1"/>
  <c r="P111" i="1"/>
  <c r="N111" i="1"/>
  <c r="M111" i="1"/>
  <c r="H111" i="1"/>
  <c r="Q109" i="1"/>
  <c r="P109" i="1"/>
  <c r="N109" i="1"/>
  <c r="M109" i="1"/>
  <c r="H109" i="1"/>
  <c r="Q108" i="1"/>
  <c r="P108" i="1"/>
  <c r="N108" i="1"/>
  <c r="M108" i="1"/>
  <c r="H108" i="1"/>
  <c r="Q107" i="1"/>
  <c r="P107" i="1"/>
  <c r="N107" i="1"/>
  <c r="M107" i="1"/>
  <c r="H107" i="1"/>
  <c r="L103" i="1"/>
  <c r="H103" i="1"/>
  <c r="Q101" i="1"/>
  <c r="P101" i="1"/>
  <c r="N101" i="1"/>
  <c r="M101" i="1"/>
  <c r="H101" i="1"/>
  <c r="Q99" i="1"/>
  <c r="P99" i="1"/>
  <c r="N99" i="1"/>
  <c r="M99" i="1"/>
  <c r="H99" i="1"/>
  <c r="Q97" i="1"/>
  <c r="P97" i="1"/>
  <c r="N97" i="1"/>
  <c r="M97" i="1"/>
  <c r="H97" i="1"/>
  <c r="Q94" i="1"/>
  <c r="P94" i="1"/>
  <c r="N94" i="1"/>
  <c r="M94" i="1"/>
  <c r="H94" i="1"/>
  <c r="Q93" i="1"/>
  <c r="P93" i="1"/>
  <c r="N93" i="1"/>
  <c r="M93" i="1"/>
  <c r="H93" i="1"/>
  <c r="Q91" i="1"/>
  <c r="P91" i="1"/>
  <c r="N91" i="1"/>
  <c r="M91" i="1"/>
  <c r="H91" i="1"/>
  <c r="Q89" i="1"/>
  <c r="P89" i="1"/>
  <c r="N89" i="1"/>
  <c r="M89" i="1"/>
  <c r="H89" i="1"/>
  <c r="Q88" i="1"/>
  <c r="P88" i="1"/>
  <c r="N88" i="1"/>
  <c r="M88" i="1"/>
  <c r="H88" i="1"/>
  <c r="L83" i="1"/>
  <c r="H83" i="1"/>
  <c r="Q81" i="1"/>
  <c r="P81" i="1"/>
  <c r="N81" i="1"/>
  <c r="M81" i="1"/>
  <c r="H81" i="1"/>
  <c r="Q80" i="1"/>
  <c r="P80" i="1"/>
  <c r="N80" i="1"/>
  <c r="M80" i="1"/>
  <c r="H80" i="1"/>
  <c r="L75" i="1"/>
  <c r="H75" i="1"/>
  <c r="Q73" i="1"/>
  <c r="P73" i="1"/>
  <c r="N73" i="1"/>
  <c r="M73" i="1"/>
  <c r="H73" i="1"/>
  <c r="Q72" i="1"/>
  <c r="P72" i="1"/>
  <c r="N72" i="1"/>
  <c r="M72" i="1"/>
  <c r="H72" i="1"/>
  <c r="Q71" i="1"/>
  <c r="P71" i="1"/>
  <c r="N71" i="1"/>
  <c r="M71" i="1"/>
  <c r="H71" i="1"/>
  <c r="Q70" i="1"/>
  <c r="P70" i="1"/>
  <c r="N70" i="1"/>
  <c r="M70" i="1"/>
  <c r="H70" i="1"/>
  <c r="Q69" i="1"/>
  <c r="P69" i="1"/>
  <c r="N69" i="1"/>
  <c r="M69" i="1"/>
  <c r="H69" i="1"/>
  <c r="Q68" i="1"/>
  <c r="P68" i="1"/>
  <c r="N68" i="1"/>
  <c r="M68" i="1"/>
  <c r="H68" i="1"/>
  <c r="Q65" i="1"/>
  <c r="P65" i="1"/>
  <c r="N65" i="1"/>
  <c r="M65" i="1"/>
  <c r="H65" i="1"/>
  <c r="Q64" i="1"/>
  <c r="P64" i="1"/>
  <c r="N64" i="1"/>
  <c r="M64" i="1"/>
  <c r="H64" i="1"/>
  <c r="Q62" i="1"/>
  <c r="P62" i="1"/>
  <c r="N62" i="1"/>
  <c r="M62" i="1"/>
  <c r="H62" i="1"/>
  <c r="Q61" i="1"/>
  <c r="P61" i="1"/>
  <c r="N61" i="1"/>
  <c r="M61" i="1"/>
  <c r="H61" i="1"/>
  <c r="Q58" i="1"/>
  <c r="P58" i="1"/>
  <c r="N58" i="1"/>
  <c r="M58" i="1"/>
  <c r="H58" i="1"/>
  <c r="Q57" i="1"/>
  <c r="P57" i="1"/>
  <c r="N57" i="1"/>
  <c r="M57" i="1"/>
  <c r="H57" i="1"/>
  <c r="L52" i="1"/>
  <c r="H52" i="1"/>
  <c r="Q50" i="1"/>
  <c r="P50" i="1"/>
  <c r="N50" i="1"/>
  <c r="M50" i="1"/>
  <c r="H50" i="1"/>
  <c r="Q49" i="1"/>
  <c r="P49" i="1"/>
  <c r="N49" i="1"/>
  <c r="M49" i="1"/>
  <c r="H49" i="1"/>
  <c r="Q48" i="1"/>
  <c r="P48" i="1"/>
  <c r="N48" i="1"/>
  <c r="M48" i="1"/>
  <c r="H48" i="1"/>
  <c r="Q47" i="1"/>
  <c r="P47" i="1"/>
  <c r="N47" i="1"/>
  <c r="M47" i="1"/>
  <c r="H47" i="1"/>
  <c r="H39" i="1"/>
  <c r="H36" i="1"/>
  <c r="C36" i="1"/>
  <c r="H35" i="1"/>
  <c r="C35" i="1"/>
  <c r="H34" i="1"/>
  <c r="C34" i="1"/>
  <c r="H33" i="1"/>
  <c r="C33" i="1"/>
  <c r="H32" i="1"/>
  <c r="C32" i="1"/>
  <c r="H31" i="1"/>
  <c r="C31" i="1"/>
  <c r="B31" i="1"/>
  <c r="H30" i="1"/>
  <c r="C30" i="1"/>
  <c r="B30" i="1"/>
  <c r="H29" i="1"/>
  <c r="C29" i="1"/>
  <c r="B29" i="1"/>
  <c r="B27" i="1"/>
  <c r="H25" i="1"/>
  <c r="H23" i="1"/>
  <c r="H22" i="1"/>
  <c r="H21" i="1"/>
  <c r="H20" i="1"/>
  <c r="H19" i="1"/>
  <c r="H18" i="1"/>
  <c r="C18" i="1"/>
  <c r="H17" i="1"/>
  <c r="C17" i="1"/>
  <c r="H16" i="1"/>
  <c r="C16" i="1"/>
  <c r="H15" i="1"/>
  <c r="C15" i="1"/>
  <c r="B6" i="1"/>
  <c r="B5" i="1"/>
  <c r="B4" i="1"/>
  <c r="B3" i="1"/>
  <c r="B2" i="1"/>
  <c r="B1" i="1"/>
  <c r="M87" i="12"/>
  <c r="I87" i="12"/>
  <c r="R85" i="12"/>
  <c r="Q85" i="12"/>
  <c r="O85" i="12"/>
  <c r="N85" i="12"/>
  <c r="I85" i="12"/>
  <c r="R84" i="12"/>
  <c r="Q84" i="12"/>
  <c r="O84" i="12"/>
  <c r="N84" i="12"/>
  <c r="I84" i="12"/>
  <c r="I83" i="12"/>
  <c r="R82" i="12"/>
  <c r="Q82" i="12"/>
  <c r="O82" i="12"/>
  <c r="N82" i="12"/>
  <c r="I82" i="12"/>
  <c r="R81" i="12"/>
  <c r="Q81" i="12"/>
  <c r="O81" i="12"/>
  <c r="N81" i="12"/>
  <c r="I81" i="12"/>
  <c r="R80" i="12"/>
  <c r="Q80" i="12"/>
  <c r="O80" i="12"/>
  <c r="N80" i="12"/>
  <c r="I80" i="12"/>
  <c r="I79" i="12"/>
  <c r="R78" i="12"/>
  <c r="Q78" i="12"/>
  <c r="O78" i="12"/>
  <c r="N78" i="12"/>
  <c r="I78" i="12"/>
  <c r="R77" i="12"/>
  <c r="Q77" i="12"/>
  <c r="O77" i="12"/>
  <c r="N77" i="12"/>
  <c r="I77" i="12"/>
  <c r="R76" i="12"/>
  <c r="Q76" i="12"/>
  <c r="O76" i="12"/>
  <c r="N76" i="12"/>
  <c r="I76" i="12"/>
  <c r="I75" i="12"/>
  <c r="R74" i="12"/>
  <c r="Q74" i="12"/>
  <c r="O74" i="12"/>
  <c r="N74" i="12"/>
  <c r="I74" i="12"/>
  <c r="R73" i="12"/>
  <c r="Q73" i="12"/>
  <c r="O73" i="12"/>
  <c r="N73" i="12"/>
  <c r="I73" i="12"/>
  <c r="R72" i="12"/>
  <c r="Q72" i="12"/>
  <c r="O72" i="12"/>
  <c r="N72" i="12"/>
  <c r="I72" i="12"/>
  <c r="M68" i="12"/>
  <c r="I68" i="12"/>
  <c r="R66" i="12"/>
  <c r="Q66" i="12"/>
  <c r="O66" i="12"/>
  <c r="N66" i="12"/>
  <c r="I66" i="12"/>
  <c r="R64" i="12"/>
  <c r="Q64" i="12"/>
  <c r="O64" i="12"/>
  <c r="N64" i="12"/>
  <c r="I64" i="12"/>
  <c r="R63" i="12"/>
  <c r="Q63" i="12"/>
  <c r="O63" i="12"/>
  <c r="N63" i="12"/>
  <c r="I63" i="12"/>
  <c r="R62" i="12"/>
  <c r="Q62" i="12"/>
  <c r="O62" i="12"/>
  <c r="N62" i="12"/>
  <c r="I62" i="12"/>
  <c r="Q61" i="12"/>
  <c r="N61" i="12" s="1"/>
  <c r="I61" i="12"/>
  <c r="M56" i="12"/>
  <c r="I56" i="12"/>
  <c r="R54" i="12"/>
  <c r="Q54" i="12"/>
  <c r="O54" i="12"/>
  <c r="N54" i="12"/>
  <c r="I54" i="12"/>
  <c r="R53" i="12"/>
  <c r="Q53" i="12"/>
  <c r="O53" i="12"/>
  <c r="N53" i="12"/>
  <c r="I53" i="12"/>
  <c r="R51" i="12"/>
  <c r="Q51" i="12"/>
  <c r="O51" i="12"/>
  <c r="N51" i="12"/>
  <c r="I51" i="12"/>
  <c r="M45" i="12"/>
  <c r="I45" i="12"/>
  <c r="R44" i="12"/>
  <c r="Q44" i="12"/>
  <c r="O44" i="12"/>
  <c r="N44" i="12"/>
  <c r="I44" i="12"/>
  <c r="R43" i="12"/>
  <c r="Q43" i="12"/>
  <c r="O43" i="12"/>
  <c r="N43" i="12"/>
  <c r="I43" i="12"/>
  <c r="R42" i="12"/>
  <c r="Q42" i="12"/>
  <c r="O42" i="12"/>
  <c r="N42" i="12"/>
  <c r="I42" i="12"/>
  <c r="R41" i="12"/>
  <c r="Q41" i="12"/>
  <c r="O41" i="12"/>
  <c r="N41" i="12"/>
  <c r="I41" i="12"/>
  <c r="R39" i="12"/>
  <c r="Q39" i="12"/>
  <c r="O39" i="12"/>
  <c r="N39" i="12"/>
  <c r="I39" i="12"/>
  <c r="R38" i="12"/>
  <c r="Q38" i="12"/>
  <c r="O38" i="12"/>
  <c r="N38" i="12"/>
  <c r="I38" i="12"/>
  <c r="R36" i="12"/>
  <c r="Q36" i="12"/>
  <c r="O36" i="12"/>
  <c r="N36" i="12"/>
  <c r="I36" i="12"/>
  <c r="R35" i="12"/>
  <c r="Q35" i="12"/>
  <c r="O35" i="12"/>
  <c r="N35" i="12"/>
  <c r="I35" i="12"/>
  <c r="R34" i="12"/>
  <c r="Q34" i="12"/>
  <c r="O34" i="12"/>
  <c r="N34" i="12"/>
  <c r="I34" i="12"/>
  <c r="R33" i="12"/>
  <c r="Q33" i="12"/>
  <c r="O33" i="12"/>
  <c r="N33" i="12"/>
  <c r="I33" i="12"/>
  <c r="R32" i="12"/>
  <c r="Q32" i="12"/>
  <c r="O32" i="12"/>
  <c r="N32" i="12"/>
  <c r="I32" i="12"/>
  <c r="R31" i="12"/>
  <c r="Q31" i="12"/>
  <c r="O31" i="12"/>
  <c r="N31" i="12"/>
  <c r="I31" i="12"/>
  <c r="R29" i="12"/>
  <c r="Q29" i="12"/>
  <c r="O29" i="12"/>
  <c r="N29" i="12"/>
  <c r="I29" i="12"/>
  <c r="R28" i="12"/>
  <c r="Q28" i="12"/>
  <c r="O28" i="12"/>
  <c r="N28" i="12"/>
  <c r="I28" i="12"/>
  <c r="R27" i="12"/>
  <c r="Q27" i="12"/>
  <c r="O27" i="12"/>
  <c r="N27" i="12"/>
  <c r="I27" i="12"/>
  <c r="R26" i="12"/>
  <c r="Q26" i="12"/>
  <c r="O26" i="12"/>
  <c r="N26" i="12"/>
  <c r="I26" i="12"/>
  <c r="R25" i="12"/>
  <c r="Q25" i="12"/>
  <c r="O25" i="12"/>
  <c r="N25" i="12"/>
  <c r="I25" i="12"/>
  <c r="R23" i="12"/>
  <c r="Q23" i="12"/>
  <c r="O23" i="12"/>
  <c r="N23" i="12"/>
  <c r="I23" i="12"/>
  <c r="R22" i="12"/>
  <c r="Q22" i="12"/>
  <c r="O22" i="12"/>
  <c r="N22" i="12"/>
  <c r="I22" i="12"/>
  <c r="R21" i="12"/>
  <c r="Q21" i="12"/>
  <c r="O21" i="12"/>
  <c r="N21" i="12"/>
  <c r="I21" i="12"/>
  <c r="I16" i="12"/>
  <c r="D16" i="12"/>
  <c r="I15" i="12"/>
  <c r="D15" i="12"/>
  <c r="I14" i="12"/>
  <c r="D14" i="12"/>
  <c r="I13" i="12"/>
  <c r="D13" i="12"/>
  <c r="B6" i="12"/>
  <c r="B5" i="12"/>
  <c r="B4" i="12"/>
  <c r="B3" i="12"/>
  <c r="B2" i="12"/>
  <c r="B1" i="12"/>
  <c r="M38" i="11"/>
  <c r="Q36" i="11"/>
  <c r="R36" i="11" s="1"/>
  <c r="I36" i="11"/>
  <c r="Q35" i="11"/>
  <c r="R35" i="11" s="1"/>
  <c r="N35" i="11"/>
  <c r="I35" i="11"/>
  <c r="F35" i="11"/>
  <c r="Q34" i="11"/>
  <c r="R34" i="11" s="1"/>
  <c r="I34" i="11"/>
  <c r="Q33" i="11"/>
  <c r="N33" i="11" s="1"/>
  <c r="I33" i="11"/>
  <c r="Q32" i="11"/>
  <c r="N32" i="11" s="1"/>
  <c r="I32" i="11"/>
  <c r="Q31" i="11"/>
  <c r="R31" i="11" s="1"/>
  <c r="I31" i="11"/>
  <c r="Q30" i="11"/>
  <c r="R30" i="11" s="1"/>
  <c r="I30" i="11"/>
  <c r="Q29" i="11"/>
  <c r="N29" i="11" s="1"/>
  <c r="I29" i="11"/>
  <c r="B29" i="11"/>
  <c r="B30" i="11" s="1"/>
  <c r="B31" i="11" s="1"/>
  <c r="B32" i="11" s="1"/>
  <c r="B33" i="11" s="1"/>
  <c r="B34" i="11" s="1"/>
  <c r="Q28" i="11"/>
  <c r="N28" i="11" s="1"/>
  <c r="I28" i="11"/>
  <c r="Q27" i="11"/>
  <c r="R27" i="11" s="1"/>
  <c r="I27" i="11"/>
  <c r="Q26" i="11"/>
  <c r="R26" i="11" s="1"/>
  <c r="I26" i="11"/>
  <c r="Q25" i="11"/>
  <c r="R25" i="11" s="1"/>
  <c r="I25" i="11"/>
  <c r="Q24" i="11"/>
  <c r="R24" i="11" s="1"/>
  <c r="I24" i="11"/>
  <c r="Q23" i="11"/>
  <c r="R23" i="11" s="1"/>
  <c r="I23" i="11"/>
  <c r="Q22" i="11"/>
  <c r="N22" i="11" s="1"/>
  <c r="I22" i="11"/>
  <c r="Q21" i="11"/>
  <c r="R21" i="11" s="1"/>
  <c r="I21" i="11"/>
  <c r="B21" i="11"/>
  <c r="B22" i="11" s="1"/>
  <c r="B23" i="11" s="1"/>
  <c r="B24" i="11" s="1"/>
  <c r="B25" i="11" s="1"/>
  <c r="B26" i="11" s="1"/>
  <c r="B27" i="11" s="1"/>
  <c r="Q20" i="11"/>
  <c r="R20" i="11" s="1"/>
  <c r="I20" i="11"/>
  <c r="Q18" i="11"/>
  <c r="R18" i="11" s="1"/>
  <c r="I18" i="11"/>
  <c r="I38" i="11" s="1"/>
  <c r="P40" i="10"/>
  <c r="M40" i="10"/>
  <c r="J40" i="10"/>
  <c r="E40" i="10"/>
  <c r="F39" i="10"/>
  <c r="D39" i="10"/>
  <c r="P37" i="10"/>
  <c r="M37" i="10"/>
  <c r="J37" i="10"/>
  <c r="E37" i="10"/>
  <c r="P36" i="10"/>
  <c r="M36" i="10"/>
  <c r="J36" i="10"/>
  <c r="E36" i="10"/>
  <c r="F35" i="10"/>
  <c r="D35" i="10"/>
  <c r="P33" i="10"/>
  <c r="M33" i="10"/>
  <c r="J33" i="10"/>
  <c r="E33" i="10"/>
  <c r="P32" i="10"/>
  <c r="M32" i="10"/>
  <c r="J32" i="10"/>
  <c r="E32" i="10"/>
  <c r="P31" i="10"/>
  <c r="M31" i="10"/>
  <c r="J31" i="10"/>
  <c r="E31" i="10"/>
  <c r="P30" i="10"/>
  <c r="M30" i="10"/>
  <c r="J30" i="10"/>
  <c r="E30" i="10"/>
  <c r="F29" i="10"/>
  <c r="D29" i="10"/>
  <c r="P27" i="10"/>
  <c r="M27" i="10"/>
  <c r="J27" i="10"/>
  <c r="E27" i="10"/>
  <c r="P26" i="10"/>
  <c r="M26" i="10"/>
  <c r="J26" i="10"/>
  <c r="E26" i="10"/>
  <c r="P25" i="10"/>
  <c r="M25" i="10"/>
  <c r="J25" i="10"/>
  <c r="E25" i="10"/>
  <c r="P24" i="10"/>
  <c r="M24" i="10"/>
  <c r="J24" i="10"/>
  <c r="E24" i="10"/>
  <c r="P23" i="10"/>
  <c r="M23" i="10"/>
  <c r="J23" i="10"/>
  <c r="E23" i="10"/>
  <c r="F22" i="10"/>
  <c r="P20" i="10"/>
  <c r="M20" i="10"/>
  <c r="J20" i="10"/>
  <c r="E20" i="10"/>
  <c r="P19" i="10"/>
  <c r="M19" i="10"/>
  <c r="J19" i="10"/>
  <c r="E19" i="10"/>
  <c r="P18" i="10"/>
  <c r="M18" i="10"/>
  <c r="J18" i="10"/>
  <c r="E18" i="10"/>
  <c r="D18" i="10"/>
  <c r="P17" i="10"/>
  <c r="M17" i="10"/>
  <c r="J17" i="10"/>
  <c r="E17" i="10"/>
  <c r="D17" i="10"/>
  <c r="P16" i="10"/>
  <c r="M16" i="10"/>
  <c r="J16" i="10"/>
  <c r="E16" i="10"/>
  <c r="D16" i="10"/>
  <c r="C16" i="10"/>
  <c r="P15" i="10"/>
  <c r="M15" i="10"/>
  <c r="J15" i="10"/>
  <c r="E15" i="10"/>
  <c r="D15" i="10"/>
  <c r="C15" i="10"/>
  <c r="F14" i="10"/>
  <c r="D14" i="10"/>
  <c r="D12" i="10"/>
  <c r="F46" i="75"/>
  <c r="F45" i="75"/>
  <c r="AC43" i="75"/>
  <c r="AB43" i="75"/>
  <c r="AA43" i="75"/>
  <c r="Z43" i="75"/>
  <c r="Y43" i="75"/>
  <c r="X43" i="75"/>
  <c r="W43" i="75"/>
  <c r="V43" i="75"/>
  <c r="U43" i="75"/>
  <c r="T43" i="75"/>
  <c r="S43" i="75"/>
  <c r="R43" i="75"/>
  <c r="Q43" i="75"/>
  <c r="P43" i="75"/>
  <c r="O43" i="75"/>
  <c r="N43" i="75"/>
  <c r="M43" i="75"/>
  <c r="L43" i="75"/>
  <c r="K43" i="75"/>
  <c r="J43" i="75"/>
  <c r="I43" i="75"/>
  <c r="H43" i="75"/>
  <c r="G43" i="75"/>
  <c r="F43" i="75"/>
  <c r="AC42" i="75"/>
  <c r="AB42" i="75"/>
  <c r="AA42" i="75"/>
  <c r="Z42" i="75"/>
  <c r="Y42" i="75"/>
  <c r="X42" i="75"/>
  <c r="W42" i="75"/>
  <c r="V42" i="75"/>
  <c r="U42" i="75"/>
  <c r="T42" i="75"/>
  <c r="S42" i="75"/>
  <c r="R42" i="75"/>
  <c r="Q42" i="75"/>
  <c r="P42" i="75"/>
  <c r="O42" i="75"/>
  <c r="N42" i="75"/>
  <c r="M42" i="75"/>
  <c r="L42" i="75"/>
  <c r="K42" i="75"/>
  <c r="J42" i="75"/>
  <c r="I42" i="75"/>
  <c r="H42" i="75"/>
  <c r="G42" i="75"/>
  <c r="F42" i="75"/>
  <c r="E42" i="75"/>
  <c r="W40" i="75"/>
  <c r="V40" i="75"/>
  <c r="U40" i="75"/>
  <c r="T40" i="75"/>
  <c r="S40" i="75"/>
  <c r="R40" i="75"/>
  <c r="Q40" i="75"/>
  <c r="P40" i="75"/>
  <c r="O40" i="75"/>
  <c r="N40" i="75"/>
  <c r="M40" i="75"/>
  <c r="AB38" i="75"/>
  <c r="AA38" i="75"/>
  <c r="Z38" i="75"/>
  <c r="Y38" i="75"/>
  <c r="X38" i="75"/>
  <c r="AC37" i="75"/>
  <c r="AB37" i="75"/>
  <c r="AA37" i="75"/>
  <c r="Z37" i="75"/>
  <c r="Y37" i="75"/>
  <c r="X37" i="75"/>
  <c r="W37" i="75"/>
  <c r="V37" i="75"/>
  <c r="U37" i="75"/>
  <c r="AC35" i="75"/>
  <c r="AB35" i="75"/>
  <c r="AA35" i="75"/>
  <c r="Z35" i="75"/>
  <c r="Y35" i="75"/>
  <c r="X35" i="75"/>
  <c r="W35" i="75"/>
  <c r="AC34" i="75"/>
  <c r="AB34" i="75"/>
  <c r="AA34" i="75"/>
  <c r="Z34" i="75"/>
  <c r="Y34" i="75"/>
  <c r="X34" i="75"/>
  <c r="W34" i="75"/>
  <c r="V34" i="75"/>
  <c r="AC33" i="75"/>
  <c r="AB33" i="75"/>
  <c r="AA33" i="75"/>
  <c r="Z33" i="75"/>
  <c r="Y33" i="75"/>
  <c r="X33" i="75"/>
  <c r="W33" i="75"/>
  <c r="V33" i="75"/>
  <c r="U33" i="75"/>
  <c r="T33" i="75"/>
  <c r="Z32" i="75"/>
  <c r="Y32" i="75"/>
  <c r="X32" i="75"/>
  <c r="W32" i="75"/>
  <c r="V32" i="75"/>
  <c r="U32" i="75"/>
  <c r="T32" i="75"/>
  <c r="S32" i="75"/>
  <c r="AC30" i="75"/>
  <c r="AB30" i="75"/>
  <c r="AA30" i="75"/>
  <c r="Z30" i="75"/>
  <c r="AC29" i="75"/>
  <c r="AB29" i="75"/>
  <c r="AA29" i="75"/>
  <c r="Z29" i="75"/>
  <c r="Y29" i="75"/>
  <c r="X29" i="75"/>
  <c r="W29" i="75"/>
  <c r="V29" i="75"/>
  <c r="U29" i="75"/>
  <c r="AC28" i="75"/>
  <c r="AB28" i="75"/>
  <c r="AA28" i="75"/>
  <c r="Z28" i="75"/>
  <c r="Y28" i="75"/>
  <c r="X28" i="75"/>
  <c r="W28" i="75"/>
  <c r="V28" i="75"/>
  <c r="U28" i="75"/>
  <c r="T28" i="75"/>
  <c r="S28" i="75"/>
  <c r="AB27" i="75"/>
  <c r="AA27" i="75"/>
  <c r="Z27" i="75"/>
  <c r="Y27" i="75"/>
  <c r="X27" i="75"/>
  <c r="W27" i="75"/>
  <c r="V27" i="75"/>
  <c r="U27" i="75"/>
  <c r="T27" i="75"/>
  <c r="S27" i="75"/>
  <c r="R27" i="75"/>
  <c r="X22" i="75"/>
  <c r="W22" i="75"/>
  <c r="U22" i="75"/>
  <c r="T22" i="75"/>
  <c r="S22" i="75"/>
  <c r="R22" i="75"/>
  <c r="Q22" i="75"/>
  <c r="O22" i="75"/>
  <c r="M22" i="75"/>
  <c r="L22" i="75"/>
  <c r="K22" i="75"/>
  <c r="AC20" i="75"/>
  <c r="AB20" i="75"/>
  <c r="AA20" i="75"/>
  <c r="Z20" i="75"/>
  <c r="Y20" i="75"/>
  <c r="X20" i="75"/>
  <c r="W20" i="75"/>
  <c r="V20" i="75"/>
  <c r="AC19" i="75"/>
  <c r="AB19" i="75"/>
  <c r="AA19" i="75"/>
  <c r="Z19" i="75"/>
  <c r="Y19" i="75"/>
  <c r="X19" i="75"/>
  <c r="W19" i="75"/>
  <c r="V19" i="75"/>
  <c r="U19" i="75"/>
  <c r="T19" i="75"/>
  <c r="S19" i="75"/>
  <c r="R19" i="75"/>
  <c r="AB18" i="75"/>
  <c r="AA18" i="75"/>
  <c r="Z18" i="75"/>
  <c r="Y18" i="75"/>
  <c r="X18" i="75"/>
  <c r="O15" i="75"/>
  <c r="N15" i="75"/>
  <c r="M15" i="75"/>
  <c r="K15" i="75"/>
  <c r="AC13" i="75"/>
  <c r="AB13" i="75"/>
  <c r="AA13" i="75"/>
  <c r="Z13" i="75"/>
  <c r="Y13" i="75"/>
  <c r="X13" i="75"/>
  <c r="W13" i="75"/>
  <c r="V13" i="75"/>
  <c r="U13" i="75"/>
  <c r="T13" i="75"/>
  <c r="S13" i="75"/>
  <c r="R13" i="75"/>
  <c r="Q13" i="75"/>
  <c r="S12" i="75"/>
  <c r="R12" i="75"/>
  <c r="Q12" i="75"/>
  <c r="Z10" i="75"/>
  <c r="Y10" i="75"/>
  <c r="X10" i="75"/>
  <c r="W10" i="75"/>
  <c r="V10" i="75"/>
  <c r="U10" i="75"/>
  <c r="T10" i="75"/>
  <c r="S10" i="75"/>
  <c r="R10" i="75"/>
  <c r="R61" i="12" l="1"/>
  <c r="O61" i="12" s="1"/>
  <c r="I13" i="11"/>
  <c r="F12" i="10" s="1"/>
  <c r="N34" i="11"/>
  <c r="N36" i="11"/>
  <c r="N21" i="11"/>
  <c r="J42" i="10"/>
  <c r="N20" i="11"/>
  <c r="O18" i="11"/>
  <c r="N18" i="11"/>
  <c r="N30" i="11"/>
  <c r="N27" i="11"/>
  <c r="O34" i="11"/>
  <c r="O36" i="11"/>
  <c r="O35" i="11"/>
  <c r="O20" i="11"/>
  <c r="N26" i="11"/>
  <c r="N25" i="11"/>
  <c r="N24" i="11"/>
  <c r="O24" i="11"/>
  <c r="O21" i="11"/>
  <c r="O23" i="11"/>
  <c r="O25" i="11"/>
  <c r="O27" i="11"/>
  <c r="O26" i="11"/>
  <c r="O30" i="11"/>
  <c r="R29" i="11"/>
  <c r="R32" i="11"/>
  <c r="O32" i="11" s="1"/>
  <c r="N23" i="11"/>
  <c r="R22" i="11"/>
  <c r="R33" i="11"/>
  <c r="O31" i="11"/>
  <c r="N31" i="11"/>
  <c r="R28" i="11"/>
  <c r="F44" i="10" l="1"/>
  <c r="G12" i="10" s="1"/>
  <c r="O28" i="11"/>
  <c r="O29" i="11"/>
  <c r="O22" i="11"/>
  <c r="O33" i="11"/>
  <c r="I12" i="10" l="1"/>
  <c r="H32" i="71"/>
  <c r="H79" i="70"/>
  <c r="H162" i="69"/>
  <c r="G157" i="66"/>
  <c r="G139" i="66"/>
  <c r="G48" i="66"/>
  <c r="K91" i="32"/>
  <c r="K121" i="13"/>
  <c r="K99" i="13"/>
  <c r="K15" i="13"/>
  <c r="I256" i="1"/>
  <c r="R256" i="1" s="1"/>
  <c r="I155" i="1"/>
  <c r="R155" i="1" s="1"/>
  <c r="O155" i="1" s="1"/>
  <c r="I61" i="1"/>
  <c r="R61" i="1" s="1"/>
  <c r="O61" i="1" s="1"/>
  <c r="J51" i="12"/>
  <c r="G40" i="10"/>
  <c r="G37" i="10"/>
  <c r="G22" i="10"/>
  <c r="K224" i="13"/>
  <c r="I302" i="1"/>
  <c r="R302" i="1" s="1"/>
  <c r="O302" i="1" s="1"/>
  <c r="I50" i="1"/>
  <c r="R50" i="1" s="1"/>
  <c r="O50" i="1" s="1"/>
  <c r="G142" i="66"/>
  <c r="K198" i="13"/>
  <c r="I330" i="1"/>
  <c r="R330" i="1" s="1"/>
  <c r="O330" i="1" s="1"/>
  <c r="I197" i="1"/>
  <c r="R197" i="1" s="1"/>
  <c r="O197" i="1" s="1"/>
  <c r="H151" i="69"/>
  <c r="J26" i="63"/>
  <c r="K47" i="13"/>
  <c r="I202" i="1"/>
  <c r="R202" i="1" s="1"/>
  <c r="O202" i="1" s="1"/>
  <c r="I58" i="1"/>
  <c r="R58" i="1" s="1"/>
  <c r="O58" i="1" s="1"/>
  <c r="G35" i="10"/>
  <c r="H70" i="70"/>
  <c r="K25" i="32"/>
  <c r="I107" i="1"/>
  <c r="R107" i="1" s="1"/>
  <c r="O107" i="1" s="1"/>
  <c r="H23" i="69"/>
  <c r="H43" i="68"/>
  <c r="G65" i="66"/>
  <c r="H54" i="65"/>
  <c r="J30" i="63"/>
  <c r="I232" i="1"/>
  <c r="R232" i="1" s="1"/>
  <c r="O232" i="1" s="1"/>
  <c r="I156" i="1"/>
  <c r="R156" i="1" s="1"/>
  <c r="O156" i="1" s="1"/>
  <c r="I108" i="1"/>
  <c r="R108" i="1" s="1"/>
  <c r="O108" i="1" s="1"/>
  <c r="I75" i="1"/>
  <c r="I29" i="1"/>
  <c r="J64" i="12"/>
  <c r="S64" i="12" s="1"/>
  <c r="P64" i="12" s="1"/>
  <c r="J53" i="12"/>
  <c r="S53" i="12" s="1"/>
  <c r="P53" i="12" s="1"/>
  <c r="G29" i="10"/>
  <c r="H76" i="69"/>
  <c r="I159" i="1"/>
  <c r="R159" i="1" s="1"/>
  <c r="O159" i="1" s="1"/>
  <c r="K19" i="32"/>
  <c r="I64" i="1"/>
  <c r="R64" i="1" s="1"/>
  <c r="O64" i="1" s="1"/>
  <c r="J62" i="12"/>
  <c r="S62" i="12" s="1"/>
  <c r="P62" i="12" s="1"/>
  <c r="G17" i="10"/>
  <c r="K221" i="13"/>
  <c r="I353" i="1"/>
  <c r="I52" i="1"/>
  <c r="I101" i="1"/>
  <c r="R101" i="1" s="1"/>
  <c r="O101" i="1" s="1"/>
  <c r="J35" i="11"/>
  <c r="S35" i="11" s="1"/>
  <c r="P35" i="11" s="1"/>
  <c r="J28" i="11"/>
  <c r="S28" i="11" s="1"/>
  <c r="P28" i="11" s="1"/>
  <c r="G18" i="10"/>
  <c r="K90" i="32"/>
  <c r="K133" i="13"/>
  <c r="I349" i="1"/>
  <c r="R349" i="1" s="1"/>
  <c r="O349" i="1" s="1"/>
  <c r="I258" i="1"/>
  <c r="R258" i="1" s="1"/>
  <c r="O258" i="1" s="1"/>
  <c r="I71" i="1"/>
  <c r="R71" i="1" s="1"/>
  <c r="O71" i="1" s="1"/>
  <c r="I31" i="1"/>
  <c r="J15" i="12"/>
  <c r="J27" i="11"/>
  <c r="S27" i="11" s="1"/>
  <c r="P27" i="11" s="1"/>
  <c r="J25" i="11"/>
  <c r="S25" i="11" s="1"/>
  <c r="P25" i="11" s="1"/>
  <c r="J23" i="11"/>
  <c r="S23" i="11" s="1"/>
  <c r="P23" i="11" s="1"/>
  <c r="G39" i="10"/>
  <c r="G19" i="10"/>
  <c r="H31" i="69"/>
  <c r="I72" i="1"/>
  <c r="R72" i="1" s="1"/>
  <c r="O72" i="1" s="1"/>
  <c r="G120" i="66"/>
  <c r="G14" i="10"/>
  <c r="G42" i="10" s="1"/>
  <c r="K86" i="13"/>
  <c r="I199" i="1"/>
  <c r="R199" i="1" s="1"/>
  <c r="O199" i="1" s="1"/>
  <c r="I167" i="1"/>
  <c r="R167" i="1" s="1"/>
  <c r="O167" i="1" s="1"/>
  <c r="J63" i="12"/>
  <c r="S63" i="12" s="1"/>
  <c r="P63" i="12" s="1"/>
  <c r="H138" i="69"/>
  <c r="H55" i="69"/>
  <c r="H38" i="68"/>
  <c r="K116" i="32"/>
  <c r="K109" i="32"/>
  <c r="K215" i="13"/>
  <c r="K200" i="13"/>
  <c r="I234" i="1"/>
  <c r="I34" i="1"/>
  <c r="J61" i="12"/>
  <c r="J54" i="12"/>
  <c r="S54" i="12" s="1"/>
  <c r="P54" i="12" s="1"/>
  <c r="G16" i="10"/>
  <c r="J36" i="63"/>
  <c r="G41" i="66"/>
  <c r="I39" i="1"/>
  <c r="G20" i="10"/>
  <c r="G161" i="66"/>
  <c r="K113" i="32"/>
  <c r="I111" i="1"/>
  <c r="R111" i="1" s="1"/>
  <c r="O111" i="1" s="1"/>
  <c r="J26" i="11"/>
  <c r="S26" i="11" s="1"/>
  <c r="P26" i="11" s="1"/>
  <c r="H41" i="71"/>
  <c r="H136" i="69"/>
  <c r="G153" i="66"/>
  <c r="K94" i="32"/>
  <c r="K238" i="13"/>
  <c r="K174" i="13"/>
  <c r="K108" i="13"/>
  <c r="K28" i="13"/>
  <c r="I239" i="1"/>
  <c r="R239" i="1" s="1"/>
  <c r="H46" i="72"/>
  <c r="G67" i="67"/>
  <c r="K106" i="32"/>
  <c r="K240" i="13"/>
  <c r="K177" i="13"/>
  <c r="K105" i="13"/>
  <c r="K16" i="13"/>
  <c r="I205" i="1"/>
  <c r="R205" i="1" s="1"/>
  <c r="O205" i="1" s="1"/>
  <c r="H124" i="69"/>
  <c r="G117" i="66"/>
  <c r="K75" i="32"/>
  <c r="K136" i="13"/>
  <c r="I179" i="1"/>
  <c r="R179" i="1" s="1"/>
  <c r="O179" i="1" s="1"/>
  <c r="I146" i="1"/>
  <c r="R146" i="1" s="1"/>
  <c r="O146" i="1" s="1"/>
  <c r="H68" i="70"/>
  <c r="G88" i="66"/>
  <c r="K216" i="13"/>
  <c r="I380" i="1"/>
  <c r="R380" i="1" s="1"/>
  <c r="O380" i="1" s="1"/>
  <c r="I178" i="1"/>
  <c r="R178" i="1" s="1"/>
  <c r="O178" i="1" s="1"/>
  <c r="I80" i="1"/>
  <c r="R80" i="1" s="1"/>
  <c r="H90" i="69"/>
  <c r="G105" i="66"/>
  <c r="K85" i="32"/>
  <c r="K110" i="13"/>
  <c r="H119" i="69"/>
  <c r="K46" i="13"/>
  <c r="I335" i="1"/>
  <c r="R335" i="1" s="1"/>
  <c r="O335" i="1" s="1"/>
  <c r="I157" i="1"/>
  <c r="R157" i="1" s="1"/>
  <c r="O157" i="1" s="1"/>
  <c r="I121" i="1"/>
  <c r="R121" i="1" s="1"/>
  <c r="O121" i="1" s="1"/>
  <c r="J82" i="12"/>
  <c r="S82" i="12" s="1"/>
  <c r="P82" i="12" s="1"/>
  <c r="H29" i="69"/>
  <c r="K250" i="13"/>
  <c r="I278" i="1"/>
  <c r="R278" i="1" s="1"/>
  <c r="O278" i="1" s="1"/>
  <c r="I32" i="1"/>
  <c r="J41" i="12"/>
  <c r="S41" i="12" s="1"/>
  <c r="P41" i="12" s="1"/>
  <c r="J31" i="12"/>
  <c r="S31" i="12" s="1"/>
  <c r="P31" i="12" s="1"/>
  <c r="H72" i="70"/>
  <c r="G89" i="66"/>
  <c r="I162" i="1"/>
  <c r="R162" i="1" s="1"/>
  <c r="O162" i="1" s="1"/>
  <c r="J73" i="12"/>
  <c r="S73" i="12" s="1"/>
  <c r="P73" i="12" s="1"/>
  <c r="G124" i="66"/>
  <c r="K245" i="13"/>
  <c r="I229" i="1"/>
  <c r="R229" i="1" s="1"/>
  <c r="G23" i="10"/>
  <c r="I17" i="1"/>
  <c r="K189" i="13"/>
  <c r="J85" i="12"/>
  <c r="S85" i="12" s="1"/>
  <c r="P85" i="12" s="1"/>
  <c r="K169" i="13"/>
  <c r="G30" i="10"/>
  <c r="I62" i="1"/>
  <c r="R62" i="1" s="1"/>
  <c r="O62" i="1" s="1"/>
  <c r="K235" i="13"/>
  <c r="K205" i="13"/>
  <c r="I141" i="1"/>
  <c r="R141" i="1" s="1"/>
  <c r="O141" i="1" s="1"/>
  <c r="H25" i="69"/>
  <c r="I184" i="1"/>
  <c r="R184" i="1" s="1"/>
  <c r="O184" i="1" s="1"/>
  <c r="J31" i="11"/>
  <c r="S31" i="11" s="1"/>
  <c r="P31" i="11" s="1"/>
  <c r="J20" i="11"/>
  <c r="S20" i="11" s="1"/>
  <c r="P20" i="11" s="1"/>
  <c r="H34" i="71"/>
  <c r="H88" i="69"/>
  <c r="G90" i="66"/>
  <c r="K88" i="32"/>
  <c r="K228" i="13"/>
  <c r="K167" i="13"/>
  <c r="K92" i="13"/>
  <c r="K19" i="13"/>
  <c r="I214" i="1"/>
  <c r="H36" i="71"/>
  <c r="G41" i="67"/>
  <c r="K102" i="32"/>
  <c r="K237" i="13"/>
  <c r="K173" i="13"/>
  <c r="K90" i="13"/>
  <c r="I396" i="1"/>
  <c r="I204" i="1"/>
  <c r="R204" i="1" s="1"/>
  <c r="O204" i="1" s="1"/>
  <c r="H113" i="69"/>
  <c r="G97" i="66"/>
  <c r="K60" i="32"/>
  <c r="K112" i="13"/>
  <c r="I154" i="1"/>
  <c r="R154" i="1" s="1"/>
  <c r="O154" i="1" s="1"/>
  <c r="I145" i="1"/>
  <c r="R145" i="1" s="1"/>
  <c r="O145" i="1" s="1"/>
  <c r="H46" i="70"/>
  <c r="G60" i="66"/>
  <c r="K206" i="13"/>
  <c r="I379" i="1"/>
  <c r="R379" i="1" s="1"/>
  <c r="O379" i="1" s="1"/>
  <c r="I177" i="1"/>
  <c r="R177" i="1" s="1"/>
  <c r="O177" i="1" s="1"/>
  <c r="I21" i="1"/>
  <c r="H72" i="69"/>
  <c r="G93" i="66"/>
  <c r="K74" i="32"/>
  <c r="K77" i="13"/>
  <c r="H104" i="69"/>
  <c r="I370" i="1"/>
  <c r="I190" i="1"/>
  <c r="I135" i="1"/>
  <c r="I120" i="1"/>
  <c r="R120" i="1" s="1"/>
  <c r="J81" i="12"/>
  <c r="S81" i="12" s="1"/>
  <c r="P81" i="12" s="1"/>
  <c r="G76" i="67"/>
  <c r="K233" i="13"/>
  <c r="I262" i="1"/>
  <c r="R262" i="1" s="1"/>
  <c r="O262" i="1" s="1"/>
  <c r="I25" i="1"/>
  <c r="J39" i="12"/>
  <c r="S39" i="12" s="1"/>
  <c r="P39" i="12" s="1"/>
  <c r="J29" i="12"/>
  <c r="S29" i="12" s="1"/>
  <c r="P29" i="12" s="1"/>
  <c r="H62" i="70"/>
  <c r="G42" i="66"/>
  <c r="I115" i="1"/>
  <c r="J72" i="12"/>
  <c r="G98" i="66"/>
  <c r="K191" i="13"/>
  <c r="I165" i="1"/>
  <c r="R165" i="1" s="1"/>
  <c r="O165" i="1" s="1"/>
  <c r="G24" i="10"/>
  <c r="I22" i="1"/>
  <c r="K260" i="13"/>
  <c r="G15" i="10"/>
  <c r="I36" i="1"/>
  <c r="K16" i="32"/>
  <c r="G31" i="10"/>
  <c r="I73" i="1"/>
  <c r="R73" i="1" s="1"/>
  <c r="O73" i="1" s="1"/>
  <c r="K254" i="13"/>
  <c r="K146" i="13"/>
  <c r="I210" i="1"/>
  <c r="R210" i="1" s="1"/>
  <c r="O210" i="1" s="1"/>
  <c r="G170" i="66"/>
  <c r="K55" i="13"/>
  <c r="H27" i="69"/>
  <c r="I150" i="1"/>
  <c r="R150" i="1" s="1"/>
  <c r="O150" i="1" s="1"/>
  <c r="J25" i="63"/>
  <c r="H164" i="69"/>
  <c r="H65" i="70"/>
  <c r="I364" i="1"/>
  <c r="R364" i="1" s="1"/>
  <c r="O364" i="1" s="1"/>
  <c r="I88" i="1"/>
  <c r="R88" i="1" s="1"/>
  <c r="G33" i="66"/>
  <c r="J76" i="12"/>
  <c r="S76" i="12" s="1"/>
  <c r="P76" i="12" s="1"/>
  <c r="J24" i="11"/>
  <c r="S24" i="11" s="1"/>
  <c r="P24" i="11" s="1"/>
  <c r="H54" i="72"/>
  <c r="H80" i="69"/>
  <c r="G71" i="66"/>
  <c r="K82" i="32"/>
  <c r="K219" i="13"/>
  <c r="K155" i="13"/>
  <c r="K84" i="13"/>
  <c r="I251" i="1"/>
  <c r="I212" i="1"/>
  <c r="R212" i="1" s="1"/>
  <c r="O212" i="1" s="1"/>
  <c r="H82" i="70"/>
  <c r="G28" i="67"/>
  <c r="K93" i="32"/>
  <c r="K226" i="13"/>
  <c r="K166" i="13"/>
  <c r="K82" i="13"/>
  <c r="I394" i="1"/>
  <c r="R394" i="1" s="1"/>
  <c r="O394" i="1" s="1"/>
  <c r="H58" i="72"/>
  <c r="H101" i="69"/>
  <c r="G73" i="66"/>
  <c r="K20" i="32"/>
  <c r="K97" i="13"/>
  <c r="I153" i="1"/>
  <c r="R153" i="1" s="1"/>
  <c r="O153" i="1" s="1"/>
  <c r="I144" i="1"/>
  <c r="R144" i="1" s="1"/>
  <c r="O144" i="1" s="1"/>
  <c r="H131" i="69"/>
  <c r="J33" i="63"/>
  <c r="K183" i="13"/>
  <c r="I378" i="1"/>
  <c r="R378" i="1" s="1"/>
  <c r="O378" i="1" s="1"/>
  <c r="I176" i="1"/>
  <c r="R176" i="1" s="1"/>
  <c r="O176" i="1" s="1"/>
  <c r="H22" i="71"/>
  <c r="H52" i="69"/>
  <c r="G72" i="66"/>
  <c r="K34" i="32"/>
  <c r="K58" i="13"/>
  <c r="G64" i="67"/>
  <c r="I368" i="1"/>
  <c r="R368" i="1" s="1"/>
  <c r="O368" i="1" s="1"/>
  <c r="I186" i="1"/>
  <c r="R186" i="1" s="1"/>
  <c r="O186" i="1" s="1"/>
  <c r="I133" i="1"/>
  <c r="R133" i="1" s="1"/>
  <c r="O133" i="1" s="1"/>
  <c r="I112" i="1"/>
  <c r="R112" i="1" s="1"/>
  <c r="O112" i="1" s="1"/>
  <c r="J80" i="12"/>
  <c r="S80" i="12" s="1"/>
  <c r="P80" i="12" s="1"/>
  <c r="G172" i="66"/>
  <c r="K163" i="13"/>
  <c r="I180" i="1"/>
  <c r="R180" i="1" s="1"/>
  <c r="O180" i="1" s="1"/>
  <c r="J78" i="12"/>
  <c r="S78" i="12" s="1"/>
  <c r="P78" i="12" s="1"/>
  <c r="J38" i="12"/>
  <c r="S38" i="12" s="1"/>
  <c r="P38" i="12" s="1"/>
  <c r="J28" i="12"/>
  <c r="S28" i="12" s="1"/>
  <c r="P28" i="12" s="1"/>
  <c r="H22" i="70"/>
  <c r="J32" i="63"/>
  <c r="I91" i="1"/>
  <c r="R91" i="1" s="1"/>
  <c r="O91" i="1" s="1"/>
  <c r="J14" i="12"/>
  <c r="G26" i="66"/>
  <c r="K170" i="13"/>
  <c r="I163" i="1"/>
  <c r="R163" i="1" s="1"/>
  <c r="O163" i="1" s="1"/>
  <c r="G25" i="10"/>
  <c r="I99" i="1"/>
  <c r="R99" i="1" s="1"/>
  <c r="O99" i="1" s="1"/>
  <c r="J31" i="63"/>
  <c r="F46" i="10"/>
  <c r="F49" i="10" s="1"/>
  <c r="F51" i="10" s="1"/>
  <c r="F53" i="10" s="1"/>
  <c r="G36" i="10" s="1"/>
  <c r="I49" i="1"/>
  <c r="R49" i="1" s="1"/>
  <c r="O49" i="1" s="1"/>
  <c r="G81" i="66"/>
  <c r="G32" i="10"/>
  <c r="I94" i="1"/>
  <c r="R94" i="1" s="1"/>
  <c r="O94" i="1" s="1"/>
  <c r="K101" i="32"/>
  <c r="I247" i="1"/>
  <c r="R247" i="1" s="1"/>
  <c r="O247" i="1" s="1"/>
  <c r="K209" i="13"/>
  <c r="I390" i="1"/>
  <c r="R390" i="1" s="1"/>
  <c r="O390" i="1" s="1"/>
  <c r="K252" i="13"/>
  <c r="K153" i="13"/>
  <c r="I174" i="1"/>
  <c r="R174" i="1" s="1"/>
  <c r="O174" i="1" s="1"/>
  <c r="K251" i="13"/>
  <c r="K137" i="13"/>
  <c r="J26" i="12"/>
  <c r="S26" i="12" s="1"/>
  <c r="P26" i="12" s="1"/>
  <c r="J22" i="11"/>
  <c r="S22" i="11" s="1"/>
  <c r="P22" i="11" s="1"/>
  <c r="H35" i="72"/>
  <c r="G71" i="67"/>
  <c r="G56" i="66"/>
  <c r="K72" i="32"/>
  <c r="K210" i="13"/>
  <c r="K150" i="13"/>
  <c r="K72" i="13"/>
  <c r="I249" i="1"/>
  <c r="R249" i="1" s="1"/>
  <c r="O249" i="1" s="1"/>
  <c r="I211" i="1"/>
  <c r="R211" i="1" s="1"/>
  <c r="O211" i="1" s="1"/>
  <c r="H75" i="70"/>
  <c r="G184" i="66"/>
  <c r="K87" i="32"/>
  <c r="K217" i="13"/>
  <c r="K149" i="13"/>
  <c r="K65" i="13"/>
  <c r="I392" i="1"/>
  <c r="R392" i="1" s="1"/>
  <c r="O392" i="1" s="1"/>
  <c r="H45" i="71"/>
  <c r="H44" i="69"/>
  <c r="G35" i="66"/>
  <c r="K258" i="13"/>
  <c r="K63" i="13"/>
  <c r="I151" i="1"/>
  <c r="R151" i="1" s="1"/>
  <c r="O151" i="1" s="1"/>
  <c r="I142" i="1"/>
  <c r="R142" i="1" s="1"/>
  <c r="O142" i="1" s="1"/>
  <c r="H82" i="69"/>
  <c r="J29" i="63"/>
  <c r="K175" i="13"/>
  <c r="I377" i="1"/>
  <c r="R377" i="1" s="1"/>
  <c r="O377" i="1" s="1"/>
  <c r="I175" i="1"/>
  <c r="R175" i="1" s="1"/>
  <c r="O175" i="1" s="1"/>
  <c r="H89" i="70"/>
  <c r="H33" i="69"/>
  <c r="G34" i="66"/>
  <c r="K256" i="13"/>
  <c r="K43" i="13"/>
  <c r="J18" i="63"/>
  <c r="I366" i="1"/>
  <c r="R366" i="1" s="1"/>
  <c r="O366" i="1" s="1"/>
  <c r="I185" i="1"/>
  <c r="R185" i="1" s="1"/>
  <c r="O185" i="1" s="1"/>
  <c r="I131" i="1"/>
  <c r="R131" i="1" s="1"/>
  <c r="O131" i="1" s="1"/>
  <c r="I103" i="1"/>
  <c r="J33" i="11"/>
  <c r="S33" i="11" s="1"/>
  <c r="P33" i="11" s="1"/>
  <c r="G99" i="66"/>
  <c r="K151" i="13"/>
  <c r="I161" i="1"/>
  <c r="R161" i="1" s="1"/>
  <c r="O161" i="1" s="1"/>
  <c r="J77" i="12"/>
  <c r="S77" i="12" s="1"/>
  <c r="P77" i="12" s="1"/>
  <c r="J36" i="12"/>
  <c r="S36" i="12" s="1"/>
  <c r="P36" i="12" s="1"/>
  <c r="J27" i="12"/>
  <c r="S27" i="12" s="1"/>
  <c r="P27" i="12" s="1"/>
  <c r="H169" i="69"/>
  <c r="J16" i="63"/>
  <c r="I69" i="1"/>
  <c r="R69" i="1" s="1"/>
  <c r="O69" i="1" s="1"/>
  <c r="H38" i="70"/>
  <c r="J27" i="63"/>
  <c r="K162" i="13"/>
  <c r="I93" i="1"/>
  <c r="R93" i="1" s="1"/>
  <c r="O93" i="1" s="1"/>
  <c r="G26" i="10"/>
  <c r="I201" i="1"/>
  <c r="R201" i="1" s="1"/>
  <c r="O201" i="1" s="1"/>
  <c r="G76" i="66"/>
  <c r="J18" i="11"/>
  <c r="S18" i="11" s="1"/>
  <c r="P18" i="11" s="1"/>
  <c r="I97" i="1"/>
  <c r="R97" i="1" s="1"/>
  <c r="O97" i="1" s="1"/>
  <c r="G36" i="67"/>
  <c r="G33" i="10"/>
  <c r="I109" i="1"/>
  <c r="R109" i="1" s="1"/>
  <c r="O109" i="1" s="1"/>
  <c r="G21" i="66"/>
  <c r="J38" i="11"/>
  <c r="H51" i="72"/>
  <c r="G47" i="67"/>
  <c r="G47" i="66"/>
  <c r="K51" i="32"/>
  <c r="K56" i="13"/>
  <c r="H35" i="70"/>
  <c r="K77" i="32"/>
  <c r="K139" i="13"/>
  <c r="H24" i="71"/>
  <c r="G24" i="66"/>
  <c r="K53" i="13"/>
  <c r="G37" i="67"/>
  <c r="I376" i="1"/>
  <c r="R376" i="1" s="1"/>
  <c r="O376" i="1" s="1"/>
  <c r="G22" i="66"/>
  <c r="K45" i="32"/>
  <c r="I129" i="1"/>
  <c r="R129" i="1" s="1"/>
  <c r="O129" i="1" s="1"/>
  <c r="I113" i="1"/>
  <c r="R113" i="1" s="1"/>
  <c r="O113" i="1" s="1"/>
  <c r="H77" i="70"/>
  <c r="K21" i="32"/>
  <c r="K52" i="13"/>
  <c r="H29" i="71"/>
  <c r="K47" i="32"/>
  <c r="K51" i="13"/>
  <c r="H142" i="69"/>
  <c r="K239" i="13"/>
  <c r="I140" i="1"/>
  <c r="R140" i="1" s="1"/>
  <c r="K17" i="32"/>
  <c r="I83" i="1"/>
  <c r="G16" i="66"/>
  <c r="H161" i="69"/>
  <c r="I182" i="1"/>
  <c r="R182" i="1" s="1"/>
  <c r="O182" i="1" s="1"/>
  <c r="J29" i="11"/>
  <c r="S29" i="11" s="1"/>
  <c r="P29" i="11" s="1"/>
  <c r="I340" i="1"/>
  <c r="J34" i="12"/>
  <c r="S34" i="12" s="1"/>
  <c r="P34" i="12" s="1"/>
  <c r="H49" i="69"/>
  <c r="I16" i="1"/>
  <c r="K65" i="32"/>
  <c r="I48" i="1"/>
  <c r="R48" i="1" s="1"/>
  <c r="O48" i="1" s="1"/>
  <c r="I351" i="1"/>
  <c r="R351" i="1" s="1"/>
  <c r="O351" i="1" s="1"/>
  <c r="J21" i="12"/>
  <c r="H126" i="69"/>
  <c r="K24" i="13"/>
  <c r="K176" i="13"/>
  <c r="H59" i="70"/>
  <c r="G49" i="66"/>
  <c r="K178" i="13"/>
  <c r="H110" i="69"/>
  <c r="J23" i="12"/>
  <c r="S23" i="12" s="1"/>
  <c r="P23" i="12" s="1"/>
  <c r="J13" i="12"/>
  <c r="J17" i="12" s="1"/>
  <c r="I346" i="1"/>
  <c r="R346" i="1" s="1"/>
  <c r="H21" i="72"/>
  <c r="G55" i="66"/>
  <c r="K105" i="32"/>
  <c r="I310" i="1"/>
  <c r="R310" i="1" s="1"/>
  <c r="O310" i="1" s="1"/>
  <c r="J43" i="12"/>
  <c r="S43" i="12" s="1"/>
  <c r="P43" i="12" s="1"/>
  <c r="I264" i="1"/>
  <c r="K103" i="32"/>
  <c r="K125" i="13"/>
  <c r="K114" i="32"/>
  <c r="I358" i="1"/>
  <c r="R358" i="1" s="1"/>
  <c r="H140" i="69"/>
  <c r="I268" i="1"/>
  <c r="R268" i="1" s="1"/>
  <c r="H84" i="69"/>
  <c r="H24" i="72"/>
  <c r="H160" i="69"/>
  <c r="G128" i="66"/>
  <c r="I183" i="1"/>
  <c r="R183" i="1" s="1"/>
  <c r="O183" i="1" s="1"/>
  <c r="I19" i="1"/>
  <c r="I57" i="1"/>
  <c r="R57" i="1" s="1"/>
  <c r="H107" i="69"/>
  <c r="G29" i="67"/>
  <c r="K241" i="13"/>
  <c r="K45" i="13"/>
  <c r="H134" i="69"/>
  <c r="K37" i="32"/>
  <c r="K44" i="13"/>
  <c r="H26" i="68"/>
  <c r="K148" i="13"/>
  <c r="I33" i="1"/>
  <c r="K29" i="13"/>
  <c r="I81" i="1"/>
  <c r="R81" i="1" s="1"/>
  <c r="O81" i="1" s="1"/>
  <c r="H59" i="65"/>
  <c r="K18" i="32"/>
  <c r="I160" i="1"/>
  <c r="R160" i="1" s="1"/>
  <c r="O160" i="1" s="1"/>
  <c r="J21" i="11"/>
  <c r="S21" i="11" s="1"/>
  <c r="P21" i="11" s="1"/>
  <c r="I89" i="1"/>
  <c r="R89" i="1" s="1"/>
  <c r="O89" i="1" s="1"/>
  <c r="J33" i="12"/>
  <c r="S33" i="12" s="1"/>
  <c r="P33" i="12" s="1"/>
  <c r="G52" i="67"/>
  <c r="J74" i="12"/>
  <c r="S74" i="12" s="1"/>
  <c r="P74" i="12" s="1"/>
  <c r="K255" i="13"/>
  <c r="I23" i="1"/>
  <c r="K42" i="13"/>
  <c r="I243" i="1"/>
  <c r="R243" i="1" s="1"/>
  <c r="O243" i="1" s="1"/>
  <c r="K187" i="13"/>
  <c r="G17" i="66"/>
  <c r="G187" i="66"/>
  <c r="K147" i="13"/>
  <c r="J28" i="63"/>
  <c r="G72" i="67"/>
  <c r="J84" i="12"/>
  <c r="S84" i="12" s="1"/>
  <c r="P84" i="12" s="1"/>
  <c r="K135" i="13"/>
  <c r="I208" i="1"/>
  <c r="R208" i="1" s="1"/>
  <c r="O208" i="1" s="1"/>
  <c r="G145" i="66"/>
  <c r="I360" i="1"/>
  <c r="R360" i="1" s="1"/>
  <c r="O360" i="1" s="1"/>
  <c r="I315" i="1"/>
  <c r="R315" i="1" s="1"/>
  <c r="O315" i="1" s="1"/>
  <c r="J16" i="12"/>
  <c r="I18" i="1"/>
  <c r="H61" i="72"/>
  <c r="H166" i="69"/>
  <c r="I219" i="1"/>
  <c r="I30" i="1"/>
  <c r="J42" i="12"/>
  <c r="S42" i="12" s="1"/>
  <c r="P42" i="12" s="1"/>
  <c r="I70" i="1"/>
  <c r="R70" i="1" s="1"/>
  <c r="O70" i="1" s="1"/>
  <c r="I260" i="1"/>
  <c r="R260" i="1" s="1"/>
  <c r="O260" i="1" s="1"/>
  <c r="H85" i="70"/>
  <c r="I147" i="1"/>
  <c r="R147" i="1" s="1"/>
  <c r="O147" i="1" s="1"/>
  <c r="K54" i="13"/>
  <c r="K84" i="32"/>
  <c r="I325" i="1"/>
  <c r="R325" i="1" s="1"/>
  <c r="O325" i="1" s="1"/>
  <c r="J34" i="11"/>
  <c r="S34" i="11" s="1"/>
  <c r="P34" i="11" s="1"/>
  <c r="G185" i="66"/>
  <c r="K196" i="13"/>
  <c r="K34" i="13"/>
  <c r="H86" i="69"/>
  <c r="K204" i="13"/>
  <c r="K30" i="13"/>
  <c r="G85" i="67"/>
  <c r="I306" i="1"/>
  <c r="R306" i="1" s="1"/>
  <c r="O306" i="1" s="1"/>
  <c r="I15" i="1"/>
  <c r="K26" i="13"/>
  <c r="H156" i="69"/>
  <c r="K104" i="32"/>
  <c r="K208" i="13"/>
  <c r="I126" i="1"/>
  <c r="R126" i="1" s="1"/>
  <c r="O126" i="1" s="1"/>
  <c r="H128" i="69"/>
  <c r="I68" i="1"/>
  <c r="R68" i="1" s="1"/>
  <c r="O68" i="1" s="1"/>
  <c r="J32" i="12"/>
  <c r="S32" i="12" s="1"/>
  <c r="P32" i="12" s="1"/>
  <c r="K44" i="32"/>
  <c r="H58" i="69"/>
  <c r="K25" i="13"/>
  <c r="G27" i="10"/>
  <c r="G87" i="67"/>
  <c r="I166" i="1"/>
  <c r="R166" i="1" s="1"/>
  <c r="O166" i="1" s="1"/>
  <c r="J30" i="11"/>
  <c r="S30" i="11" s="1"/>
  <c r="P30" i="11" s="1"/>
  <c r="H37" i="72"/>
  <c r="G149" i="66"/>
  <c r="I386" i="1"/>
  <c r="R386" i="1" s="1"/>
  <c r="I195" i="1"/>
  <c r="R195" i="1" s="1"/>
  <c r="I375" i="1"/>
  <c r="R375" i="1" s="1"/>
  <c r="I362" i="1"/>
  <c r="R362" i="1" s="1"/>
  <c r="O362" i="1" s="1"/>
  <c r="J44" i="12"/>
  <c r="S44" i="12" s="1"/>
  <c r="P44" i="12" s="1"/>
  <c r="I285" i="1"/>
  <c r="R285" i="1" s="1"/>
  <c r="O285" i="1" s="1"/>
  <c r="H74" i="69"/>
  <c r="K107" i="32"/>
  <c r="K134" i="13"/>
  <c r="I149" i="1"/>
  <c r="R149" i="1" s="1"/>
  <c r="O149" i="1" s="1"/>
  <c r="K123" i="13"/>
  <c r="K112" i="32"/>
  <c r="G21" i="67"/>
  <c r="K27" i="13"/>
  <c r="H39" i="71"/>
  <c r="G46" i="66"/>
  <c r="I148" i="1"/>
  <c r="R148" i="1" s="1"/>
  <c r="O148" i="1" s="1"/>
  <c r="H43" i="70"/>
  <c r="I47" i="1"/>
  <c r="R47" i="1" s="1"/>
  <c r="J32" i="11"/>
  <c r="S32" i="11" s="1"/>
  <c r="P32" i="11" s="1"/>
  <c r="K39" i="32"/>
  <c r="K71" i="32"/>
  <c r="K114" i="13"/>
  <c r="K110" i="32"/>
  <c r="H23" i="70"/>
  <c r="J35" i="12"/>
  <c r="S35" i="12" s="1"/>
  <c r="P35" i="12" s="1"/>
  <c r="J36" i="11"/>
  <c r="S36" i="11" s="1"/>
  <c r="P36" i="11" s="1"/>
  <c r="G171" i="66"/>
  <c r="K188" i="13"/>
  <c r="I245" i="1"/>
  <c r="R245" i="1" s="1"/>
  <c r="O245" i="1" s="1"/>
  <c r="H78" i="69"/>
  <c r="K193" i="13"/>
  <c r="I388" i="1"/>
  <c r="R388" i="1" s="1"/>
  <c r="O388" i="1" s="1"/>
  <c r="G134" i="66"/>
  <c r="I196" i="1"/>
  <c r="R196" i="1" s="1"/>
  <c r="O196" i="1" s="1"/>
  <c r="G20" i="67"/>
  <c r="I382" i="1"/>
  <c r="H122" i="69"/>
  <c r="K243" i="13"/>
  <c r="K132" i="13"/>
  <c r="I125" i="1"/>
  <c r="R125" i="1" s="1"/>
  <c r="O125" i="1" s="1"/>
  <c r="G18" i="66"/>
  <c r="I35" i="1"/>
  <c r="J25" i="12"/>
  <c r="S25" i="12" s="1"/>
  <c r="P25" i="12" s="1"/>
  <c r="K182" i="13"/>
  <c r="H19" i="68"/>
  <c r="I320" i="1"/>
  <c r="R320" i="1" s="1"/>
  <c r="O320" i="1" s="1"/>
  <c r="J13" i="11"/>
  <c r="H15" i="68"/>
  <c r="I200" i="1"/>
  <c r="R200" i="1" s="1"/>
  <c r="O200" i="1" s="1"/>
  <c r="J66" i="12"/>
  <c r="S66" i="12" s="1"/>
  <c r="P66" i="12" s="1"/>
  <c r="G176" i="66"/>
  <c r="H16" i="65"/>
  <c r="I123" i="1"/>
  <c r="R123" i="1" s="1"/>
  <c r="O123" i="1" s="1"/>
  <c r="K88" i="13"/>
  <c r="H154" i="69"/>
  <c r="I241" i="1"/>
  <c r="R241" i="1" s="1"/>
  <c r="O241" i="1" s="1"/>
  <c r="H23" i="68"/>
  <c r="I65" i="1"/>
  <c r="R65" i="1" s="1"/>
  <c r="O65" i="1" s="1"/>
  <c r="J22" i="12"/>
  <c r="S22" i="12" s="1"/>
  <c r="P22" i="12" s="1"/>
  <c r="K127" i="13"/>
  <c r="K96" i="32"/>
  <c r="G84" i="67"/>
  <c r="K75" i="13"/>
  <c r="K111" i="32"/>
  <c r="K119" i="13"/>
  <c r="K244" i="13"/>
  <c r="I173" i="1"/>
  <c r="R173" i="1" s="1"/>
  <c r="O173" i="1" s="1"/>
  <c r="I20" i="1"/>
  <c r="H116" i="69"/>
  <c r="I292" i="1"/>
  <c r="R292" i="1" s="1"/>
  <c r="O292" i="1" s="1"/>
  <c r="L36" i="10"/>
  <c r="I36" i="10"/>
  <c r="O36" i="10"/>
  <c r="F56" i="10"/>
  <c r="L12" i="10" l="1"/>
  <c r="L42" i="10" s="1"/>
  <c r="J87" i="12"/>
  <c r="S72" i="12"/>
  <c r="I15" i="10"/>
  <c r="O15" i="10"/>
  <c r="L15" i="10"/>
  <c r="I16" i="10"/>
  <c r="O16" i="10"/>
  <c r="L16" i="10"/>
  <c r="L18" i="10"/>
  <c r="O18" i="10"/>
  <c r="I18" i="10"/>
  <c r="O256" i="1"/>
  <c r="O264" i="1" s="1"/>
  <c r="R264" i="1"/>
  <c r="L27" i="10"/>
  <c r="I27" i="10"/>
  <c r="O27" i="10"/>
  <c r="R75" i="1"/>
  <c r="O57" i="1"/>
  <c r="O75" i="1" s="1"/>
  <c r="L33" i="10"/>
  <c r="O33" i="10"/>
  <c r="I33" i="10"/>
  <c r="I24" i="10"/>
  <c r="O24" i="10"/>
  <c r="L24" i="10"/>
  <c r="S21" i="12"/>
  <c r="J45" i="12"/>
  <c r="O88" i="1"/>
  <c r="O103" i="1" s="1"/>
  <c r="R103" i="1"/>
  <c r="I26" i="10"/>
  <c r="O26" i="10"/>
  <c r="L26" i="10"/>
  <c r="I17" i="10"/>
  <c r="L17" i="10"/>
  <c r="O17" i="10"/>
  <c r="O268" i="1"/>
  <c r="O340" i="1" s="1"/>
  <c r="R340" i="1"/>
  <c r="O47" i="1"/>
  <c r="O52" i="1" s="1"/>
  <c r="R52" i="1"/>
  <c r="R382" i="1"/>
  <c r="O375" i="1"/>
  <c r="O382" i="1" s="1"/>
  <c r="R214" i="1"/>
  <c r="O195" i="1"/>
  <c r="O214" i="1" s="1"/>
  <c r="R370" i="1"/>
  <c r="O358" i="1"/>
  <c r="O370" i="1" s="1"/>
  <c r="S61" i="12"/>
  <c r="J68" i="12"/>
  <c r="S51" i="12"/>
  <c r="J56" i="12"/>
  <c r="L25" i="10"/>
  <c r="I25" i="10"/>
  <c r="O25" i="10"/>
  <c r="S38" i="11"/>
  <c r="P12" i="10" s="1"/>
  <c r="O12" i="10" s="1"/>
  <c r="R219" i="1"/>
  <c r="I221" i="1"/>
  <c r="O32" i="10"/>
  <c r="L32" i="10"/>
  <c r="I32" i="10"/>
  <c r="R135" i="1"/>
  <c r="O120" i="1"/>
  <c r="O135" i="1" s="1"/>
  <c r="O386" i="1"/>
  <c r="O396" i="1" s="1"/>
  <c r="R396" i="1"/>
  <c r="O31" i="10"/>
  <c r="L31" i="10"/>
  <c r="I31" i="10"/>
  <c r="L23" i="10"/>
  <c r="I23" i="10"/>
  <c r="O23" i="10"/>
  <c r="O80" i="1"/>
  <c r="O83" i="1" s="1"/>
  <c r="R83" i="1"/>
  <c r="L37" i="10"/>
  <c r="O37" i="10"/>
  <c r="I37" i="10"/>
  <c r="O30" i="10"/>
  <c r="L30" i="10"/>
  <c r="I30" i="10"/>
  <c r="O239" i="1"/>
  <c r="O251" i="1" s="1"/>
  <c r="R251" i="1"/>
  <c r="O346" i="1"/>
  <c r="O353" i="1" s="1"/>
  <c r="R353" i="1"/>
  <c r="R190" i="1"/>
  <c r="O140" i="1"/>
  <c r="O190" i="1" s="1"/>
  <c r="R234" i="1"/>
  <c r="O229" i="1"/>
  <c r="O234" i="1" s="1"/>
  <c r="L20" i="10"/>
  <c r="I20" i="10"/>
  <c r="O20" i="10"/>
  <c r="L19" i="10"/>
  <c r="O19" i="10"/>
  <c r="I19" i="10"/>
  <c r="O40" i="10"/>
  <c r="L40" i="10"/>
  <c r="I40" i="10"/>
  <c r="S56" i="12" l="1"/>
  <c r="P51" i="12"/>
  <c r="P56" i="12" s="1"/>
  <c r="I42" i="10"/>
  <c r="O219" i="1"/>
  <c r="O221" i="1" s="1"/>
  <c r="R221" i="1"/>
  <c r="S87" i="12"/>
  <c r="P72" i="12"/>
  <c r="P87" i="12" s="1"/>
  <c r="O42" i="10"/>
  <c r="P61" i="12"/>
  <c r="P68" i="12" s="1"/>
  <c r="S68" i="12"/>
  <c r="S45" i="12"/>
  <c r="P21" i="12"/>
  <c r="P45" i="12" s="1"/>
  <c r="H45" i="75"/>
  <c r="L12" i="77" s="1"/>
  <c r="L13" i="77" s="1"/>
  <c r="G46" i="75"/>
  <c r="H46" i="75" l="1"/>
  <c r="K81" i="32"/>
</calcChain>
</file>

<file path=xl/sharedStrings.xml><?xml version="1.0" encoding="utf-8"?>
<sst xmlns="http://schemas.openxmlformats.org/spreadsheetml/2006/main" count="2987" uniqueCount="1259">
  <si>
    <t>S</t>
  </si>
  <si>
    <t>PROYEK PENGEMBANGAN GENERAL REPAIR &amp; BODY REPAIR DAIHATSU</t>
  </si>
  <si>
    <t>BATAM- KEPULAUAN RIAU</t>
  </si>
  <si>
    <t>REKAPITULASI PEK. STRUKTUR ARSITEKTUR, MEKANIKAL ELEKTRIKAL</t>
  </si>
  <si>
    <t>PROGRESS MINGGUAN</t>
  </si>
  <si>
    <t>PROYEK SHOWROOM &amp; WORKSHOP</t>
  </si>
  <si>
    <t>DAIHATSU Cabang BATAM-KEPULAUAN RIAU</t>
  </si>
  <si>
    <t xml:space="preserve">PT. ASTRA INTERNATIONAL Tbk </t>
  </si>
  <si>
    <t>PERIODE : 6- 18 April2026</t>
  </si>
  <si>
    <t>MINGGU KE 2 (Dua)</t>
  </si>
  <si>
    <t>No.</t>
  </si>
  <si>
    <t>URAIAN    PEKERJAAN</t>
  </si>
  <si>
    <t>TOTAL HARGA</t>
  </si>
  <si>
    <t>SUB TOTAL</t>
  </si>
  <si>
    <t>Bobot</t>
  </si>
  <si>
    <t>Progres Minggu lalu</t>
  </si>
  <si>
    <t>Progres Minggu ini</t>
  </si>
  <si>
    <t>S/D Progres Minggu ini</t>
  </si>
  <si>
    <t>Ket.</t>
  </si>
  <si>
    <t>( Rp. )</t>
  </si>
  <si>
    <t>Volume</t>
  </si>
  <si>
    <t>Progres (%)</t>
  </si>
  <si>
    <t>I</t>
  </si>
  <si>
    <t>II</t>
  </si>
  <si>
    <t>C</t>
  </si>
  <si>
    <t>D</t>
  </si>
  <si>
    <t>E</t>
  </si>
  <si>
    <t>PEKERJAAN MEKANIKAL</t>
  </si>
  <si>
    <t>F</t>
  </si>
  <si>
    <t>PEKERJAAN ELEKTRIKAL</t>
  </si>
  <si>
    <t>III</t>
  </si>
  <si>
    <t>PEKERJAAN BANGUNAN BODY REPAIR</t>
  </si>
  <si>
    <t>A</t>
  </si>
  <si>
    <t>PEKERJAAN STRUKTUR</t>
  </si>
  <si>
    <t>B</t>
  </si>
  <si>
    <t>PEKERJAAN ARSITEKTUR</t>
  </si>
  <si>
    <t>PEKERJAAN ELEKTRONIK</t>
  </si>
  <si>
    <t>IV</t>
  </si>
  <si>
    <t>V</t>
  </si>
  <si>
    <t>VI</t>
  </si>
  <si>
    <t>PEKERJAAN PEMBONGKARAN DAN PERBAIKAN</t>
  </si>
  <si>
    <t xml:space="preserve">Total Pekerjaan </t>
  </si>
  <si>
    <t>SUB TOTAL 1</t>
  </si>
  <si>
    <t>PROFIT &amp; OVERHEAD KONTRAKTOR</t>
  </si>
  <si>
    <t>SUB TOTAL 2</t>
  </si>
  <si>
    <t>DIBULATKAN</t>
  </si>
  <si>
    <t>PPN</t>
  </si>
  <si>
    <t>GRAND TOTAL</t>
  </si>
  <si>
    <t>Di setujui,</t>
  </si>
  <si>
    <t>Di ajukan,</t>
  </si>
  <si>
    <t>PT. ARSITEK ARUPADATU</t>
  </si>
  <si>
    <t>PT. Espe Kontraktor Indo</t>
  </si>
  <si>
    <t>Dony aditya</t>
  </si>
  <si>
    <t>TOTO SUSILO</t>
  </si>
  <si>
    <t>Dedy   Dimyanto</t>
  </si>
  <si>
    <t xml:space="preserve">spv </t>
  </si>
  <si>
    <t>Site Manager</t>
  </si>
  <si>
    <t>Project Manager</t>
  </si>
  <si>
    <t>NO</t>
  </si>
  <si>
    <t>SAT</t>
  </si>
  <si>
    <t xml:space="preserve">VOLUME </t>
  </si>
  <si>
    <t>VOLUME KONTRAKTOR</t>
  </si>
  <si>
    <t>HARGA SAT</t>
  </si>
  <si>
    <t>JUMLAH HARGA</t>
  </si>
  <si>
    <t>Progres s/d Minggu Lalu</t>
  </si>
  <si>
    <t>Progres s/d Minggu ini</t>
  </si>
  <si>
    <t>Perhitungan volume di kolom ini</t>
  </si>
  <si>
    <t>REKAPITULASI</t>
  </si>
  <si>
    <t>PEKERJAAN PERSIAPAN</t>
  </si>
  <si>
    <t>Proyek Manajemen dan biaya - biaya administrasi lapangan</t>
  </si>
  <si>
    <t>ls</t>
  </si>
  <si>
    <t>( Staf kontraktor di site harus ada personil Safety Officer dan Quality Control )</t>
  </si>
  <si>
    <t>Mobilisasi dan demobilisasi tenaga kerja dan peralatan, termasuk alat pancang, Alat bor, Scafolding dll</t>
  </si>
  <si>
    <t>Penjagaan dan perawatan jalan, pagar, trotoar yang ada</t>
  </si>
  <si>
    <t>Keamanan lapangan selama pekerjaan berlangsung</t>
  </si>
  <si>
    <t>Sumber air kerja (dengan jet pump) berikut peralatan penunjang</t>
  </si>
  <si>
    <t>Pengadaan sumber listrik kerja (dengan genset) berikut peralatan penunjang</t>
  </si>
  <si>
    <t>Peralatan komunikasi (telepon, HT, dll)</t>
  </si>
  <si>
    <t>Asuransi ( C.A.R, ASTEK dan Personal Incident 3 person )</t>
  </si>
  <si>
    <t>Pembuatan gambar kerja (shop drawing) &amp; gambar terlaksana ( as built drawing )</t>
  </si>
  <si>
    <t xml:space="preserve">Peralatan Pengaman dan APD (sepatu boot, helm, fire extinguiser , dsb) </t>
  </si>
  <si>
    <t>Testing material</t>
  </si>
  <si>
    <t>Laporan Progres pekerjaan dilengkapi dengan dokumen photo, setiap minggu</t>
  </si>
  <si>
    <t>Pekerjaan Pengukuran yang diperlukan selama proyek berlangsung</t>
  </si>
  <si>
    <t>Koordinasi Lingkungan dan Perijinan yang berkaitan dengan pelaksanaan diluar IMB</t>
  </si>
  <si>
    <t>Kantor dan Gudang kontraktor sementara dan Los kerja , sesuai kebutuhan</t>
  </si>
  <si>
    <t xml:space="preserve">Buangan material bongkaran keluar lokasi </t>
  </si>
  <si>
    <t xml:space="preserve">Pagar sementara seng H=2,4 m fin oil paint + rangka + pintu gerbang selama konstruksi pentahapan area bengkel </t>
  </si>
  <si>
    <t>m'</t>
  </si>
  <si>
    <t>Jembatan temporary utk akses mobilisasi alat berat</t>
  </si>
  <si>
    <t>Total Pekerjaan Persiapan …</t>
  </si>
  <si>
    <t xml:space="preserve"> </t>
  </si>
  <si>
    <t>u</t>
  </si>
  <si>
    <t>No</t>
  </si>
  <si>
    <t>URAIAN PEKERJAAN</t>
  </si>
  <si>
    <t>VOLUME</t>
  </si>
  <si>
    <t xml:space="preserve">VOLUME KONTRAKTOR </t>
  </si>
  <si>
    <t>HARGA SAT ( Rp )</t>
  </si>
  <si>
    <t>JUMLAH ( Rp )</t>
  </si>
  <si>
    <t>PEKERJAAN LUAR</t>
  </si>
  <si>
    <t>PEKERJAAN BONGKARAN</t>
  </si>
  <si>
    <t>Area lantai basement (General repair)</t>
  </si>
  <si>
    <t xml:space="preserve">* R. Part Ex. Repair &amp; samping stall 5 : Pekerjaan pembongkaran dinding, termasuk pintu </t>
  </si>
  <si>
    <t>m2</t>
  </si>
  <si>
    <t>* R. Part Ex. Repair &amp; R. G. part  : Pekerjaan bobokan lantai existing</t>
  </si>
  <si>
    <t>* Urinal  / toilet mekanik : Pekerjaan bobokan dinding keramik existing</t>
  </si>
  <si>
    <t>*  Pekerjaan pembongkaran plafond, untuk :</t>
  </si>
  <si>
    <t xml:space="preserve">      - R. Part Ex. Repair &amp; R. G. part </t>
  </si>
  <si>
    <t xml:space="preserve">      - Urinal / toilet mekanik</t>
  </si>
  <si>
    <t xml:space="preserve">      - R. part exclaim menjadi R. karu </t>
  </si>
  <si>
    <t xml:space="preserve">      - Smoking area menjadi R. security</t>
  </si>
  <si>
    <t>* Area wastafel &amp; r. part exclaim  : Pekerjaan pembongkaran dinding tengah</t>
  </si>
  <si>
    <r>
      <rPr>
        <sz val="11"/>
        <rFont val="Arial"/>
        <charset val="134"/>
      </rPr>
      <t xml:space="preserve">* Pekerjaan bobokan lantai existing </t>
    </r>
    <r>
      <rPr>
        <b/>
        <sz val="11"/>
        <rFont val="Arial"/>
        <charset val="134"/>
      </rPr>
      <t>termasuk keramik, grating / item yang terkait didalamnya</t>
    </r>
    <r>
      <rPr>
        <sz val="11"/>
        <rFont val="Arial"/>
        <charset val="134"/>
      </rPr>
      <t>, untuk :</t>
    </r>
  </si>
  <si>
    <t xml:space="preserve">    * Combiboot menjadi Stall loading / unloading </t>
  </si>
  <si>
    <t xml:space="preserve">    * R. security menjadi r. part exclaim </t>
  </si>
  <si>
    <t xml:space="preserve">    * Area urinal / toilet mekanik, wastafel dan r. part exclaim menjadi urinal &amp; r. karu</t>
  </si>
  <si>
    <t xml:space="preserve">    * R. smoking area menjadi R. security</t>
  </si>
  <si>
    <t xml:space="preserve">   * R. g.part &amp; r. gudang bahan : Pekerjaan pembongkaran dinding roster</t>
  </si>
  <si>
    <t xml:space="preserve">   * Area stalll dempul, epoxy, masking  : Pekerjaan pembongkaran seluruh lantai termasuk grating / item yang terkait didalamnya</t>
  </si>
  <si>
    <t>Area lantai 1 (office &amp; showroom)</t>
  </si>
  <si>
    <t xml:space="preserve">* R. admin : Pekerjaan pembongkaran dinding partisi , termasuk pintu </t>
  </si>
  <si>
    <t>* R. admin : Pekerjaan pembongkaran  plafond</t>
  </si>
  <si>
    <t>Area lantai 2 (office &amp; showroom)</t>
  </si>
  <si>
    <t>* R. MPR menjadi r. salesman : Pekerjaan pembongkaran dinding &amp; pintu, termasuk modifikasi railing tangga menjadi dinding bata</t>
  </si>
  <si>
    <t>* R. MPR menjadi r. salesman : Pekerjaan pembongkaran  plafond</t>
  </si>
  <si>
    <r>
      <rPr>
        <sz val="11"/>
        <rFont val="Arial"/>
        <charset val="134"/>
      </rPr>
      <t xml:space="preserve">Pekerjaan pembongkaran atap,  </t>
    </r>
    <r>
      <rPr>
        <b/>
        <sz val="11"/>
        <color rgb="FFFF0000"/>
        <rFont val="Arial"/>
        <charset val="134"/>
      </rPr>
      <t xml:space="preserve">kolom, dinding partisi dan policarbonate beserta rangka pada area </t>
    </r>
    <r>
      <rPr>
        <sz val="11"/>
        <rFont val="Arial"/>
        <charset val="134"/>
      </rPr>
      <t>washing stall</t>
    </r>
  </si>
  <si>
    <t xml:space="preserve">Metode pemasukan alat pancang dengan HSPD 120 ton bisa melalui jalur / jalan belakang namun ada Pekerjaan bongkar &amp; pemasangan kembali pagar panel ( 3 panel, panjang 1 panel : 2,4 m) di area belakang (melalui tanah stock yard) 
</t>
  </si>
  <si>
    <t>Sub Total Pek Bongkaran ...</t>
  </si>
  <si>
    <t>PEKERJAAN SALURAN</t>
  </si>
  <si>
    <r>
      <rPr>
        <sz val="11"/>
        <rFont val="Arial"/>
        <charset val="134"/>
      </rPr>
      <t>Saluran beton precast ex. SCG, PRECON,</t>
    </r>
    <r>
      <rPr>
        <b/>
        <sz val="11"/>
        <rFont val="Arial"/>
        <charset val="134"/>
      </rPr>
      <t xml:space="preserve"> </t>
    </r>
    <r>
      <rPr>
        <b/>
        <sz val="11"/>
        <color rgb="FFFF0000"/>
        <rFont val="Arial"/>
        <charset val="134"/>
      </rPr>
      <t>Lokal / SNI</t>
    </r>
  </si>
  <si>
    <t>Termasuk bobokan jalan existing (bila ada), Galian tanah, urugan sirtu, urugan kembali, buangan tanah &amp; pasir urug</t>
  </si>
  <si>
    <t>Saluran buis beton bertulang, menuju saluran existing</t>
  </si>
  <si>
    <t>- Saluran buis beton BB40 dia 40 cm</t>
  </si>
  <si>
    <t>Pekerjaan Bak Kontrol ( BK )</t>
  </si>
  <si>
    <t>- BK1, uk. 1340 mm x 1340 mm + tutup beton bertulang</t>
  </si>
  <si>
    <t>unit</t>
  </si>
  <si>
    <t>Saluran box culvert ukuran 600 x 600 mm , menuju saluran existing</t>
  </si>
  <si>
    <t>Sub Total Pekerjaan Drainase …</t>
  </si>
  <si>
    <r>
      <rPr>
        <b/>
        <sz val="11"/>
        <rFont val="Arial"/>
        <charset val="134"/>
      </rPr>
      <t xml:space="preserve">PEKERJAAN PAVING BLOCK, </t>
    </r>
    <r>
      <rPr>
        <b/>
        <sz val="11"/>
        <color rgb="FFFF0000"/>
        <rFont val="Arial"/>
        <charset val="134"/>
      </rPr>
      <t>EX. LOKAL / SNI</t>
    </r>
  </si>
  <si>
    <t>terkait pemindahan &amp; pemasangan kembali</t>
  </si>
  <si>
    <t>Biaya pemindahan paving block dari EX. SITE Body repair</t>
  </si>
  <si>
    <t>Pemadatan tanah CBR min 6%</t>
  </si>
  <si>
    <t xml:space="preserve">Pekerjaan urugan Sirdam CBR min 60 % tebal 30 cm </t>
  </si>
  <si>
    <t>m3</t>
  </si>
  <si>
    <t xml:space="preserve">Lapisan abu batu t= 7 cm </t>
  </si>
  <si>
    <t xml:space="preserve">  Pekerjaan urugan limestone tebal 60 cm </t>
  </si>
  <si>
    <t>TAKEOUT</t>
  </si>
  <si>
    <r>
      <rPr>
        <sz val="11"/>
        <rFont val="Trebuchet MS"/>
        <charset val="134"/>
      </rPr>
      <t>Paving block Natural K-450 t=8 cm, ex. Cisangkan/Lokal termasuk topi uskup</t>
    </r>
    <r>
      <rPr>
        <b/>
        <sz val="11"/>
        <color rgb="FFFF0000"/>
        <rFont val="Trebuchet MS"/>
        <charset val="134"/>
      </rPr>
      <t xml:space="preserve"> (biaya hanya mencakup upah pasang, material by existing)</t>
    </r>
  </si>
  <si>
    <t>Sub Total Pekerjaan paving block …</t>
  </si>
  <si>
    <t>PEKERJAAN LAIN-LAIN</t>
  </si>
  <si>
    <t>Pekerjaan Sendimen Trap &amp; Filter, ukuran 2750 x 800 mm, lengkap termasuk galian, urugan, lantai kerja, beton, bekisting, pembesian &amp; penutup (sesuai gambar)</t>
  </si>
  <si>
    <t>Pekerjaan marka cat parkir warna Putih dengan epoxy paint ex. Novalux</t>
  </si>
  <si>
    <t>Pekerjaan bak sampah  uk. 1,65 x 3,15 m + tutup plat besi t=2 mm finish oil paint ftalit type 1115-180 brighyt green &amp; type 115-444 banana yellow EX. KANSAI, sesuai gambar</t>
  </si>
  <si>
    <t xml:space="preserve">Pekerjaan dudukan ipal </t>
  </si>
  <si>
    <t xml:space="preserve">Lantai Kerja Adukan 1:3:5, tebal 5 cm di bawah plat lantai </t>
  </si>
  <si>
    <r>
      <rPr>
        <sz val="11"/>
        <rFont val="Tahoma"/>
        <charset val="134"/>
      </rPr>
      <t>m</t>
    </r>
    <r>
      <rPr>
        <vertAlign val="superscript"/>
        <sz val="11"/>
        <rFont val="Tahoma"/>
        <charset val="134"/>
      </rPr>
      <t>3</t>
    </r>
  </si>
  <si>
    <t>Urugan sirdam t=20 cm</t>
  </si>
  <si>
    <t>Pekerjan pemadatan tanah CBR min 6%</t>
  </si>
  <si>
    <r>
      <rPr>
        <sz val="11"/>
        <rFont val="Tahoma"/>
        <charset val="134"/>
      </rPr>
      <t xml:space="preserve">Pekerjaan beton bertulang (K - 300/Fc 25Mpa) </t>
    </r>
    <r>
      <rPr>
        <b/>
        <sz val="11"/>
        <color rgb="FFFF0000"/>
        <rFont val="Tahoma"/>
        <charset val="134"/>
      </rPr>
      <t>+ integral kristalin</t>
    </r>
    <r>
      <rPr>
        <sz val="11"/>
        <rFont val="Tahoma"/>
        <charset val="134"/>
      </rPr>
      <t>, untuk :</t>
    </r>
  </si>
  <si>
    <t xml:space="preserve">   - Plat beton lantai, t = 15 cm ( S15 )</t>
  </si>
  <si>
    <t xml:space="preserve">   - Plat beton lantai, t = 20 cm ( S20 )</t>
  </si>
  <si>
    <t xml:space="preserve">Bekisting multipleks 12 mm + stoot werk untuk Plat Lantai </t>
  </si>
  <si>
    <r>
      <rPr>
        <sz val="11"/>
        <rFont val="Tahoma"/>
        <charset val="134"/>
      </rPr>
      <t>m</t>
    </r>
    <r>
      <rPr>
        <vertAlign val="superscript"/>
        <sz val="11"/>
        <rFont val="Tahoma"/>
        <charset val="134"/>
      </rPr>
      <t>2</t>
    </r>
  </si>
  <si>
    <t>PEKERJAAN PEMBESIAN / TULANGAN</t>
  </si>
  <si>
    <t xml:space="preserve">   - Plat beton lantai, S15 (dia D13-150 mm) 2 layer</t>
  </si>
  <si>
    <t>kg</t>
  </si>
  <si>
    <t xml:space="preserve">   - Plat beton lantai, S20 (dia D13-150 mm) 2 layer</t>
  </si>
  <si>
    <t>Sub Total Pekerjaan Lain-lain …</t>
  </si>
  <si>
    <t>PEKERJAAN BEKISTING</t>
  </si>
  <si>
    <t>G</t>
  </si>
  <si>
    <t>PEKERJAAN KONSTRUKSI BAJA</t>
  </si>
  <si>
    <t>H</t>
  </si>
  <si>
    <t>PEKERJAAN ATAP</t>
  </si>
  <si>
    <t>PEKERJAAN WATERPROOFING</t>
  </si>
  <si>
    <t>JUMLAH PEKERJAAN STRUKTUR</t>
  </si>
  <si>
    <t>JUMLAH PEKERJAAN ARSITEKTUR</t>
  </si>
  <si>
    <t>PEKERJAAN PONDASI TIANG PANCANG</t>
  </si>
  <si>
    <t>Tiang Pancang  uk. 25x25 cm L= 15 M dari tanah existing (termasuk Biaya Pemancangan dng hydraulic Jacking dan penyambungan), Mutu beton Fc' = 42 Mpa</t>
  </si>
  <si>
    <t>Pemotongan Kepala Tiang Pancang</t>
  </si>
  <si>
    <t>ttk</t>
  </si>
  <si>
    <t>Preboring kedlaman ± 4-5 mtr, termasuk pengisian dengan bahan grouting setelah tiang tertanam</t>
  </si>
  <si>
    <t xml:space="preserve">PDA test </t>
  </si>
  <si>
    <t>Total Pekerjaan  Pondasi Tiang Pancang …</t>
  </si>
  <si>
    <t>PEKERJAAN GALIAN DAN URUGAN</t>
  </si>
  <si>
    <t>Pekerjaan Galian Tanah untuk :</t>
  </si>
  <si>
    <t>a</t>
  </si>
  <si>
    <t xml:space="preserve">Pile cap </t>
  </si>
  <si>
    <r>
      <rPr>
        <sz val="11"/>
        <rFont val="Arial"/>
        <charset val="134"/>
      </rPr>
      <t>m</t>
    </r>
    <r>
      <rPr>
        <vertAlign val="superscript"/>
        <sz val="11"/>
        <rFont val="Arial"/>
        <charset val="134"/>
      </rPr>
      <t>3</t>
    </r>
  </si>
  <si>
    <t>b</t>
  </si>
  <si>
    <t>Tie Beam</t>
  </si>
  <si>
    <t>Pekerjaan Urugan Tanah</t>
  </si>
  <si>
    <t>Urugan &amp; Pemadatan Tanah Kembali  untuk :</t>
  </si>
  <si>
    <t xml:space="preserve">Pekerjaan buangan tanah ex. Galian </t>
  </si>
  <si>
    <t>Pekerjaan Urugan Pasir</t>
  </si>
  <si>
    <t>Urugan Pasir setebal 10 cm dibawah :</t>
  </si>
  <si>
    <t>c</t>
  </si>
  <si>
    <t>Plat lantai basement , termasuk area ramp</t>
  </si>
  <si>
    <t>Pekerjaan pemadatan tanah di bawah area plat lantai basement  &amp; ramp dipadatkan, min CBR 6 %</t>
  </si>
  <si>
    <t xml:space="preserve">Pekerjaan urugan sirdam CBR &gt; 50 %, tebal 30 cm di bawah area plat lantai basement  &amp; ramp </t>
  </si>
  <si>
    <t xml:space="preserve">Pekerjaan plastik cor di bawah area plat lantai basement  &amp; ramp </t>
  </si>
  <si>
    <t>Total Pekerjaan Galian, Urugan dan Pemadatan …</t>
  </si>
  <si>
    <t>PEKERJAAN LANTAI KERJA</t>
  </si>
  <si>
    <t>Lantai Kerja Adukan 1:3:5, tebal 5 cm di bawah :</t>
  </si>
  <si>
    <t>Total Pekerjaan Lantai Kerja …</t>
  </si>
  <si>
    <t>PEKERJAAN BETON BERTULANG (K - 300/Fc 25Mpa)</t>
  </si>
  <si>
    <t>- PC1 (  70x70x70 cm )</t>
  </si>
  <si>
    <t>- PC2 (  70x150x70 cm )</t>
  </si>
  <si>
    <t xml:space="preserve">Tie Beam </t>
  </si>
  <si>
    <t xml:space="preserve">- TG36 ( 30x60 cm ) </t>
  </si>
  <si>
    <t xml:space="preserve">Kolom </t>
  </si>
  <si>
    <t>- PD45 ( 40x50 cm ), kolom pedestal</t>
  </si>
  <si>
    <t>- PD34 ( 30x40 cm ), kolom pedestal</t>
  </si>
  <si>
    <t>Plat beton</t>
  </si>
  <si>
    <t xml:space="preserve">Lantai basement </t>
  </si>
  <si>
    <t>- Plat beton lantai, t = 20 cm ( S20 )</t>
  </si>
  <si>
    <t>Lantai  ramp</t>
  </si>
  <si>
    <t>Balok tepi Slab on round, termasuk area Ramp</t>
  </si>
  <si>
    <t>- B ( 30x35 cm )</t>
  </si>
  <si>
    <t>Total Pekerjaan Beton Bertulang …</t>
  </si>
  <si>
    <t xml:space="preserve">Bekisting pasangan bataco Pile Cap </t>
  </si>
  <si>
    <r>
      <rPr>
        <sz val="11"/>
        <rFont val="Arial"/>
        <charset val="134"/>
      </rPr>
      <t>m</t>
    </r>
    <r>
      <rPr>
        <vertAlign val="superscript"/>
        <sz val="11"/>
        <rFont val="Arial"/>
        <charset val="134"/>
      </rPr>
      <t>2</t>
    </r>
  </si>
  <si>
    <t xml:space="preserve">Bekisting pasangan bataco Tie Beam </t>
  </si>
  <si>
    <t>Bekisting multipleks 12 mm + stoot werk untuk Kolom</t>
  </si>
  <si>
    <t>Bekisting multipleks 12 mm + stoot werk + penutup samping untuk Plat Lantai basement  &amp; ramp</t>
  </si>
  <si>
    <t>- Plat basement</t>
  </si>
  <si>
    <t>- Plat ramp</t>
  </si>
  <si>
    <t>Bekisting multipleks 12 mm + stoot werk untuk balok tepi Slab on round, temasuk area ramp</t>
  </si>
  <si>
    <t>Total Pekerjaan Bekisting …</t>
  </si>
  <si>
    <t>- PC1  (dia. 16, 13 mm)</t>
  </si>
  <si>
    <t>- PC2  (dia. 16, 13 mm)</t>
  </si>
  <si>
    <t>Tie beam</t>
  </si>
  <si>
    <t>- TG36 (dia. 19, 10 mm)</t>
  </si>
  <si>
    <t>Kolom</t>
  </si>
  <si>
    <t>- PD45  (dia. 16,10  mm)</t>
  </si>
  <si>
    <t>- PD34  (dia. 16,10  mm)</t>
  </si>
  <si>
    <t>Lantai basement</t>
  </si>
  <si>
    <t>Plat beton lantai, S20 (wiremesh M8 -150) , termasuk tulangan ekstra 2-D16 L=1200 mm / 2 layer</t>
  </si>
  <si>
    <t>Lantai ramp</t>
  </si>
  <si>
    <t>Balok tepi Slab on round, ternasuk area ramp</t>
  </si>
  <si>
    <t>- B  (dia. 10  mm)</t>
  </si>
  <si>
    <t>Total Pekerjaan Pembesian / Tulangan …</t>
  </si>
  <si>
    <t>Kolom baja</t>
  </si>
  <si>
    <t>- SC1, WF-400.200.8.13</t>
  </si>
  <si>
    <t>- SC2, WF-350.175.7.11</t>
  </si>
  <si>
    <t>- SC3, WF-300.150.6,5.9</t>
  </si>
  <si>
    <t>Frame Baja</t>
  </si>
  <si>
    <t>- W20, WF 200.100.5,5.8</t>
  </si>
  <si>
    <t>- W25, WF 250.125.6.9</t>
  </si>
  <si>
    <t>- W15, WF 150.75.5.7</t>
  </si>
  <si>
    <t>- W35, WF 350.175.7.11</t>
  </si>
  <si>
    <t>- W30, WF 300.150.6,5.9</t>
  </si>
  <si>
    <t>- ST1, Steel pipe dia 4" T= 4,5 mm</t>
  </si>
  <si>
    <t xml:space="preserve">  - Fly brace L. 50.50.5  </t>
  </si>
  <si>
    <t xml:space="preserve">  - Truss rangka cladding type TR1, WF 300x150x6,5x9 + T-175x175x7x11 + L-70x70x6</t>
  </si>
  <si>
    <t>Gording, untuk :</t>
  </si>
  <si>
    <t>- CNP 200x75x20x2,3</t>
  </si>
  <si>
    <t>Rangka listplank, CNP 100x50x20x2,3</t>
  </si>
  <si>
    <t xml:space="preserve">Trekstang dia. 12 mm </t>
  </si>
  <si>
    <t>Ikatan Angin dia. 19 mm</t>
  </si>
  <si>
    <t xml:space="preserve">Base plate, Plat Sambung, Stiffener </t>
  </si>
  <si>
    <t>Baut-Baut HTB</t>
  </si>
  <si>
    <t xml:space="preserve">- Baut dia. 16 mm  </t>
  </si>
  <si>
    <t>bh</t>
  </si>
  <si>
    <t xml:space="preserve">- Baut dia. 22 mm  </t>
  </si>
  <si>
    <t xml:space="preserve">- Baut dia. 20 mm  </t>
  </si>
  <si>
    <t>- Baut gording M 12 mm</t>
  </si>
  <si>
    <t>- Turn buckle Ø 19 mm</t>
  </si>
  <si>
    <t>Anchor Bolt</t>
  </si>
  <si>
    <t>- Anchor Bolt dia. 22 mm</t>
  </si>
  <si>
    <t>Semen grouting bawah plat kolom ex Combextra GP t=25 mm</t>
  </si>
  <si>
    <t>Pengecatan dengan Zinchromate</t>
  </si>
  <si>
    <t>-  2 lapis Zinc Chromate primer Green, 
tebal min. 60 micron, ex. Kansai Paint</t>
  </si>
  <si>
    <t>-  2 lapis tebal min. 60 micron dengan finishing 
Ftalit ex. Kansai Paint</t>
  </si>
  <si>
    <t xml:space="preserve">CANOPY </t>
  </si>
  <si>
    <t>- W30A, WF 400.200.8.13</t>
  </si>
  <si>
    <t>Gording, CNP 200x75x20x2,3</t>
  </si>
  <si>
    <t>Ikatan Angin dia. 16 mm</t>
  </si>
  <si>
    <t xml:space="preserve">- Baut dia.  16 mm  </t>
  </si>
  <si>
    <t xml:space="preserve">- Baut dia.  20 mm  </t>
  </si>
  <si>
    <t>Total Pekerjaan Konstruksi Baja …</t>
  </si>
  <si>
    <t>PEKERJAAN PENUTUP ATAP</t>
  </si>
  <si>
    <t xml:space="preserve"> ATAP UTAMA </t>
  </si>
  <si>
    <r>
      <rPr>
        <sz val="11"/>
        <rFont val="Arial"/>
        <charset val="134"/>
      </rPr>
      <t>Penutup atap, Corrugated Steel Roof Zincalume - Aluminium</t>
    </r>
    <r>
      <rPr>
        <b/>
        <sz val="11"/>
        <color rgb="FFFF0000"/>
        <rFont val="Arial"/>
        <charset val="134"/>
      </rPr>
      <t xml:space="preserve"> Type TSL- 55,</t>
    </r>
    <r>
      <rPr>
        <sz val="11"/>
        <rFont val="Arial"/>
        <charset val="134"/>
      </rPr>
      <t xml:space="preserve"> t= 0,45 mm tanpa sambungan ex. Takumi + aksesories lainnya ex BHP + aksesories (R1)</t>
    </r>
  </si>
  <si>
    <t>Insulation for roof type ZT - 05 BBR / ETH - 100 Prime ex Zeltech / Eteris</t>
  </si>
  <si>
    <t xml:space="preserve">Talang FRP  ( termasuk bak talang )  t=3 mm + penggantung plat strip 50x5, L max 50 cm   </t>
  </si>
  <si>
    <t xml:space="preserve">Steel Flashing t = 0.45 mm </t>
  </si>
  <si>
    <t>- Pertemuan Talang dengan atap</t>
  </si>
  <si>
    <t>- Pertemuan Talang dengan Listplank</t>
  </si>
  <si>
    <t>- Pertemuan atap dengan lisplank</t>
  </si>
  <si>
    <t>- Nok</t>
  </si>
  <si>
    <t xml:space="preserve">Roof Drain cast iron LOKAL ex. BATUR dia.2,5" </t>
  </si>
  <si>
    <t>BY MEP</t>
  </si>
  <si>
    <t>Penutup lisplank &amp; cladding, Zincalume Type TEC-750 ,  t=0.35 mm EX. TAKUMI, termasuk rangka / perkuatan (W6)</t>
  </si>
  <si>
    <t>Pekerjaan modifikasi cladding perhadap pertemuan dengan atap baru body repair</t>
  </si>
  <si>
    <r>
      <rPr>
        <sz val="11"/>
        <rFont val="Arial"/>
        <charset val="134"/>
      </rPr>
      <t>Penutup atap, Corrugated Steel Roof Zincalume - Aluminium</t>
    </r>
    <r>
      <rPr>
        <b/>
        <sz val="11"/>
        <color rgb="FFFF0000"/>
        <rFont val="Arial"/>
        <charset val="134"/>
      </rPr>
      <t xml:space="preserve"> Type TSL- 55,</t>
    </r>
    <r>
      <rPr>
        <sz val="11"/>
        <rFont val="Arial"/>
        <charset val="134"/>
      </rPr>
      <t xml:space="preserve"> t= 0,45 mm tanpa sambungan ex. Takumi + aksesories lainnya ex BHP + aksesories (R2)</t>
    </r>
  </si>
  <si>
    <t>- Ridge Capping ZincAlume , 900mm girth , 0.45mm tct</t>
  </si>
  <si>
    <t>- Longitudinal Fascia Capping ZincAlume , 450mm girth , 0.45mm tct</t>
  </si>
  <si>
    <t>- Transverse Parapet Flashing ZincAlume , 450mm girth , 0.45mm tct</t>
  </si>
  <si>
    <t>Total Pekerjaan Atap …</t>
  </si>
  <si>
    <t xml:space="preserve">PEKERJAAN WATERPROOFING </t>
  </si>
  <si>
    <t>Waterproofing, Cement base type AM 100 3 x Coating ex AM  untuk :</t>
  </si>
  <si>
    <t>- Lantai basement : Lantai &amp; dinding urinoir</t>
  </si>
  <si>
    <t>Total Pekerjaan Waterproofing …</t>
  </si>
  <si>
    <t>PEKERJAAN PASANGAN BATU BATA &amp; PLESTERAN</t>
  </si>
  <si>
    <r>
      <rPr>
        <sz val="11"/>
        <rFont val="Arial"/>
        <charset val="134"/>
      </rPr>
      <t>Pekerjaan batu bata ringan</t>
    </r>
    <r>
      <rPr>
        <b/>
        <sz val="11"/>
        <color rgb="FFFF0000"/>
        <rFont val="Arial"/>
        <charset val="134"/>
      </rPr>
      <t xml:space="preserve"> ex. POWERBLOCK/CITICON/Setara</t>
    </r>
    <r>
      <rPr>
        <sz val="11"/>
        <rFont val="Arial"/>
        <charset val="134"/>
      </rPr>
      <t xml:space="preserve"> uk. 60x20x10 cm lengkap dgn sloof, kolom praktis D-8 mm  </t>
    </r>
  </si>
  <si>
    <r>
      <rPr>
        <sz val="11"/>
        <rFont val="Arial"/>
        <charset val="134"/>
      </rPr>
      <t xml:space="preserve"> Plesteran &amp; Acian dinding bata ringan dengan semen instan MU-290</t>
    </r>
    <r>
      <rPr>
        <b/>
        <sz val="11"/>
        <color rgb="FFFF0000"/>
        <rFont val="Arial"/>
        <charset val="134"/>
      </rPr>
      <t xml:space="preserve"> ex. MORTAR UTAMA</t>
    </r>
  </si>
  <si>
    <t>Total Pekerjaan Pasangan Batu bata &amp; Plesteran …</t>
  </si>
  <si>
    <t>PEKERJAAN LANTAI</t>
  </si>
  <si>
    <t xml:space="preserve">Ceramic tile uk. 30x30 cm, type G332106 Vivaz bianco (POLISHED) EX. ROMAN (F1) </t>
  </si>
  <si>
    <t xml:space="preserve">- Lantai basement : Area R. cat &amp; mixing , r. karu Body repair, r. gudang bongkar pasang, r. gudang part lepasan </t>
  </si>
  <si>
    <t xml:space="preserve">Ceramic tile uk. 30x30 cm, type Heavy duty EX. ALLIA (F3) </t>
  </si>
  <si>
    <t xml:space="preserve">- Lantai basement : Area body repair, stall loading unloading, washing stall </t>
  </si>
  <si>
    <t xml:space="preserve">Border, Ceramic tile uk. 10x60 cm, type GG045 Splash absolute black (UNPOLISHED) EX. NIRO GRANITO (F4) </t>
  </si>
  <si>
    <t xml:space="preserve">- Lantai basement : Area Body repair, , washing stall </t>
  </si>
  <si>
    <t xml:space="preserve">Ceramic tile uk. 40x40 cm, type Chrysant Grey (MATT) EX. ROMAN (F5) </t>
  </si>
  <si>
    <t>- Lantai basement : Area urinoir</t>
  </si>
  <si>
    <t xml:space="preserve">Plint, Ceramic tile uk. 10x30 cm, type G332106 Vivaz bianco EX. ROMAN (S1) </t>
  </si>
  <si>
    <t xml:space="preserve">- Lantai basement : Area R. gudang bongkar pasang, r. gudang part lepasan, r. karu Body repair, r. cat &amp; mixing </t>
  </si>
  <si>
    <t xml:space="preserve">Exposed concrete (F6) </t>
  </si>
  <si>
    <t xml:space="preserve">- Lantai basement : RAMP </t>
  </si>
  <si>
    <t>Total Pekerjaan Lantai …</t>
  </si>
  <si>
    <t>PEKERJAAN FINISHING DINDING</t>
  </si>
  <si>
    <t xml:space="preserve">Ceramic tile uk. 30x30 cm, type G332106 Vivaz bianco (POLISHED) EX. ROMAN, H = 1,2 m (W4) </t>
  </si>
  <si>
    <t>- Lantai basement : Area PDI stall , washing stall</t>
  </si>
  <si>
    <t>Dinding Polycarbonate t=6 mm ex.TWINLITE type CLEAR + Rgk Steel Hollow 40x40 finish Duco warna Putih, H=205 cm</t>
  </si>
  <si>
    <t xml:space="preserve">Ceramic tile uk. 30x30 cm, type G332106 Vivaz bianco (POLISHED) EX. ROMAN, H= 2,1 m (W4) </t>
  </si>
  <si>
    <t>- Lantai dasar  : Area body repair</t>
  </si>
  <si>
    <t xml:space="preserve">Ceramic tile uk. 20x40 cm, type W40106 Serenity white EX. ROMAN (W5) </t>
  </si>
  <si>
    <t>Total Pekerjaan Finishing dinding …</t>
  </si>
  <si>
    <t>PEKERJAAN KOSEN, PINTU &amp; JENDELA</t>
  </si>
  <si>
    <t>Type ADW-1 (2500x2100 mm) untuk R. karu Body repair</t>
  </si>
  <si>
    <t xml:space="preserve">- Aluminium frame 3" powder coating snow white EX. ALEXINDO </t>
  </si>
  <si>
    <t>- Single swing door / open window</t>
  </si>
  <si>
    <t xml:space="preserve">- Clear Glass t=8 mm, EX. ASAHIMAS + aluminium spandrell </t>
  </si>
  <si>
    <t xml:space="preserve">- Clear Glass t=6 mm, EX. ASAHIMAS </t>
  </si>
  <si>
    <t>- Accessories</t>
  </si>
  <si>
    <t xml:space="preserve">    * Lever handle ex. DEKSON type LHSR 039 SSS Oval </t>
  </si>
  <si>
    <t xml:space="preserve">    * Cylinder dead lock EX. DEKSON </t>
  </si>
  <si>
    <t xml:space="preserve">    * Butt Hinge EX. DEKSON </t>
  </si>
  <si>
    <t>Type BV-1 (1550x500 mm) untuk R. cat &amp; mixing</t>
  </si>
  <si>
    <t>- Open &amp; fixed window</t>
  </si>
  <si>
    <t xml:space="preserve">    * Casement &amp; rambuncis</t>
  </si>
  <si>
    <t>Type BV-2 (3050x500 mm) untuk R. gudang bongkar pasang</t>
  </si>
  <si>
    <t xml:space="preserve">Type SDW-1 (2850x2100 mm) untuk R. gd. Part, r. gd. Bongkar pasang, r. gd part lepasan </t>
  </si>
  <si>
    <t xml:space="preserve">- Hollow 40 x 40, t= medium + plat strip 1x2 mm, fin. Cat duco </t>
  </si>
  <si>
    <t>- Double swing door / fixed window</t>
  </si>
  <si>
    <t xml:space="preserve">- Steel plate t=2 mm w/ swadaya mesh 5x5 dia 3,2 mm </t>
  </si>
  <si>
    <t xml:space="preserve">- Swadaya mesh 5x5 dia 3,2 mm </t>
  </si>
  <si>
    <t xml:space="preserve">    * Handle besi polos dia. 16 mm, h = 25 cm EX. LOKAL</t>
  </si>
  <si>
    <t xml:space="preserve">    * Kunci kombinasi besi polos dia 14 mm &amp; plat 4 mm </t>
  </si>
  <si>
    <t xml:space="preserve">    * Butt hinge engsel bubut uk. 3/4 EX. LOKAL</t>
  </si>
  <si>
    <t>Type TP-1 (6000x3000 mm) untuk stall dempul &amp; masking</t>
  </si>
  <si>
    <t>- Rel pipa stainless steel uk. 1" + penggantung &amp; accessories</t>
  </si>
  <si>
    <t>- Tirai plastik bening T=2 mm</t>
  </si>
  <si>
    <t>Type TP-2 (4000x3000 mm) untuk stall dempul &amp; masking</t>
  </si>
  <si>
    <t>Type LV-1 (4325x750 mm) untuk workshop area</t>
  </si>
  <si>
    <t xml:space="preserve">- Fixed louvre </t>
  </si>
  <si>
    <t>- Clear glass t= 6 mm, EX. ASAHIMAS + Aluminium louvre 1 mm</t>
  </si>
  <si>
    <t>Type LV-2 (4750x750 mm) untuk workshop area</t>
  </si>
  <si>
    <t>Type LV-3 (5750x750 mm) untuk workshop area</t>
  </si>
  <si>
    <t>Type LV-4 (6025x750 mm) untuk workshop area</t>
  </si>
  <si>
    <t>Type LV-5 (6875x750 mm) untuk workshop area</t>
  </si>
  <si>
    <t>Type LV-6 (7875x750 mm) untuk workshop area</t>
  </si>
  <si>
    <t>Total Pekerjaan Kosen, Pintu &amp; Jendela …</t>
  </si>
  <si>
    <t>PEKERJAAN PLAFOND</t>
  </si>
  <si>
    <t xml:space="preserve">Gypsum t=9 mm ex Jayaboard + Rangka Hollow 4x4 cm tebal 0.4 mm &amp; penggantung (termasuk </t>
  </si>
  <si>
    <t>pelubangan untuk lampu ), untuk :</t>
  </si>
  <si>
    <t>- Lantai basement : cat &amp; mixing, Gd. Bongkar pasang, Gd. Part lepasan</t>
  </si>
  <si>
    <t>Gypsum Waterproof t=9 mm ex Jayaboard ( Water Resist ) + Rangka Hollow 4x4 cm tebal 0.4 mm &amp; penggantung</t>
  </si>
  <si>
    <t>termasuk pelubangan utk lampu, untuk :</t>
  </si>
  <si>
    <t>- Lantai basement : urinoir BR</t>
  </si>
  <si>
    <t>List alumunium U uk. 9 mm untuk plafond gypsum</t>
  </si>
  <si>
    <t>- Lantai basement</t>
  </si>
  <si>
    <t>Total Pekerjaan Plafond …</t>
  </si>
  <si>
    <t>PEKERJAAN PENGECATAN</t>
  </si>
  <si>
    <t>Pengecatan Dinding Batu Bata bagian luar dengan Emultion paint col. Putih 888 44855 (Weathershield) EX. DULUX CATYLAX EXTERIOR</t>
  </si>
  <si>
    <t>Pengecatan Dinding Batu Bata bagian dalam dengan Vinyl acrylic emultion paint col. Brilliant white EX. DULUX</t>
  </si>
  <si>
    <t>Pengecatan Plafond Gypsum dengan Vinyl acrylic emultion paint col. Brilliant white EX. DULUX</t>
  </si>
  <si>
    <t xml:space="preserve">Pengecatan dinding dengan oil paint ftalit type 731, H = 2,1 m EX. KANSAI </t>
  </si>
  <si>
    <t>- Lantai basement  : R. cat &amp; mixing</t>
  </si>
  <si>
    <t>Re-finsih, pengecatan Plafond dengan Vinyl acrylic emultion paint col. Brilliant white EX. DULUX</t>
  </si>
  <si>
    <t>- Lantai basement : PDI office</t>
  </si>
  <si>
    <t>Re-finish, pengecatan Dinding bata dalam dengan Vinyl acrylic emultion paint col. Brilliant white EX. DULUX</t>
  </si>
  <si>
    <t>- Lantai basement : R. PDI office + PDI tools</t>
  </si>
  <si>
    <t>Total Pekerjaan Pengecatan …</t>
  </si>
  <si>
    <t>PEKERJAAN SANITAIR</t>
  </si>
  <si>
    <t>URINOIR BODY REPAIR</t>
  </si>
  <si>
    <t>Floor drain type TX1EB EEX. TOTO</t>
  </si>
  <si>
    <t xml:space="preserve">Penyekat dinding h = 1200 mm fin. Ceramic tile uk. 20x40 cm, type W40106 Serenity white EX. ROMAN (W5)  </t>
  </si>
  <si>
    <t>Cermin uk. 600 x 1200 mm T= 5 mm</t>
  </si>
  <si>
    <t xml:space="preserve">  Wastafel type LW811CJ + TX109 LD EX. TOTO</t>
  </si>
  <si>
    <t xml:space="preserve">  Urinoir type UW447JNM EX. TOTO</t>
  </si>
  <si>
    <t xml:space="preserve">  Penyekat Urinoir type AW115J EX. TOTO</t>
  </si>
  <si>
    <t>Total Pekerjaan Sanitair …</t>
  </si>
  <si>
    <t>Proteksi sudut kolom dgn Siku 60x60x6 finish oil paint termasuk besi angkur dia. 12 mm Dilas ke tulangan kolom</t>
  </si>
  <si>
    <t>Gutter = 50 mm  EX. Webforge</t>
  </si>
  <si>
    <t xml:space="preserve"> - Lantai basement : body repair </t>
  </si>
  <si>
    <t>Gutter + tutup steel grating lebar : 25 cm EX. Webforge</t>
  </si>
  <si>
    <t xml:space="preserve"> - Lantai basement : Washing stall</t>
  </si>
  <si>
    <t>Gutter , l = 100 mm, h = 20 mm EX. Webforge</t>
  </si>
  <si>
    <t>Gutter + tutup steel grating EX. Webforge</t>
  </si>
  <si>
    <t xml:space="preserve"> - Lantai basement : Stall dempul epoxy</t>
  </si>
  <si>
    <t>Total Pekerjaan lain-lain …</t>
  </si>
  <si>
    <t>PEKERJAAN BANGUNAN GENERAL REPAIR</t>
  </si>
  <si>
    <t>PEKERJAAN PENEBALAN PLAT (AREA COMBIBOOTH)</t>
  </si>
  <si>
    <t xml:space="preserve">Pekerjaan cutting nat + sealant </t>
  </si>
  <si>
    <r>
      <rPr>
        <sz val="11"/>
        <rFont val="Arial"/>
        <charset val="134"/>
      </rPr>
      <t>m</t>
    </r>
    <r>
      <rPr>
        <vertAlign val="superscript"/>
        <sz val="11"/>
        <rFont val="Arial"/>
        <charset val="134"/>
      </rPr>
      <t>'</t>
    </r>
  </si>
  <si>
    <t>Pekerjaan sirtu tebal 12 cm , termasuk pemadatan</t>
  </si>
  <si>
    <t xml:space="preserve">Pekerjaan plastic cor di bawah plat lantai </t>
  </si>
  <si>
    <t>Pekerjaan beton bertulang plat lantai tebal 15 cm (K - 300/Fc 25Mpa)</t>
  </si>
  <si>
    <t>Pekerjaan bekisting multipleks 12 mm + stoot werk untuk Plat Lantai lantai</t>
  </si>
  <si>
    <t xml:space="preserve">Pekerjaan pembesian / tulangan wiremesh M8- 150 mm </t>
  </si>
  <si>
    <t>PEKERJAAN PENEBALAN PLAT (AREA STALL DEMPUL )</t>
  </si>
  <si>
    <t>Total Pekerjaan penebalan plat lantai   …</t>
  </si>
  <si>
    <t>- Lantai basement : Lantai &amp; dinding urinoir GR</t>
  </si>
  <si>
    <t>Lantai basement : r. karu, r. g. part</t>
  </si>
  <si>
    <t xml:space="preserve">Ceramic tile uk. 40x40 cm, type G447106 Vivaz bianco (POLISHED) EX. ROMAN (F2) </t>
  </si>
  <si>
    <t xml:space="preserve">- Lantai basement : Area R. g. part, R. g. part exclaim, r. karu, r. security </t>
  </si>
  <si>
    <r>
      <rPr>
        <sz val="11"/>
        <rFont val="Arial"/>
        <charset val="134"/>
      </rPr>
      <t xml:space="preserve">- Lantai basement : Area stall loading / unloading, </t>
    </r>
    <r>
      <rPr>
        <strike/>
        <sz val="11"/>
        <color rgb="FFFF0000"/>
        <rFont val="Arial"/>
        <charset val="134"/>
      </rPr>
      <t>general repair</t>
    </r>
    <r>
      <rPr>
        <b/>
        <sz val="11"/>
        <color theme="1"/>
        <rFont val="Arial"/>
        <charset val="134"/>
      </rPr>
      <t>, stall dempul</t>
    </r>
  </si>
  <si>
    <t>- Lantai basement : Area stall loading / unloading</t>
  </si>
  <si>
    <t>- Lantai basement : urinoir GR / toilet mekanik</t>
  </si>
  <si>
    <t xml:space="preserve">Plint, Ceramic tile uk. 10x40 cm, type G332106 Vivaz bianco EX. ROMAN (S2) </t>
  </si>
  <si>
    <t>- Lantai basement : Area urinal GR / toilet mekanik</t>
  </si>
  <si>
    <t xml:space="preserve">- Lantai basement : r. gd. Part, r. karu, r. security </t>
  </si>
  <si>
    <t>- Lantai basement : urinoir GR</t>
  </si>
  <si>
    <t>- Lantai basement : r. gd. Part, r. karu, r. security, urinal</t>
  </si>
  <si>
    <t xml:space="preserve">Exposed ceiling w/ touch up </t>
  </si>
  <si>
    <t>- Lantai basement : R. part ex. Claim</t>
  </si>
  <si>
    <t>- Lantai basement : R. karu, r. g. part</t>
  </si>
  <si>
    <t>- Lantai basement : r. gd. Part, urinal, r. karu, r. security</t>
  </si>
  <si>
    <t xml:space="preserve">Refinish, Pengecatan dinding dengan oil paint ftalit type 731, H = 2,1 m EX. KANSAI </t>
  </si>
  <si>
    <t xml:space="preserve">- Lantai basement : R. part exclaim, r. karu </t>
  </si>
  <si>
    <t xml:space="preserve">- Lantai basement  : ruang g. part, r. part exclaim, urinal, r. karu, r. security </t>
  </si>
  <si>
    <t>URINOIR GENERAL REPAIR</t>
  </si>
  <si>
    <t>PEKERJAAN HYDRANT PORTABLE</t>
  </si>
  <si>
    <t>Pekerjaan lantai, exposed concrete (F6)</t>
  </si>
  <si>
    <t>Pekerjaan Gypsum t=9 mm ex Jayaboard + Rangka Hollow 4x4 cm tebal 0.4 mm &amp; penggantung (termasuk  pelubangan untuk lampu )</t>
  </si>
  <si>
    <t xml:space="preserve">Pengecatan dinding dengan oil paint ftalit type 731, H = 1 m EX. KANSAI </t>
  </si>
  <si>
    <t>Pengecatan Plafond dengan Vinyl acrylic emultion paint col. Brilliant white EX. DULUX</t>
  </si>
  <si>
    <t>Pekerjaan pintu BRC :</t>
  </si>
  <si>
    <t>A.</t>
  </si>
  <si>
    <t>Type BRC-1 (uk. 2150 mm x 1800 mm ) Area r. hydrant portable</t>
  </si>
  <si>
    <r>
      <rPr>
        <sz val="11"/>
        <rFont val="Tahoma"/>
        <charset val="134"/>
      </rPr>
      <t xml:space="preserve">- Pagar Hot Dip Galvanized </t>
    </r>
    <r>
      <rPr>
        <b/>
        <sz val="11"/>
        <rFont val="Tahoma"/>
        <charset val="134"/>
      </rPr>
      <t>t. 7mm</t>
    </r>
    <r>
      <rPr>
        <sz val="11"/>
        <rFont val="Tahoma"/>
        <charset val="134"/>
      </rPr>
      <t xml:space="preserve"> ex.BRC  H = </t>
    </r>
    <r>
      <rPr>
        <b/>
        <sz val="11"/>
        <rFont val="Tahoma"/>
        <charset val="134"/>
      </rPr>
      <t>180 cm</t>
    </r>
    <r>
      <rPr>
        <sz val="11"/>
        <rFont val="Tahoma"/>
        <charset val="134"/>
      </rPr>
      <t xml:space="preserve"> + Pipa Galvanized, lengkap dgn pond. batu kali</t>
    </r>
  </si>
  <si>
    <t>B.</t>
  </si>
  <si>
    <t>Type BRC-2 (uk. 1653 mm x 1800 mm ) Area r. hydrant portable</t>
  </si>
  <si>
    <t>GALIAN &amp; URUGAN</t>
  </si>
  <si>
    <t xml:space="preserve">Pondasi tapak </t>
  </si>
  <si>
    <t>Plat lantai dasar  , termasuk area ramp</t>
  </si>
  <si>
    <t>Pekerjaan pemadatan tanah di bawah area plat lantai dasar  &amp; ramp dipadatkan, min CBR 6 %</t>
  </si>
  <si>
    <t xml:space="preserve">Pekerjaan urugan sirdam CBR &gt; 50 %, tebal 30 cm di bawah area plat lantai  dasar  &amp; ramp </t>
  </si>
  <si>
    <t xml:space="preserve">Pekerjaan plastik cor di bawah area plat lantai dasar  &amp; ramp </t>
  </si>
  <si>
    <t>LANTAI KERJA</t>
  </si>
  <si>
    <t>C.</t>
  </si>
  <si>
    <t>- Type F1 (  80x80x25 cm )</t>
  </si>
  <si>
    <t>- Type F1A (  80x80x25 cm )</t>
  </si>
  <si>
    <t>- Type F1B (  80x80x25 cm )</t>
  </si>
  <si>
    <t xml:space="preserve">- TG23 ( 20x30 cm ) </t>
  </si>
  <si>
    <t>- K22 ( 25x25 cm )</t>
  </si>
  <si>
    <t xml:space="preserve">Lantai dasar </t>
  </si>
  <si>
    <t>- Plat beton lantai, t = 15 cm ( S15 )</t>
  </si>
  <si>
    <t>- B ( 30x30 cm )</t>
  </si>
  <si>
    <t>D.</t>
  </si>
  <si>
    <t xml:space="preserve">Bekisting pasangan bataco pondasi tapak </t>
  </si>
  <si>
    <t>Bekisting multipleks 12 mm + stoot werk + penutup samping untuk Plat Lantai dasar  &amp; ramp</t>
  </si>
  <si>
    <t xml:space="preserve">- Plat dasar </t>
  </si>
  <si>
    <t>E.</t>
  </si>
  <si>
    <t>- Type F1  (dia. 13, 16 mm)</t>
  </si>
  <si>
    <t>-  Type F1A (dia. 13, 16 mm)</t>
  </si>
  <si>
    <t>- Type F1B (dia. 13, 16 mm)</t>
  </si>
  <si>
    <t>- TG23 (dia. 13, 10 mm)</t>
  </si>
  <si>
    <t>- K  (dia. 13,10  mm)</t>
  </si>
  <si>
    <t>Plat beton lantai, S15 (wiremesh M8 -150) , termasuk tulangan ekstra 2-D16 L=1200 mm / 2 layer</t>
  </si>
  <si>
    <t>F.</t>
  </si>
  <si>
    <t>- 2C-100.50.20.3,2</t>
  </si>
  <si>
    <t>- CNP 150x50x20x2,3</t>
  </si>
  <si>
    <t>G.</t>
  </si>
  <si>
    <t>Downspot pipa PVC 4" termasuk mulut talang</t>
  </si>
  <si>
    <t xml:space="preserve">BY MEP </t>
  </si>
  <si>
    <t>Penutup lisplank, Zincalume Type TEC-750 ,  t=0.35 mm EX. TAKUMI, termasuk rangka / perkuatan (W6)</t>
  </si>
  <si>
    <t>PEKERJAAN BANGUNAN OFFICE &amp; SHOWROOM</t>
  </si>
  <si>
    <t>Lantai 2 : r. salesman</t>
  </si>
  <si>
    <t>PEKERJAAN DINDING PARTISI GYPSUM</t>
  </si>
  <si>
    <r>
      <rPr>
        <sz val="11"/>
        <rFont val="Arial"/>
        <charset val="134"/>
      </rPr>
      <t xml:space="preserve">Partisi Gypsum, t= 12 mm ex. Jayaboard berikut Rangka Hollow 40x40, t=0.4 mm </t>
    </r>
    <r>
      <rPr>
        <sz val="11"/>
        <color rgb="FFFF0000"/>
        <rFont val="Arial"/>
        <charset val="134"/>
      </rPr>
      <t xml:space="preserve"> </t>
    </r>
  </si>
  <si>
    <t>- Lantai 1 : r. admin</t>
  </si>
  <si>
    <t>- Lantai 2 : r. salesman</t>
  </si>
  <si>
    <t>Total Pekerjaan Dinding Partisi Gypsum …</t>
  </si>
  <si>
    <t>Type AD-1 (1000x2800 mm) untuk R. salesman</t>
  </si>
  <si>
    <t>- Single swing door</t>
  </si>
  <si>
    <t>- Clear glass t= 6 mm, EX. ASAHIMAS + Sticker sandblast</t>
  </si>
  <si>
    <t xml:space="preserve">- Accesorries : </t>
  </si>
  <si>
    <t xml:space="preserve">    * Lever Handle EX. DEKKSON type LHSR 039 SSS OVAL</t>
  </si>
  <si>
    <t xml:space="preserve">    * Cylinder dead lock  EX. DEKKSON</t>
  </si>
  <si>
    <t xml:space="preserve">    * Butt hinge  EX. DEKKSON</t>
  </si>
  <si>
    <t>Type AW-1 (3200x1877 mm) untuk R. salesman</t>
  </si>
  <si>
    <t>- Fixed window</t>
  </si>
  <si>
    <t xml:space="preserve">- Clear glass t= 6 mm, EX. ASAHIMAS </t>
  </si>
  <si>
    <t>Total Pekerjaan Kosen, pintu &amp; jendela …</t>
  </si>
  <si>
    <t>- Lantai 1</t>
  </si>
  <si>
    <t>- Lantai 2</t>
  </si>
  <si>
    <t>Re-finish, Pengecatan Dinding Batu Bata bagian luar dengan Emultion paint col. Putih 888 44855 (Weathershield) EX. DULUX CATYLAX EXTERIOR</t>
  </si>
  <si>
    <t>- Lantai 1  : Pantry &amp; r. admin</t>
  </si>
  <si>
    <t xml:space="preserve">- Lantai 2  : Pantry &amp; r. salesman </t>
  </si>
  <si>
    <t>- Lantai 1 : R. admin</t>
  </si>
  <si>
    <t>- Lantai 1 : pantry</t>
  </si>
  <si>
    <t>- Lantai 2 : pantry</t>
  </si>
  <si>
    <t>Pengecatan Dinding Partisi Gypsum dengan Vinyl acrylic emultion paint col. Brilliant white EX. DULUX</t>
  </si>
  <si>
    <t xml:space="preserve">- Lantai 1 : r. admin </t>
  </si>
  <si>
    <t>PANTRY LT. 1</t>
  </si>
  <si>
    <t xml:space="preserve">Kitchen sink 1 lubang type CLARA SB-35 termasuk P-Trap EX. ROYAL </t>
  </si>
  <si>
    <t>Kran kitchen sink type T30 AR13V7N EX. TOTO</t>
  </si>
  <si>
    <t>Meja w/ Top kitchen table fin. ceramic tile uk. 300 x 300 mm type vivaz bianco EX. ROMAN uk. 1350 x 600 mm</t>
  </si>
  <si>
    <t xml:space="preserve">Lemari atas w/ plywood 18 mm fin. Laminate HPL Type TH 850 J Cocoa afromosia EX. TACO uk. 1350 x 1350 x 400 mm </t>
  </si>
  <si>
    <t xml:space="preserve">Lemari bawah w/ plywood 18 mm fin. Laminate HPL Type TH 850 J Cocoa afromosia EX. TACO uk. 1350 x 850 x 600 mm </t>
  </si>
  <si>
    <t xml:space="preserve">  Backsplash ceramic uk. 30 x 30 vivaz bianco EX. ROMAN, H = 600 mm</t>
  </si>
  <si>
    <t>PANTRY LT. 2</t>
  </si>
  <si>
    <t>Kitchen sink 1 lubang type CLARA SB-35 termasuk P-Trap EX. ROYAL</t>
  </si>
  <si>
    <t>Meja w/ Top kitchen table fin. ceramic tile uk. 300 x 300 mm type vivaz bianco EX. ROMAN uk. 2900 x 600 mm</t>
  </si>
  <si>
    <t xml:space="preserve">Lemari atas w/ plywood 18 mm fin. Laminate HPL Type TH 850 J Cocoa afromosia EX. TACO uk. 2900 x 1350 x 400 mm </t>
  </si>
  <si>
    <t xml:space="preserve">Lemari bawah w/ plywood 18 mm fin. Laminate HPL Type TH 850 J Cocoa afromosia EX. TACO uk. 2900 x 850 x 600 mm </t>
  </si>
  <si>
    <t>PEKERJAAN KONDISI EXISTING</t>
  </si>
  <si>
    <t xml:space="preserve">PEKERJAAN PEMBONGKARAN &amp; PERBAIKAN </t>
  </si>
  <si>
    <t>Pekerjaan biaya pembongkaran &amp; perbaikan, antara lain :</t>
  </si>
  <si>
    <t xml:space="preserve">Paving area Pintu masuk Stall bengkel 
amblas menyebabkan keramik rusak (titik 1 &amp; 2)
</t>
  </si>
  <si>
    <t>Paving area Stall DEC amblas karena  
tergerus air hujan (titik 2)</t>
  </si>
  <si>
    <t>Paving Area Depan Showroom Amblas  
tergerus air hujan (titik 3)</t>
  </si>
  <si>
    <t xml:space="preserve">Tangga Keramik showroom, isi tanah 
dalam keramik turun sehingga keramik 
mudah lepas dan patah
</t>
  </si>
  <si>
    <t xml:space="preserve">Lampu taman yang sudah rusak, 
pergantian wadah dan lampu serta 
Instalasi 15 Titik
</t>
  </si>
  <si>
    <t>Atap koridor Mekanik Bocor</t>
  </si>
  <si>
    <t>Plafond Ruang Mekanik GR Bocor dan 
berlubang</t>
  </si>
  <si>
    <t>Rembesan air hujan dari beton pada 
Basement</t>
  </si>
  <si>
    <r>
      <rPr>
        <sz val="11"/>
        <rFont val="Arial"/>
        <charset val="134"/>
      </rPr>
      <t xml:space="preserve">Pergantian Minor Keramik Stall uk. 20 x 20 cm yang rusak </t>
    </r>
    <r>
      <rPr>
        <b/>
        <sz val="11"/>
        <color rgb="FFFF0000"/>
        <rFont val="Arial"/>
        <charset val="134"/>
      </rPr>
      <t xml:space="preserve">(material by existing)
</t>
    </r>
  </si>
  <si>
    <t>Total Pekerjaan kondisi existing …</t>
  </si>
  <si>
    <t>BILL OF ITEM</t>
  </si>
  <si>
    <t>PROJECT STANDARISASI SHOWROOM DAIHATSU - CAB. BATAM</t>
  </si>
  <si>
    <t>PT. ASTRA INTERNATIONAL Tbk .- DAIHATSU SALES OPERATION</t>
  </si>
  <si>
    <t>PEKERJAAN MEKANIKAL, ELEKTRIKAL &amp; PLUMBING</t>
  </si>
  <si>
    <t xml:space="preserve">NO </t>
  </si>
  <si>
    <t>PEKERJAAN M &amp; E</t>
  </si>
  <si>
    <t xml:space="preserve">TOTAL HARGA </t>
  </si>
  <si>
    <t>Pekerjaan Infrastuktur</t>
  </si>
  <si>
    <t>Pekerjaan Mekanikal</t>
  </si>
  <si>
    <t>Pekerjaan Elektrikal</t>
  </si>
  <si>
    <t>Pekerjaan Bangunan Body Repair</t>
  </si>
  <si>
    <t>Pekerjaan Elektronik</t>
  </si>
  <si>
    <t>Pekerjaan Bangunan General Repair</t>
  </si>
  <si>
    <t>Pekerjaan Bangunan Office dan Showroom</t>
  </si>
  <si>
    <t>JUMLAH TOTAL PEKERJAAN M &amp; E</t>
  </si>
  <si>
    <t xml:space="preserve">URAIAN PEKERJAAN </t>
  </si>
  <si>
    <t xml:space="preserve">VOL </t>
  </si>
  <si>
    <t xml:space="preserve">Harga </t>
  </si>
  <si>
    <t xml:space="preserve">Total </t>
  </si>
  <si>
    <t xml:space="preserve">Satuan </t>
  </si>
  <si>
    <t>Harga</t>
  </si>
  <si>
    <t xml:space="preserve">PEKERJAAN PLUMBING </t>
  </si>
  <si>
    <t>Pengadaan dan pemasangan Peralatan utama instalasi pekerjaan</t>
  </si>
  <si>
    <t>plumbing lengkap dgn material &amp; peralatan bantu sesuai dengan</t>
  </si>
  <si>
    <t>gambar dan spesifikasi teknis</t>
  </si>
  <si>
    <t>Peralatan Utama</t>
  </si>
  <si>
    <t>IPAL</t>
  </si>
  <si>
    <t>a.1</t>
  </si>
  <si>
    <t>Tangki IPAL ( p x l x t ) : 240 x 120 x 180  =   ( 1 ls )</t>
  </si>
  <si>
    <t>Bahan : FRP + Support</t>
  </si>
  <si>
    <t>Include : Media Bakteri Honey Comb</t>
  </si>
  <si>
    <t>a.2</t>
  </si>
  <si>
    <t>Air Blower   =   ( 2 pcs )</t>
  </si>
  <si>
    <t>Type : Linier</t>
  </si>
  <si>
    <t>Brand : Resun or equal</t>
  </si>
  <si>
    <t>Power : 100 watt / 220 V</t>
  </si>
  <si>
    <t>a.3</t>
  </si>
  <si>
    <t>Pompa Intake   =   ( 1 pcs )</t>
  </si>
  <si>
    <t>Type : Centrifugal / Celup</t>
  </si>
  <si>
    <t>Brand : San ei equal</t>
  </si>
  <si>
    <t>Power : 100-180 watt / 220 V</t>
  </si>
  <si>
    <t>a.4</t>
  </si>
  <si>
    <t>Pompa Transfer   =   ( 1 pcs )</t>
  </si>
  <si>
    <t>a.5</t>
  </si>
  <si>
    <t>Meteran Air   =   ( 1 pcs )</t>
  </si>
  <si>
    <t>Type : Analog - Rotary</t>
  </si>
  <si>
    <t>Brand : Amico</t>
  </si>
  <si>
    <t>Size : 1 Inci</t>
  </si>
  <si>
    <t>a.6</t>
  </si>
  <si>
    <t>Panel Control   =   ( 1 unit )</t>
  </si>
  <si>
    <t>Tipe : Outdoor</t>
  </si>
  <si>
    <t>Aksesories : Auto Manual Push on off, Timer, mcb, contactor,over load , pilot lamb</t>
  </si>
  <si>
    <t>a.7</t>
  </si>
  <si>
    <t>Jaringan Pemipaan =   ( 1 lot )</t>
  </si>
  <si>
    <t>Jenis Pipa : AW Tebal</t>
  </si>
  <si>
    <t>a.8</t>
  </si>
  <si>
    <t>Jaringan Kabel Instalasi  =   ( 1 lot )</t>
  </si>
  <si>
    <t>Jenis Kabel : NYYHY 4 x 1,5</t>
  </si>
  <si>
    <t xml:space="preserve">                     NYM 2 x 1,5</t>
  </si>
  <si>
    <t>a.9</t>
  </si>
  <si>
    <t>Bak Penampung Output IPAL Type : Tom air 500 liter  =   ( 1 pcs )</t>
  </si>
  <si>
    <t>a.10</t>
  </si>
  <si>
    <t>Tabung Filter + Media : Media Carbon + Silica   =   ( 1 unit )</t>
  </si>
  <si>
    <t>a.11</t>
  </si>
  <si>
    <t>Test Coommissioning    =   ( 1 lot )</t>
  </si>
  <si>
    <t>Oil Trap</t>
  </si>
  <si>
    <t>Existing</t>
  </si>
  <si>
    <t>By civil</t>
  </si>
  <si>
    <t>Sedimen Trap</t>
  </si>
  <si>
    <t>PEKERJAAN PEMADAM KEBAKARAN</t>
  </si>
  <si>
    <t>Instalasi Pemadam Kebakaran</t>
  </si>
  <si>
    <t>-</t>
  </si>
  <si>
    <t>Hose Box / Box Hydrant Luar</t>
  </si>
  <si>
    <t xml:space="preserve">Tipe C OHB Box complete  </t>
  </si>
  <si>
    <t>1 Nozzle 2,5" Machino Coupling</t>
  </si>
  <si>
    <t xml:space="preserve">1 Fire Hose TPU 2,5" x 30 mtr include Machino Coupling </t>
  </si>
  <si>
    <t>Total Pekerjaan Mekanikal</t>
  </si>
  <si>
    <t>Pek. pemipaan air bersih</t>
  </si>
  <si>
    <t>Type : Class 10k</t>
  </si>
  <si>
    <t>Spesifikasi : Rucika</t>
  </si>
  <si>
    <t>Lantai Basement</t>
  </si>
  <si>
    <t>Pemipaan area Toilet :</t>
  </si>
  <si>
    <t>dia.25</t>
  </si>
  <si>
    <t>ml</t>
  </si>
  <si>
    <t>dia.20</t>
  </si>
  <si>
    <t>dia.15</t>
  </si>
  <si>
    <t>Pemipaan area Stall :</t>
  </si>
  <si>
    <r>
      <rPr>
        <sz val="10"/>
        <color theme="1"/>
        <rFont val="Symbol"/>
        <charset val="2"/>
      </rPr>
      <t>Æ</t>
    </r>
    <r>
      <rPr>
        <sz val="10"/>
        <color theme="1"/>
        <rFont val="Arial"/>
        <charset val="134"/>
      </rPr>
      <t xml:space="preserve"> 20</t>
    </r>
  </si>
  <si>
    <r>
      <rPr>
        <sz val="10"/>
        <color theme="1"/>
        <rFont val="Arial"/>
        <charset val="134"/>
      </rPr>
      <t xml:space="preserve">Hose nozzle stall </t>
    </r>
    <r>
      <rPr>
        <sz val="10"/>
        <color theme="1"/>
        <rFont val="Symbol"/>
        <charset val="2"/>
      </rPr>
      <t>Æ</t>
    </r>
    <r>
      <rPr>
        <sz val="10"/>
        <color theme="1"/>
        <rFont val="Arial"/>
        <charset val="134"/>
      </rPr>
      <t xml:space="preserve"> 20</t>
    </r>
  </si>
  <si>
    <r>
      <rPr>
        <sz val="10"/>
        <color theme="1"/>
        <rFont val="Arial"/>
        <charset val="134"/>
      </rPr>
      <t xml:space="preserve">Gate Valve </t>
    </r>
    <r>
      <rPr>
        <sz val="10"/>
        <color theme="1"/>
        <rFont val="Symbol"/>
        <charset val="2"/>
      </rPr>
      <t>Æ</t>
    </r>
    <r>
      <rPr>
        <sz val="10"/>
        <color theme="1"/>
        <rFont val="Arial"/>
        <charset val="134"/>
      </rPr>
      <t xml:space="preserve"> 25</t>
    </r>
  </si>
  <si>
    <t>peralatan bantu, fitting &amp; accesoris lainnya</t>
  </si>
  <si>
    <t>lot</t>
  </si>
  <si>
    <t>Pek. pemipaan Air kotor, bekas, vent &amp; pipa oli</t>
  </si>
  <si>
    <t>Type : Class AW</t>
  </si>
  <si>
    <t>Pek. pemipaan Air kotor &amp; bekas</t>
  </si>
  <si>
    <r>
      <rPr>
        <sz val="10"/>
        <color theme="1"/>
        <rFont val="Symbol"/>
        <charset val="2"/>
      </rPr>
      <t>Æ</t>
    </r>
    <r>
      <rPr>
        <sz val="10"/>
        <color theme="1"/>
        <rFont val="Arial"/>
        <charset val="134"/>
      </rPr>
      <t xml:space="preserve"> 80</t>
    </r>
    <r>
      <rPr>
        <sz val="10"/>
        <color theme="1"/>
        <rFont val="Symbol"/>
        <charset val="2"/>
      </rPr>
      <t xml:space="preserve"> </t>
    </r>
    <r>
      <rPr>
        <sz val="10"/>
        <color theme="1"/>
        <rFont val="Arial"/>
        <charset val="134"/>
      </rPr>
      <t>pipa area toilet hingga ke Saluran dan Biotech Existing</t>
    </r>
  </si>
  <si>
    <r>
      <rPr>
        <sz val="10"/>
        <color theme="1"/>
        <rFont val="Symbol"/>
        <charset val="2"/>
      </rPr>
      <t>Æ</t>
    </r>
    <r>
      <rPr>
        <sz val="10"/>
        <color theme="1"/>
        <rFont val="Arial"/>
        <charset val="134"/>
      </rPr>
      <t xml:space="preserve"> 50</t>
    </r>
    <r>
      <rPr>
        <sz val="10"/>
        <color theme="1"/>
        <rFont val="Symbol"/>
        <charset val="2"/>
      </rPr>
      <t xml:space="preserve"> </t>
    </r>
    <r>
      <rPr>
        <sz val="10"/>
        <color theme="1"/>
        <rFont val="Arial"/>
        <charset val="134"/>
      </rPr>
      <t>pipa di area toilet</t>
    </r>
  </si>
  <si>
    <t>Pek. pemipaan Oli ke Oli trap</t>
  </si>
  <si>
    <t>Instalasi Pemipaan dari floor drain hingga ke saluran luar</t>
  </si>
  <si>
    <r>
      <rPr>
        <sz val="10"/>
        <color theme="1"/>
        <rFont val="Symbol"/>
        <charset val="2"/>
      </rPr>
      <t>Æ</t>
    </r>
    <r>
      <rPr>
        <sz val="10"/>
        <color theme="1"/>
        <rFont val="Arial"/>
        <charset val="134"/>
      </rPr>
      <t xml:space="preserve"> 100</t>
    </r>
    <r>
      <rPr>
        <sz val="10"/>
        <color theme="1"/>
        <rFont val="Symbol"/>
        <charset val="2"/>
      </rPr>
      <t xml:space="preserve"> </t>
    </r>
  </si>
  <si>
    <r>
      <rPr>
        <sz val="10"/>
        <color theme="1"/>
        <rFont val="Symbol"/>
        <charset val="2"/>
      </rPr>
      <t>Æ</t>
    </r>
    <r>
      <rPr>
        <sz val="10"/>
        <color theme="1"/>
        <rFont val="Arial"/>
        <charset val="134"/>
      </rPr>
      <t xml:space="preserve"> 50</t>
    </r>
  </si>
  <si>
    <t>Pek. pemipaan Vent</t>
  </si>
  <si>
    <t>Type : Class D</t>
  </si>
  <si>
    <r>
      <rPr>
        <sz val="10"/>
        <color theme="1"/>
        <rFont val="Symbol"/>
        <charset val="2"/>
      </rPr>
      <t>Æ</t>
    </r>
    <r>
      <rPr>
        <sz val="10"/>
        <color theme="1"/>
        <rFont val="Arial"/>
        <charset val="134"/>
      </rPr>
      <t xml:space="preserve"> 32</t>
    </r>
  </si>
  <si>
    <t>Vent cup,50</t>
  </si>
  <si>
    <t>Peralatan pipa lantai bawah &amp; atas</t>
  </si>
  <si>
    <t>Floor drain</t>
  </si>
  <si>
    <t>Spesifikasi : TOTO</t>
  </si>
  <si>
    <r>
      <rPr>
        <sz val="10"/>
        <color theme="1"/>
        <rFont val="Symbol"/>
        <charset val="2"/>
      </rPr>
      <t xml:space="preserve"> Æ</t>
    </r>
    <r>
      <rPr>
        <sz val="10"/>
        <color theme="1"/>
        <rFont val="Arial"/>
        <charset val="134"/>
      </rPr>
      <t xml:space="preserve"> 80</t>
    </r>
  </si>
  <si>
    <r>
      <rPr>
        <sz val="10"/>
        <color theme="1"/>
        <rFont val="Symbol"/>
        <charset val="2"/>
      </rPr>
      <t xml:space="preserve"> Æ</t>
    </r>
    <r>
      <rPr>
        <sz val="10"/>
        <color theme="1"/>
        <rFont val="Arial"/>
        <charset val="134"/>
      </rPr>
      <t xml:space="preserve"> 100</t>
    </r>
    <r>
      <rPr>
        <sz val="10"/>
        <color theme="1"/>
        <rFont val="Symbol"/>
        <charset val="2"/>
      </rPr>
      <t xml:space="preserve"> </t>
    </r>
    <r>
      <rPr>
        <sz val="10"/>
        <color theme="1"/>
        <rFont val="Arial"/>
        <charset val="134"/>
      </rPr>
      <t>Oil trap</t>
    </r>
  </si>
  <si>
    <t>Clean Out</t>
  </si>
  <si>
    <r>
      <rPr>
        <sz val="10"/>
        <color theme="1"/>
        <rFont val="Symbol"/>
        <charset val="2"/>
      </rPr>
      <t>Æ</t>
    </r>
    <r>
      <rPr>
        <sz val="10"/>
        <color theme="1"/>
        <rFont val="Arial"/>
        <charset val="134"/>
      </rPr>
      <t xml:space="preserve"> 80</t>
    </r>
  </si>
  <si>
    <t>Pipa tegak air hujan , difinish cat minyak warna putih</t>
  </si>
  <si>
    <r>
      <rPr>
        <sz val="10"/>
        <color theme="1"/>
        <rFont val="Symbol"/>
        <charset val="2"/>
      </rPr>
      <t>Æ</t>
    </r>
    <r>
      <rPr>
        <sz val="10"/>
        <color theme="1"/>
        <rFont val="Arial"/>
        <charset val="134"/>
      </rPr>
      <t xml:space="preserve"> 125</t>
    </r>
  </si>
  <si>
    <t>Pipa datar air hujan , difinish cat minyak warna putih</t>
  </si>
  <si>
    <t>Spesifikasi : Wavin</t>
  </si>
  <si>
    <r>
      <rPr>
        <sz val="10"/>
        <color theme="1"/>
        <rFont val="Symbol"/>
        <charset val="2"/>
      </rPr>
      <t xml:space="preserve">Æ </t>
    </r>
    <r>
      <rPr>
        <sz val="10"/>
        <color theme="1"/>
        <rFont val="Arial"/>
        <charset val="134"/>
      </rPr>
      <t xml:space="preserve"> 200</t>
    </r>
  </si>
  <si>
    <r>
      <rPr>
        <sz val="10"/>
        <color theme="1"/>
        <rFont val="Symbol"/>
        <charset val="2"/>
      </rPr>
      <t>Æ</t>
    </r>
    <r>
      <rPr>
        <sz val="10"/>
        <color theme="1"/>
        <rFont val="Arial"/>
        <charset val="134"/>
      </rPr>
      <t xml:space="preserve"> 150</t>
    </r>
  </si>
  <si>
    <t>Lantai Atap</t>
  </si>
  <si>
    <t>Roof drain</t>
  </si>
  <si>
    <t>Type : Cash iron</t>
  </si>
  <si>
    <t>Spesifikasi : Lokal</t>
  </si>
  <si>
    <t>PEKERJAAN KOMPRESOR</t>
  </si>
  <si>
    <t>Pemipaan</t>
  </si>
  <si>
    <t>Type : Medium Class</t>
  </si>
  <si>
    <t>Spesifikasi : Bakrie</t>
  </si>
  <si>
    <t>Connecting dengan Pipa Kompresor existing</t>
  </si>
  <si>
    <r>
      <rPr>
        <sz val="10"/>
        <color theme="1"/>
        <rFont val="Symbol"/>
        <charset val="2"/>
      </rPr>
      <t>Æ</t>
    </r>
    <r>
      <rPr>
        <sz val="10"/>
        <color theme="1"/>
        <rFont val="Arial"/>
        <charset val="134"/>
      </rPr>
      <t xml:space="preserve"> 32 mm</t>
    </r>
  </si>
  <si>
    <r>
      <rPr>
        <sz val="10"/>
        <color theme="1"/>
        <rFont val="Symbol"/>
        <charset val="2"/>
      </rPr>
      <t>Æ</t>
    </r>
    <r>
      <rPr>
        <sz val="10"/>
        <color theme="1"/>
        <rFont val="Arial"/>
        <charset val="134"/>
      </rPr>
      <t xml:space="preserve"> 20 mm</t>
    </r>
  </si>
  <si>
    <t>Energy Box</t>
  </si>
  <si>
    <t>By owner</t>
  </si>
  <si>
    <t>Pemasangan Energy Box ( Ditawarkan upah pasang saja )</t>
  </si>
  <si>
    <t>Ball Valve</t>
  </si>
  <si>
    <t>Spesifikasi : Toyo</t>
  </si>
  <si>
    <r>
      <rPr>
        <sz val="10"/>
        <color theme="1"/>
        <rFont val="Symbol"/>
        <charset val="2"/>
      </rPr>
      <t>Æ</t>
    </r>
    <r>
      <rPr>
        <sz val="10"/>
        <color theme="1"/>
        <rFont val="Arial"/>
        <charset val="134"/>
      </rPr>
      <t xml:space="preserve"> 20 mm auto drain</t>
    </r>
  </si>
  <si>
    <t>PEKERJAAN TATA UDARA ( AC ) DAN VENTILATING FAN</t>
  </si>
  <si>
    <t>Pengadaan Unit AC By Owner dan Kontraktor hanya upah pasang sampai berfungsi dengan baik</t>
  </si>
  <si>
    <t>IU-B.1/OU-B.1</t>
  </si>
  <si>
    <t>Type : Split Wall Non Inverter</t>
  </si>
  <si>
    <t xml:space="preserve">Kapasitas : 7.000 BTU/H </t>
  </si>
  <si>
    <t>Model  :  STC20NV</t>
  </si>
  <si>
    <t>Pemasangan intalasi pipa refrigerant, pipa drain, Pipa Exhaust  &amp; supportingnya</t>
  </si>
  <si>
    <t>Spesifikasi</t>
  </si>
  <si>
    <t>Pipa refrigerant : Cooper pipe Class-L Seamless</t>
  </si>
  <si>
    <t>Pipa drain : PVC pipe Class AW</t>
  </si>
  <si>
    <t>2.1</t>
  </si>
  <si>
    <t>Refrigerant</t>
  </si>
  <si>
    <t>Liguid</t>
  </si>
  <si>
    <t xml:space="preserve">6,4 mm </t>
  </si>
  <si>
    <t>m</t>
  </si>
  <si>
    <t>Gas</t>
  </si>
  <si>
    <t>9,5 mm</t>
  </si>
  <si>
    <t>2.2</t>
  </si>
  <si>
    <t>Drainase AC</t>
  </si>
  <si>
    <t>2.3</t>
  </si>
  <si>
    <t>Pipa Exhaust PVC AW</t>
  </si>
  <si>
    <r>
      <rPr>
        <sz val="10"/>
        <color theme="1"/>
        <rFont val="Symbol"/>
        <charset val="2"/>
      </rPr>
      <t>Æ</t>
    </r>
    <r>
      <rPr>
        <sz val="10"/>
        <color theme="1"/>
        <rFont val="Arial"/>
        <charset val="134"/>
      </rPr>
      <t xml:space="preserve"> 100</t>
    </r>
  </si>
  <si>
    <t>2.4</t>
  </si>
  <si>
    <t>Pekerjaan Ducting</t>
  </si>
  <si>
    <t>Lengkap terpasang dengan support ,hanger Ducting dengan tanpa isolasi</t>
  </si>
  <si>
    <t>EF-B.3</t>
  </si>
  <si>
    <t>BJLS 50</t>
  </si>
  <si>
    <t>2.5</t>
  </si>
  <si>
    <t>Pekerjaan Grille Exhaust</t>
  </si>
  <si>
    <t>Exhaust Air Grille</t>
  </si>
  <si>
    <t>350 x 350</t>
  </si>
  <si>
    <t>Plenum Box Grille</t>
  </si>
  <si>
    <t>350x350x150</t>
  </si>
  <si>
    <t>set</t>
  </si>
  <si>
    <t xml:space="preserve">Louver Grille </t>
  </si>
  <si>
    <t>300x300</t>
  </si>
  <si>
    <t>Pekerjaan Exhaust Fan lantai bawah &amp; atas</t>
  </si>
  <si>
    <t>CME-B.1</t>
  </si>
  <si>
    <t>Kapasitas : 150  CMH</t>
  </si>
  <si>
    <t>Type : Ceilling Mounted Exhaust</t>
  </si>
  <si>
    <t>EF-B.1</t>
  </si>
  <si>
    <t>Kapasitas : 465  CMH</t>
  </si>
  <si>
    <t>Type : Industrial</t>
  </si>
  <si>
    <t>EF-B.2</t>
  </si>
  <si>
    <t>Kapasitas : 470  CMH</t>
  </si>
  <si>
    <t>Kapasitas : 600  CMH</t>
  </si>
  <si>
    <t>Type : Compact Axial Flow Ventilation fan</t>
  </si>
  <si>
    <t>1.1</t>
  </si>
  <si>
    <t>Instalasi Pemipaan Pemadam Kebakaran</t>
  </si>
  <si>
    <t>Pemipaan BSP Sch.40 (Incl. Fitting &amp; All Accessories)</t>
  </si>
  <si>
    <t>Pemindahan IHB Existing ke lokasi baru</t>
  </si>
  <si>
    <t>Connecting dengan Pipa Hydrant Existing</t>
  </si>
  <si>
    <t>Pipa dia. 65 mm</t>
  </si>
  <si>
    <t>1.2</t>
  </si>
  <si>
    <t>Indoor Hydrant Box, termasuk :</t>
  </si>
  <si>
    <t>IHB type B tanpa kaca 125x75x18 cm</t>
  </si>
  <si>
    <t>Fire hose canvas 1.5 inch x 30 meter coupling machino</t>
  </si>
  <si>
    <t>Jet nozzle kuningan 1.5 inch</t>
  </si>
  <si>
    <t>Hose rack aluminium 1.5 inch</t>
  </si>
  <si>
    <t>Hydrant valve 1.5 inch</t>
  </si>
  <si>
    <t>1.3</t>
  </si>
  <si>
    <t>Pekerjaan Pengadaan Alat Pemadam Kebakaran Ringan (Apar)</t>
  </si>
  <si>
    <t>Type : Gas CO2 kap.6 Kg</t>
  </si>
  <si>
    <t>Type : Dry Chemical Powder  ( DCP ) kap.6 Kg</t>
  </si>
  <si>
    <t xml:space="preserve">Connecting dengan Pipa Kompresor existing </t>
  </si>
  <si>
    <r>
      <rPr>
        <sz val="10"/>
        <color theme="1"/>
        <rFont val="Arial"/>
        <charset val="134"/>
      </rPr>
      <t>Pipa</t>
    </r>
    <r>
      <rPr>
        <sz val="10"/>
        <color theme="1"/>
        <rFont val="Symbol"/>
        <charset val="2"/>
      </rPr>
      <t xml:space="preserve"> Æ</t>
    </r>
    <r>
      <rPr>
        <sz val="10"/>
        <color theme="1"/>
        <rFont val="Arial"/>
        <charset val="134"/>
      </rPr>
      <t xml:space="preserve"> 20 mm</t>
    </r>
  </si>
  <si>
    <t>IU-B.2/OU-B.2</t>
  </si>
  <si>
    <t>IU-B.3/OU-B.3</t>
  </si>
  <si>
    <r>
      <rPr>
        <sz val="10"/>
        <color theme="1"/>
        <rFont val="Symbol"/>
        <charset val="2"/>
      </rPr>
      <t>Æ</t>
    </r>
    <r>
      <rPr>
        <sz val="10"/>
        <color theme="1"/>
        <rFont val="Arial"/>
        <charset val="134"/>
      </rPr>
      <t xml:space="preserve"> 25</t>
    </r>
  </si>
  <si>
    <t>CME-B.2</t>
  </si>
  <si>
    <t>Kapasitas : 200  CMH</t>
  </si>
  <si>
    <t>Pemindahan Pompa Hydrant Existing dan Reinstalasi di lokasi baru</t>
  </si>
  <si>
    <t>Pipa dia. 80 mm disambung dengan pipa utama existing</t>
  </si>
  <si>
    <t>URAIAN</t>
  </si>
  <si>
    <t>sat</t>
  </si>
  <si>
    <t>Vol.</t>
  </si>
  <si>
    <t>Total</t>
  </si>
  <si>
    <t>Satuan</t>
  </si>
  <si>
    <t>PEKERJAAN KABEL TEGANGAN MENENGAH</t>
  </si>
  <si>
    <t>Penggantian Kabel Existing dengan yang baru menyesuaikan penambahan daya yang baru</t>
  </si>
  <si>
    <t>Dari KWH PLN ke P-PLN</t>
  </si>
  <si>
    <t>Type kabel : NYY 4 x 150 mm² + NYA 70 mm²</t>
  </si>
  <si>
    <t>Spesifikasi : Kabelindo, Kabel metal, Supreme &amp; Tranka</t>
  </si>
  <si>
    <t>Dari P-PLN ke MDB</t>
  </si>
  <si>
    <t>Penggantian Kabel Existing dari GENSET ke PUTR menjadi</t>
  </si>
  <si>
    <t>Pekerjaan pembongkaran kabel existing</t>
  </si>
  <si>
    <t>PEKERJAAN PANEL TEGANGAN RENDAH</t>
  </si>
  <si>
    <t>Pengadaan dan  pemasangan  panel-panel</t>
  </si>
  <si>
    <t>tegangan   rendah  lengkap  dengan  sistem  pentanahan,</t>
  </si>
  <si>
    <t xml:space="preserve">pondasi panel, dudukan panel, penutup kabel trench  dan </t>
  </si>
  <si>
    <t xml:space="preserve">accessories  atau  perlengkapan  lainnya  sesuai dengan </t>
  </si>
  <si>
    <t>spesifikasi teknis dan gambar rencana</t>
  </si>
  <si>
    <t xml:space="preserve">Panel Maker : </t>
  </si>
  <si>
    <t>Sesuai spek material</t>
  </si>
  <si>
    <t>- P.PLN</t>
  </si>
  <si>
    <t>PEKERJAAN PENYAMBUNGAN PLN (131 KVA)</t>
  </si>
  <si>
    <t>By Owner</t>
  </si>
  <si>
    <t>Upgrade dari 105 KVA ke 131 KVA</t>
  </si>
  <si>
    <t>Total Pekejaan Elektrikal</t>
  </si>
  <si>
    <t>Sat</t>
  </si>
  <si>
    <t xml:space="preserve">- Penggantian Breaker MCCB 3P 160-200A dengan MCCB 250 A di PUTR Existing </t>
  </si>
  <si>
    <t xml:space="preserve">- Penggantian COS MCCB 250 A </t>
  </si>
  <si>
    <t xml:space="preserve">- Penambahan MCCB 3P 100A di PUTR Existing </t>
  </si>
  <si>
    <t>- DB-BODY REPAIR c/w (Digital Meter)</t>
  </si>
  <si>
    <t>- P-CONTROL COMBI BOTH.1</t>
  </si>
  <si>
    <t>- P-CONTROL COMBI BOTH.2</t>
  </si>
  <si>
    <t>PEKERJAAN KABEL TEGANGAN RENDAH</t>
  </si>
  <si>
    <t>Pengadaan   dan  pemasangan  kabel  tegangan  rendah</t>
  </si>
  <si>
    <t>berbagai ukuran lengkap dengan conduit, clemps, braket,</t>
  </si>
  <si>
    <t xml:space="preserve">cable schoen dan perlengkapan  lainnya  sesuai  dengan </t>
  </si>
  <si>
    <t>spesifikasi teknis dan gambar rencana.</t>
  </si>
  <si>
    <t>Dari PUTR ke :</t>
  </si>
  <si>
    <t>DB-BODY REPAIR</t>
  </si>
  <si>
    <r>
      <rPr>
        <sz val="9"/>
        <rFont val="Arial"/>
        <charset val="134"/>
      </rPr>
      <t>Type kabel : NYY 4 x 50 mm</t>
    </r>
    <r>
      <rPr>
        <sz val="9"/>
        <rFont val="Times New Roman"/>
        <charset val="134"/>
      </rPr>
      <t>²</t>
    </r>
    <r>
      <rPr>
        <sz val="9"/>
        <rFont val="Arial"/>
        <charset val="134"/>
      </rPr>
      <t xml:space="preserve"> + NYA 25 mm</t>
    </r>
    <r>
      <rPr>
        <sz val="9"/>
        <rFont val="Times New Roman"/>
        <charset val="134"/>
      </rPr>
      <t>²</t>
    </r>
  </si>
  <si>
    <t>Dari DB-BODY REPAIR ke :</t>
  </si>
  <si>
    <t>P. CONTROL. COMBI BOTH 1 (13 Kw)</t>
  </si>
  <si>
    <r>
      <rPr>
        <sz val="9"/>
        <rFont val="Arial"/>
        <charset val="134"/>
      </rPr>
      <t>Type kabel : NYY 4 x 6 mm</t>
    </r>
    <r>
      <rPr>
        <sz val="9"/>
        <rFont val="Times New Roman"/>
        <charset val="134"/>
      </rPr>
      <t>²</t>
    </r>
    <r>
      <rPr>
        <sz val="9"/>
        <rFont val="Arial"/>
        <charset val="134"/>
      </rPr>
      <t xml:space="preserve"> + NYA 6 mm</t>
    </r>
    <r>
      <rPr>
        <sz val="9"/>
        <rFont val="Times New Roman"/>
        <charset val="134"/>
      </rPr>
      <t>²</t>
    </r>
  </si>
  <si>
    <t>P. CONTROL. COMBI BOTH 2 (13 Kw)</t>
  </si>
  <si>
    <t xml:space="preserve">IU / OU -B.1 (0,59 kW) </t>
  </si>
  <si>
    <r>
      <rPr>
        <sz val="9"/>
        <rFont val="Arial"/>
        <charset val="134"/>
      </rPr>
      <t>Type kabel : NYY 3 x 2,5 mm</t>
    </r>
    <r>
      <rPr>
        <sz val="9"/>
        <rFont val="Times New Roman"/>
        <charset val="134"/>
      </rPr>
      <t>²</t>
    </r>
    <r>
      <rPr>
        <sz val="9"/>
        <rFont val="Arial"/>
        <charset val="134"/>
      </rPr>
      <t xml:space="preserve"> </t>
    </r>
  </si>
  <si>
    <t>d</t>
  </si>
  <si>
    <t xml:space="preserve">PEKERJAAN RAK KABEL </t>
  </si>
  <si>
    <t>Pengadaan       dan   pemasangan    pekerjaan   rak    kabel</t>
  </si>
  <si>
    <t>dan  perlengkapan    lainnya    sesuai    dengan   spesifikasi</t>
  </si>
  <si>
    <t xml:space="preserve">teknis dan gambar rencana. </t>
  </si>
  <si>
    <t>Type : Hot Dip Galvanis</t>
  </si>
  <si>
    <t>KABEL RAK ELEKTRIKAL ( LADDER )</t>
  </si>
  <si>
    <t>a. Lantai.1</t>
  </si>
  <si>
    <t xml:space="preserve">       - Rak kabel 200 mm  H=100  mm</t>
  </si>
  <si>
    <t xml:space="preserve">       - Rak kabel 100 mm  H=100  mm</t>
  </si>
  <si>
    <t xml:space="preserve">       - Reducer 200 x 100 mm  H=100  mm</t>
  </si>
  <si>
    <t xml:space="preserve">       - Tee 200 x 200 x 200 mm  H=100  mm</t>
  </si>
  <si>
    <t xml:space="preserve">       - Elbow 200 x 200 mm  H=100  mm</t>
  </si>
  <si>
    <t xml:space="preserve">       - In/Out Riser  200 x 200 mm H=100 mm</t>
  </si>
  <si>
    <t xml:space="preserve">       - Tee 100 x 100 x 100 mm  H=100  mm</t>
  </si>
  <si>
    <t xml:space="preserve">       - Elbow 100 x 100 mm  H=100  mm</t>
  </si>
  <si>
    <t xml:space="preserve">       - In/Out Riser  100 x 100 mm H=100 mm</t>
  </si>
  <si>
    <t xml:space="preserve">      - Canal C , W = 100</t>
  </si>
  <si>
    <t xml:space="preserve">PEKERJAAN PENERANGAN &amp; STOP KONTAK </t>
  </si>
  <si>
    <t>Pengadaan dan pemasangan penerangan  dan  stop  kontak</t>
  </si>
  <si>
    <r>
      <rPr>
        <u/>
        <sz val="9"/>
        <rFont val="Arial"/>
        <charset val="134"/>
      </rPr>
      <t>lengkap   dengan  fixtures,  lampu  dan  accessoriesnya,  stop</t>
    </r>
    <r>
      <rPr>
        <sz val="9"/>
        <rFont val="Arial"/>
        <charset val="134"/>
      </rPr>
      <t xml:space="preserve"> </t>
    </r>
  </si>
  <si>
    <t>kontak dan accessoriesnya, pentanahan dan accessoriesnya,</t>
  </si>
  <si>
    <t>switch dan accessoriesnya sesuai dengan spesifikasi  teknis</t>
  </si>
  <si>
    <t>dan gambar rencana.</t>
  </si>
  <si>
    <t>a.Lantai  BODY REPAIR</t>
  </si>
  <si>
    <t>TL LED 2 x 18 W TKO</t>
  </si>
  <si>
    <t>Komponen : Phillips</t>
  </si>
  <si>
    <t>Highbay LED 80 W</t>
  </si>
  <si>
    <t>Down Light  LED 12 W</t>
  </si>
  <si>
    <t xml:space="preserve">Down Light LED 19 W </t>
  </si>
  <si>
    <t>Lampu TL LED 2 x 18 Watt, TKI</t>
  </si>
  <si>
    <t xml:space="preserve">TL LED 2 x 18 W, Dust Proof  </t>
  </si>
  <si>
    <t xml:space="preserve">TL LED 2 x 16 W, Water Proof  </t>
  </si>
  <si>
    <t>Saklar Tunggal 10A</t>
  </si>
  <si>
    <t>Saklar Seri 10A 2 gang</t>
  </si>
  <si>
    <t>Saklar Gridswitch 8 gang</t>
  </si>
  <si>
    <t>Instalasi Penerangan</t>
  </si>
  <si>
    <t>Type kabel : NYM 3 x 2,5mm²</t>
  </si>
  <si>
    <t>Instalasi Exhaust Fan (EF B.1, EF B.2 dan CME B.1)</t>
  </si>
  <si>
    <t>Stop Kontak Tunggal 1ph, 13A, 200W</t>
  </si>
  <si>
    <t>Stop Kontak Tunggal 1ph, 13A, 200W Wall Type For Fan</t>
  </si>
  <si>
    <t>Stop Kontak Tunggal 1ph, 13A, 200W Water Proff</t>
  </si>
  <si>
    <t>Stop Kontak For Energy Box 1ph, 16A, 200W</t>
  </si>
  <si>
    <t>Instalasi Stop Kontak</t>
  </si>
  <si>
    <r>
      <rPr>
        <sz val="9"/>
        <rFont val="Arial"/>
        <charset val="134"/>
      </rPr>
      <t>Type kabel : NYM 3 x 2,5mm</t>
    </r>
    <r>
      <rPr>
        <sz val="9"/>
        <rFont val="Times New Roman"/>
        <charset val="134"/>
      </rPr>
      <t>²</t>
    </r>
  </si>
  <si>
    <t>PEKERJAAN PENANGKAL PETIR</t>
  </si>
  <si>
    <t xml:space="preserve">Pengadaan,   pemasangan   dan   pengujian    pekerjaan </t>
  </si>
  <si>
    <t xml:space="preserve">penangkal petir lengkap dengan accessoriesnya, sesuai </t>
  </si>
  <si>
    <t>dengan spesifikasi  teknis dan gambar rencana.</t>
  </si>
  <si>
    <t>Air Terminal electrostatis H=5 Meter dengan Radius 80 Meter</t>
  </si>
  <si>
    <t>sesuai gambar rencana</t>
  </si>
  <si>
    <t>NYY 1X 70 mm2 menuju ke Bak Kontrol dalam Pipa PVC dia 32</t>
  </si>
  <si>
    <t>Peralatan penunjang  pendukung Air terminal</t>
  </si>
  <si>
    <t>Klem-klem , Trekskur, Isolator Telor, Bracket, Seal , Test Box , dll</t>
  </si>
  <si>
    <t>PEKERJAAN GROUNDING PENANGKAL PETIR</t>
  </si>
  <si>
    <t xml:space="preserve">Grounding Box 40x40x40 cm dari Beton Bertulang, Terminal Grounding di Las </t>
  </si>
  <si>
    <t>Pipa tembaga Copper Rod ∅ 25 mm ( untuk R lebih kecil dari 5 ohm ) ke dalaman minimum 12 Meter</t>
  </si>
  <si>
    <t>Termination R.Supporting Material</t>
  </si>
  <si>
    <t xml:space="preserve">Biaya Instalasi </t>
  </si>
  <si>
    <t>Test commissioning + Perijinan</t>
  </si>
  <si>
    <t xml:space="preserve">- Penambahan MCCB 3P 16A di PP-Bengkel Existing </t>
  </si>
  <si>
    <t xml:space="preserve">- Penggantian  MCCB 3P 63A menjadi MCCB 3P 80A di PP-Bengkel Existing </t>
  </si>
  <si>
    <t>Dari LP-BENGKEL (Existing) ke :</t>
  </si>
  <si>
    <t xml:space="preserve">IU / OU -B.2 (0,59 kW) </t>
  </si>
  <si>
    <t xml:space="preserve">IU / OU -B.3 (0,59 kW) </t>
  </si>
  <si>
    <t>Dari PP-BENGKEL (Existing) ke :</t>
  </si>
  <si>
    <t>PUSH LIFT 7</t>
  </si>
  <si>
    <r>
      <rPr>
        <sz val="9"/>
        <rFont val="Arial"/>
        <charset val="134"/>
      </rPr>
      <t>Type kabel : NYY 4 x 2,5 mm</t>
    </r>
    <r>
      <rPr>
        <sz val="9"/>
        <rFont val="Times New Roman"/>
        <charset val="134"/>
      </rPr>
      <t>²</t>
    </r>
    <r>
      <rPr>
        <sz val="9"/>
        <rFont val="Arial"/>
        <charset val="134"/>
      </rPr>
      <t xml:space="preserve"> + Counduit PVC ∅ 20 mm</t>
    </r>
  </si>
  <si>
    <t>PUSH LIFT 8</t>
  </si>
  <si>
    <t>a.Lantai  1 General Repair</t>
  </si>
  <si>
    <t>Stop Kontak Tunggal 3ph, 16A, 1500W</t>
  </si>
  <si>
    <t>Instalasi Exhaust Fan (CME B.2)</t>
  </si>
  <si>
    <t>a.Lantai  1 Office</t>
  </si>
  <si>
    <t>b.Lantai  2 Office</t>
  </si>
  <si>
    <t>PEKERJAAN FIRE ALARM</t>
  </si>
  <si>
    <t>Pengadaan dan pemasangan instalasi fire alarm  lengkap</t>
  </si>
  <si>
    <t>dengan  accessories  dan  peralatan  bantu  lainnya  sesuai</t>
  </si>
  <si>
    <t>dengan  spesifikasi teknis dan gambar rencana</t>
  </si>
  <si>
    <t>1.Instalasi Fire Alarm</t>
  </si>
  <si>
    <t>b.Lantai 1</t>
  </si>
  <si>
    <t>Heat detektor (ROR)</t>
  </si>
  <si>
    <t>Type : HC-306A</t>
  </si>
  <si>
    <t>Instalasi fire alarm dalam PVC counduit high impact</t>
  </si>
  <si>
    <t>titik</t>
  </si>
  <si>
    <t>Type kabel :NYA 2 X 1,5mm²</t>
  </si>
  <si>
    <t>PEKERJAAN SOUND SYSTEM</t>
  </si>
  <si>
    <t xml:space="preserve">Pengadaan dan pemasangan instalasi sound system </t>
  </si>
  <si>
    <t xml:space="preserve">lengkap dengan accessories  dan  peralatan  bantu  lainnya </t>
  </si>
  <si>
    <t>sesuai dengan  spesifikasi teknis dan gambar rencana</t>
  </si>
  <si>
    <t>1.Instalasi Sound System</t>
  </si>
  <si>
    <t xml:space="preserve">a.Lantai -1 </t>
  </si>
  <si>
    <t>Horn Speaker 10 W</t>
  </si>
  <si>
    <t>Instalasi Horn speaker dalam PVC counduit high impact</t>
  </si>
  <si>
    <t>Type kabel : NYMHY 3 x 1,5mm²</t>
  </si>
  <si>
    <t>PEKERJAAN CCTV</t>
  </si>
  <si>
    <t>Pengadaan dan  pemasangan  pekerjaan CCTV  lengkap</t>
  </si>
  <si>
    <t xml:space="preserve">dengan peralatan bantu dan accessories lainnya sesuai </t>
  </si>
  <si>
    <t xml:space="preserve">dengan Spesifikasi teknis &amp; gambar rencana. </t>
  </si>
  <si>
    <t>1.Peralatan Utama</t>
  </si>
  <si>
    <t xml:space="preserve">DVR , 8 Channel (Kap. Hardisk 1 TERA) </t>
  </si>
  <si>
    <t>Pengadaan dan pemasangan included dudukan, hanger dan perlengkapan</t>
  </si>
  <si>
    <t>penunjang lainnya.</t>
  </si>
  <si>
    <t>c/w Arrester berikut instalasi ke Monitor</t>
  </si>
  <si>
    <t xml:space="preserve">( Monitor 32" LG) (R.Server) </t>
  </si>
  <si>
    <t>1.Instalasi CCTV</t>
  </si>
  <si>
    <t xml:space="preserve">Pengadaan Colour Camera Type Day Night  (Outdoor Type) </t>
  </si>
  <si>
    <t xml:space="preserve">Pengadaan dan pemasangan included hanger, klem, support dan </t>
  </si>
  <si>
    <t>perlengkapan penunjang lainnya.</t>
  </si>
  <si>
    <t>Instalasi Camera dan Kabel power  ( COAXIAL CABLE RG 6 )</t>
  </si>
  <si>
    <t>Total Pekerjaan Elektronik</t>
  </si>
  <si>
    <t>SCHEDULE S CURVE</t>
  </si>
  <si>
    <t>BATAM - KEPULAUAN RIAU</t>
  </si>
  <si>
    <t>BOBOT</t>
  </si>
  <si>
    <t>TAHUN 2026</t>
  </si>
  <si>
    <t>KETERANGAN</t>
  </si>
  <si>
    <t>%</t>
  </si>
  <si>
    <t>APRIL</t>
  </si>
  <si>
    <t>MEI</t>
  </si>
  <si>
    <t>JUNI</t>
  </si>
  <si>
    <t>JULI</t>
  </si>
  <si>
    <t>AGUSTUS</t>
  </si>
  <si>
    <t>SEPTEMBER</t>
  </si>
  <si>
    <t>PEKERJAAN BONGKARAN (General repair, Office, &amp; show room)</t>
  </si>
  <si>
    <t>( Galian saluran Exa DT)</t>
  </si>
  <si>
    <t>PEKERJAAN PAVING BLOCK (Ex. Site body repair)</t>
  </si>
  <si>
    <t>Perbaikan Stocyard &amp; bongkar paving (Exa DT)</t>
  </si>
  <si>
    <t>Pemindahan paving existing (DT Baby Roller)</t>
  </si>
  <si>
    <t>PEKERJAAN LAIN LAIN IPAL, MARKA OIL TRAP &amp; BAK SAMPAH</t>
  </si>
  <si>
    <t>Pekerjaan Pemasangan HSPD</t>
  </si>
  <si>
    <t>Pekerjaan galian, besi dan bekisting</t>
  </si>
  <si>
    <t>Pekerjaan pengecoran (truck mixer dan concrete pump)</t>
  </si>
  <si>
    <t>Pekerjaan baja, Mobil Crane</t>
  </si>
  <si>
    <t>PEKERJAAN BANGUNAN OFFICE DAN SHOW ROOM</t>
  </si>
  <si>
    <t>Perbaikan paving depan, kebocoran dan perbaikan keramik</t>
  </si>
  <si>
    <t>PROGRES RENCANA (%)</t>
  </si>
  <si>
    <t>AKUMULASI PROGRES RENCANA (%)</t>
  </si>
  <si>
    <t>PROGRES ACTUAL (%)</t>
  </si>
  <si>
    <t>AKUMULASI PROGRES ACTUAL (%)</t>
  </si>
  <si>
    <t>DEVIASI (%)</t>
  </si>
  <si>
    <t>DOKUMENTASI FOTO PROGRESS</t>
  </si>
  <si>
    <t>Periode ke</t>
  </si>
  <si>
    <t>:</t>
  </si>
  <si>
    <t>Tanggal</t>
  </si>
  <si>
    <t>19 - 25 April 2026</t>
  </si>
  <si>
    <t>Proyek</t>
  </si>
  <si>
    <t>PEKERJAAN PENGEMBANGAN GENERAL REPAIR DAN BODY REPAIR</t>
  </si>
  <si>
    <t>Deviasi periode lalu</t>
  </si>
  <si>
    <t>Pemilik Proyek</t>
  </si>
  <si>
    <t>DSO</t>
  </si>
  <si>
    <t>Akumulasi Progres Rencana</t>
  </si>
  <si>
    <t>Kontraktor</t>
  </si>
  <si>
    <t>PT. ESPE KONTRAKTORINDO</t>
  </si>
  <si>
    <t>Akumulasi Progres Aktual</t>
  </si>
  <si>
    <t>No. SPK/SI</t>
  </si>
  <si>
    <t>Deviasi</t>
  </si>
  <si>
    <t xml:space="preserve">Keterangan </t>
  </si>
  <si>
    <t>Pagar Temporary</t>
  </si>
  <si>
    <t>: Pagar Temporary</t>
  </si>
  <si>
    <t>Jenis Pekerjaan</t>
  </si>
  <si>
    <t>Temporary</t>
  </si>
  <si>
    <t>: Temporary</t>
  </si>
  <si>
    <t>Lokasi</t>
  </si>
  <si>
    <t>Site</t>
  </si>
  <si>
    <t>:Site</t>
  </si>
  <si>
    <t>: Pos jaga</t>
  </si>
  <si>
    <t>: Pos security</t>
  </si>
  <si>
    <t>: Site</t>
  </si>
  <si>
    <t>Pekerjaan bongkar paving</t>
  </si>
  <si>
    <t>Paving</t>
  </si>
  <si>
    <t>: Paving</t>
  </si>
  <si>
    <t>Area BR</t>
  </si>
  <si>
    <t>: Area BR</t>
  </si>
  <si>
    <t>Pekerjaan cat direksi keet</t>
  </si>
  <si>
    <t>temporary</t>
  </si>
  <si>
    <t>DAFTAR SPESIFIKASI MATERIAL</t>
  </si>
  <si>
    <t>SHOWROOM &amp; WORKSHOP DSO CABANG BATAM</t>
  </si>
  <si>
    <t>ITEM</t>
  </si>
  <si>
    <t>MERK</t>
  </si>
  <si>
    <t>TYPE</t>
  </si>
  <si>
    <t xml:space="preserve"> A.</t>
  </si>
  <si>
    <t>ELEKTRIKAL</t>
  </si>
  <si>
    <t>Panel Listrik TR</t>
  </si>
  <si>
    <t xml:space="preserve"> - Box Panel</t>
  </si>
  <si>
    <t>Simetri, Tekindo, Dutapanel,</t>
  </si>
  <si>
    <t>Free Standing, Wall mounting</t>
  </si>
  <si>
    <t>Gapura, Anugrah (ATS)</t>
  </si>
  <si>
    <t>KOMPOSISI PANEL</t>
  </si>
  <si>
    <t>- MCB, MCCB</t>
  </si>
  <si>
    <t>ABB, TERASAKI</t>
  </si>
  <si>
    <t>Variasi</t>
  </si>
  <si>
    <t>- UVR</t>
  </si>
  <si>
    <t>ABB / Terasaki</t>
  </si>
  <si>
    <t>- Contactor</t>
  </si>
  <si>
    <t>Telemechanique</t>
  </si>
  <si>
    <t>- NH Fuse</t>
  </si>
  <si>
    <t>- Timer switch</t>
  </si>
  <si>
    <t>MG (Zelio)</t>
  </si>
  <si>
    <t>- COS/Change Over Switch</t>
  </si>
  <si>
    <t>Socomec</t>
  </si>
  <si>
    <t>- terminal &amp; accessories</t>
  </si>
  <si>
    <t>krone</t>
  </si>
  <si>
    <t>- Relay</t>
  </si>
  <si>
    <t>Omron, Schneider , Mikro</t>
  </si>
  <si>
    <t>- Power Meter</t>
  </si>
  <si>
    <t>ABB , Mikro</t>
  </si>
  <si>
    <t>- Arrester</t>
  </si>
  <si>
    <t>ABB, Novaris</t>
  </si>
  <si>
    <t>ALAT UKUR PANEL</t>
  </si>
  <si>
    <t>- KWH meter</t>
  </si>
  <si>
    <t>TERRA</t>
  </si>
  <si>
    <t>- KW meter</t>
  </si>
  <si>
    <t>MG /Mikro</t>
  </si>
  <si>
    <t>- Amperemeter</t>
  </si>
  <si>
    <t>- Voltmeter</t>
  </si>
  <si>
    <t>- Frequency meter</t>
  </si>
  <si>
    <t>- COS Phi meter</t>
  </si>
  <si>
    <t>Saklar</t>
  </si>
  <si>
    <t>MK, Clipsal (Vivace)</t>
  </si>
  <si>
    <t>Stop kontak</t>
  </si>
  <si>
    <t>Normal = White</t>
  </si>
  <si>
    <t>Ups     = Black</t>
  </si>
  <si>
    <t>,</t>
  </si>
  <si>
    <t>Lampu</t>
  </si>
  <si>
    <t xml:space="preserve"> - Komponen</t>
  </si>
  <si>
    <t>Philips</t>
  </si>
  <si>
    <t>setiap lampu dilengkapi dgn</t>
  </si>
  <si>
    <t xml:space="preserve"> - Housing</t>
  </si>
  <si>
    <t>Philips, dazz, Artolite</t>
  </si>
  <si>
    <t>Lokal</t>
  </si>
  <si>
    <t xml:space="preserve">kapasitor </t>
  </si>
  <si>
    <t>Kabel Daya</t>
  </si>
  <si>
    <t xml:space="preserve"> (4 besar)</t>
  </si>
  <si>
    <t>NYY, NYM, NYFGBY</t>
  </si>
  <si>
    <t xml:space="preserve">Supreme, Kabel metal, </t>
  </si>
  <si>
    <t>Kabelindo &amp; tranka</t>
  </si>
  <si>
    <t>Konduit</t>
  </si>
  <si>
    <t>Clipsal, EGA</t>
  </si>
  <si>
    <t>PVC High Impact dia.20</t>
  </si>
  <si>
    <t>Genset</t>
  </si>
  <si>
    <t>FG Wilson, Perkins</t>
  </si>
  <si>
    <t>Kabel rack</t>
  </si>
  <si>
    <t>Tree Star, Tri abadi</t>
  </si>
  <si>
    <t>Hotdip Galvanis</t>
  </si>
  <si>
    <t>Penangkal Petir</t>
  </si>
  <si>
    <t>Bakiral</t>
  </si>
  <si>
    <t>Elektrostatis radius min. 60 m</t>
  </si>
  <si>
    <t>Tinggi sesuai gambar</t>
  </si>
  <si>
    <t>FIRE ALARM</t>
  </si>
  <si>
    <t>Fire Alarm</t>
  </si>
  <si>
    <t xml:space="preserve">Simplex, Nohmi, Edward </t>
  </si>
  <si>
    <t>Konventioanl</t>
  </si>
  <si>
    <t>Kabel</t>
  </si>
  <si>
    <t>NYA</t>
  </si>
  <si>
    <t>Tranka, Kabel metal, Supreme</t>
  </si>
  <si>
    <t>&amp; Kabelindo</t>
  </si>
  <si>
    <t>Terminal Box</t>
  </si>
  <si>
    <t>LSA</t>
  </si>
  <si>
    <t>TATA SUARA</t>
  </si>
  <si>
    <t>Ceiling spekaer</t>
  </si>
  <si>
    <t>TOA</t>
  </si>
  <si>
    <t>Horn Speakaer</t>
  </si>
  <si>
    <t>Power AMPLIFIER</t>
  </si>
  <si>
    <t xml:space="preserve">Rack </t>
  </si>
  <si>
    <t>EX. Metal</t>
  </si>
  <si>
    <t>NYMHY</t>
  </si>
  <si>
    <t>CCTV</t>
  </si>
  <si>
    <t>Camera CCTV (Outdoor dan Indoor)</t>
  </si>
  <si>
    <t>Hunteg, hikvision, dahua</t>
  </si>
  <si>
    <t>IP Digital</t>
  </si>
  <si>
    <t>Monitor</t>
  </si>
  <si>
    <t>LG</t>
  </si>
  <si>
    <t>Telegarner/SYSTIMAX / Belden</t>
  </si>
  <si>
    <t>Coaxial</t>
  </si>
  <si>
    <t>AIR CONDITIONING</t>
  </si>
  <si>
    <t>Fan</t>
  </si>
  <si>
    <t>Panasonic, KDK</t>
  </si>
  <si>
    <t>Ceiling / Wall / Axial</t>
  </si>
  <si>
    <t>by owner</t>
  </si>
  <si>
    <t>Air Conditioning (AC)</t>
  </si>
  <si>
    <t>Panasonic, Daikin</t>
  </si>
  <si>
    <t>Split Wall  / Cassette</t>
  </si>
  <si>
    <t>Inverter</t>
  </si>
  <si>
    <t>Pipa Refrigerant</t>
  </si>
  <si>
    <t>Elgin, Denji</t>
  </si>
  <si>
    <t>Class L</t>
  </si>
  <si>
    <t>Isolasi Pipa Refrigerant</t>
  </si>
  <si>
    <t>Insuflex, Aerolfex</t>
  </si>
  <si>
    <t>Isolasi 25 mm, density 24 kg/m3</t>
  </si>
  <si>
    <t>Pipa Drain</t>
  </si>
  <si>
    <t>Wavin</t>
  </si>
  <si>
    <t>AW</t>
  </si>
  <si>
    <t>Isolasi pipa drain</t>
  </si>
  <si>
    <t>Isolasi 19 mm, density16 kg/m3</t>
  </si>
  <si>
    <t>H.</t>
  </si>
  <si>
    <t>PLUMBING</t>
  </si>
  <si>
    <t>Jet Pump</t>
  </si>
  <si>
    <t>Groundfous, Ebara, Sanyo</t>
  </si>
  <si>
    <t>Lift Pump</t>
  </si>
  <si>
    <t>Groundfous, Ebara</t>
  </si>
  <si>
    <t>Priming Tank</t>
  </si>
  <si>
    <t>Pinguin</t>
  </si>
  <si>
    <t xml:space="preserve">Fibre </t>
  </si>
  <si>
    <t>Roof tank</t>
  </si>
  <si>
    <t>Mini STP</t>
  </si>
  <si>
    <t>Biohome/Biomaster</t>
  </si>
  <si>
    <t>Blower</t>
  </si>
  <si>
    <t>Pipa air bersih</t>
  </si>
  <si>
    <t>Rucika</t>
  </si>
  <si>
    <t>10 k</t>
  </si>
  <si>
    <t>Fitting pipa Rucika</t>
  </si>
  <si>
    <t>Ricon</t>
  </si>
  <si>
    <t>Gate Valve</t>
  </si>
  <si>
    <t>Toyo, Kitz</t>
  </si>
  <si>
    <t>Class 10 K</t>
  </si>
  <si>
    <t>Check Valve</t>
  </si>
  <si>
    <t>Strainer 10 K</t>
  </si>
  <si>
    <t>Flexible joint,10 K</t>
  </si>
  <si>
    <t>Tozen</t>
  </si>
  <si>
    <t>Foot Valve</t>
  </si>
  <si>
    <t>Mizu</t>
  </si>
  <si>
    <t>Pipa air kotor</t>
  </si>
  <si>
    <t>Pipa air bekas</t>
  </si>
  <si>
    <t>Pipa air hujan</t>
  </si>
  <si>
    <t>Pipa Venting</t>
  </si>
  <si>
    <t>Fitting fitting</t>
  </si>
  <si>
    <t>Roof Drain</t>
  </si>
  <si>
    <t>batur</t>
  </si>
  <si>
    <t>Cast Iron</t>
  </si>
  <si>
    <t>Floor Drain</t>
  </si>
  <si>
    <t>San-ei</t>
  </si>
  <si>
    <t>Pipa Compressor</t>
  </si>
  <si>
    <t>Bakrie, PPI, Spindo</t>
  </si>
  <si>
    <t xml:space="preserve">GIP medium </t>
  </si>
  <si>
    <t>Filter (sand dan carbon)</t>
  </si>
  <si>
    <t>Yamaha, Kimia Sakti</t>
  </si>
  <si>
    <t>I.</t>
  </si>
  <si>
    <t>PEMADAM KEBAKARAN</t>
  </si>
  <si>
    <t>Hydrant main fire pump Electric</t>
  </si>
  <si>
    <t>Fairbanks, Wilo, SPP</t>
  </si>
  <si>
    <t>Type : Centrifugal End Suction Volute</t>
  </si>
  <si>
    <t>(NFPA-20 Standard)</t>
  </si>
  <si>
    <t>Matrial : Cast Iron Case, Bronze Impeller,</t>
  </si>
  <si>
    <t>Carbon Steel Shaft</t>
  </si>
  <si>
    <t>Enclosure : TEFC ( Totally Enclosure Fan Closed )</t>
  </si>
  <si>
    <t>Motor : Elektrim/Titan</t>
  </si>
  <si>
    <t>Hydrant main fire pump diesel</t>
  </si>
  <si>
    <t>Engine : FAWDE</t>
  </si>
  <si>
    <t>Accessories : Air cleaner, starter motor, alternator charger,</t>
  </si>
  <si>
    <t xml:space="preserve"> engine panel, fuel tank, automatic shut down.</t>
  </si>
  <si>
    <t>Hydrant jockey pump</t>
  </si>
  <si>
    <t>Type : Vertical Multistage Pump</t>
  </si>
  <si>
    <t>Matrial : Cast Iron Casing Class, SS Impeller, SS Shaft</t>
  </si>
  <si>
    <t>Coupled to Factory Choice Electric Motor :</t>
  </si>
  <si>
    <t>Pipa hidran</t>
  </si>
  <si>
    <t>BSP Sch. 40</t>
  </si>
  <si>
    <t>IHB/OHB</t>
  </si>
  <si>
    <t>Zeki, Hooseki</t>
  </si>
  <si>
    <t>Fire Extinguiser</t>
  </si>
  <si>
    <t>kap. 6 kg</t>
  </si>
  <si>
    <t>Dry Chemical Powder ( DCP )</t>
  </si>
  <si>
    <t>Gas Clean Agent ( GCA )</t>
  </si>
  <si>
    <t>BILL OF QUANTITY</t>
  </si>
  <si>
    <t>DAIHATSU SALES OPERATION Cabang MANADO</t>
  </si>
  <si>
    <t xml:space="preserve">JUMLAH </t>
  </si>
  <si>
    <t xml:space="preserve">PEKERJAAN BANGUNAN SHOWROOM </t>
  </si>
  <si>
    <t>PEKERJAAN INTERIOR</t>
  </si>
  <si>
    <t xml:space="preserve">JUMLAH PEKERJAAN INTERIOR </t>
  </si>
  <si>
    <t>PEKERJAAN BACKDROP</t>
  </si>
  <si>
    <r>
      <rPr>
        <sz val="10"/>
        <rFont val="Arial"/>
        <charset val="134"/>
      </rPr>
      <t xml:space="preserve">Backdrop logo, ukuran 5000 x 6300 mm </t>
    </r>
    <r>
      <rPr>
        <b/>
        <sz val="10"/>
        <rFont val="Arial"/>
        <charset val="134"/>
      </rPr>
      <t>(J1)</t>
    </r>
  </si>
  <si>
    <t>Unit</t>
  </si>
  <si>
    <t>• galvanized hollow steel frame 40 x 40 x 0.8 mm</t>
  </si>
  <si>
    <t xml:space="preserve">• cornice aluminum U channel 12 x 12 x 1 mm fin. silver anodized </t>
  </si>
  <si>
    <t>• plywood 12 mm fin. Laminate (LM-1) + Graphic poster (by FA)</t>
  </si>
  <si>
    <t>• skirting, h = 100 mm stainless steel plate 1,2 mm fin. hairline base on plywood 9 mm</t>
  </si>
  <si>
    <r>
      <rPr>
        <sz val="10"/>
        <rFont val="Arial"/>
        <charset val="134"/>
      </rPr>
      <t xml:space="preserve">Backdrop chasier, ukuran 3023x2800 cm </t>
    </r>
    <r>
      <rPr>
        <b/>
        <sz val="10"/>
        <rFont val="Arial"/>
        <charset val="134"/>
      </rPr>
      <t>(J2)</t>
    </r>
  </si>
  <si>
    <t>• plywood 12 mm fin. Laminate tipe 2 (LM-2) + Nat 3 mm fin. duco col. match to laminate</t>
  </si>
  <si>
    <t>• exclude camouflage door</t>
  </si>
  <si>
    <r>
      <rPr>
        <sz val="10"/>
        <rFont val="Arial"/>
        <charset val="134"/>
      </rPr>
      <t xml:space="preserve">Backdrop service advisor 1, ukuran 2300x2800 mm </t>
    </r>
    <r>
      <rPr>
        <b/>
        <sz val="10"/>
        <rFont val="Arial"/>
        <charset val="134"/>
      </rPr>
      <t>(J3A)</t>
    </r>
  </si>
  <si>
    <t>• plywood 12 mm fin. Laminate tipe 2 (LM-2) + Nat 3 mm fin. duco col. match to laminate.</t>
  </si>
  <si>
    <t>• exclude service advisor credenza (by furniture).</t>
  </si>
  <si>
    <r>
      <rPr>
        <sz val="10"/>
        <rFont val="Arial"/>
        <charset val="134"/>
      </rPr>
      <t xml:space="preserve">Backdrop service advisor 2, ukuran 3600 x 2800 mm </t>
    </r>
    <r>
      <rPr>
        <b/>
        <sz val="10"/>
        <rFont val="Arial"/>
        <charset val="134"/>
      </rPr>
      <t>(J3B)</t>
    </r>
  </si>
  <si>
    <t>• plywood 12 mm fin. Laminate (LM-1) + Graphic poster (by FA),</t>
  </si>
  <si>
    <t>• channel letter : cutting laser stainless steel fin. Hairline.</t>
  </si>
  <si>
    <t xml:space="preserve">• built-in bench : Plywood fin. Laminate (LM-3), upholistry : Plywood + Foam 8cm </t>
  </si>
  <si>
    <t xml:space="preserve">  fin. Fabric col. Blue</t>
  </si>
  <si>
    <t>• TV promo 46” + bracket = 1 unit</t>
  </si>
  <si>
    <r>
      <rPr>
        <sz val="10"/>
        <rFont val="Arial"/>
        <charset val="134"/>
      </rPr>
      <t xml:space="preserve">Glassboard (typical) ukuran 2200 x 1200 mm </t>
    </r>
    <r>
      <rPr>
        <b/>
        <sz val="10"/>
        <rFont val="Arial"/>
        <charset val="134"/>
      </rPr>
      <t>(J4)</t>
    </r>
  </si>
  <si>
    <t>• white painted glass (PG) base on plywood 12mm fin. laminate (LM-1) + spidol tray.</t>
  </si>
  <si>
    <r>
      <rPr>
        <sz val="10"/>
        <rFont val="Arial"/>
        <charset val="134"/>
      </rPr>
      <t xml:space="preserve">Backdrop KABENG Room, ukuran 3300 x 2800 mm </t>
    </r>
    <r>
      <rPr>
        <b/>
        <sz val="10"/>
        <rFont val="Arial"/>
        <charset val="134"/>
      </rPr>
      <t>(J5)</t>
    </r>
  </si>
  <si>
    <t>• exclude artwork (AW)</t>
  </si>
  <si>
    <r>
      <rPr>
        <sz val="10"/>
        <rFont val="Arial"/>
        <charset val="134"/>
      </rPr>
      <t xml:space="preserve">Backdrop mural canteen, ukuran 10244 x 2800 mm </t>
    </r>
    <r>
      <rPr>
        <b/>
        <sz val="10"/>
        <rFont val="Arial"/>
        <charset val="134"/>
      </rPr>
      <t>(J6)</t>
    </r>
  </si>
  <si>
    <t>• gypsum partition 12 mm fin. Wall paint col. white (PT-1)</t>
  </si>
  <si>
    <t xml:space="preserve">• Mural Art. Finish wall paint col. Orange &amp; black </t>
  </si>
  <si>
    <r>
      <rPr>
        <sz val="10"/>
        <rFont val="Arial"/>
        <charset val="134"/>
      </rPr>
      <t xml:space="preserve">Backdrop TV canteen, ukuran 2000 x 2800 mm </t>
    </r>
    <r>
      <rPr>
        <b/>
        <sz val="10"/>
        <rFont val="Arial"/>
        <charset val="134"/>
      </rPr>
      <t>(J7)</t>
    </r>
  </si>
  <si>
    <t>• TV 32” + bracket = 1 unit</t>
  </si>
  <si>
    <r>
      <rPr>
        <sz val="10"/>
        <rFont val="Arial"/>
        <charset val="134"/>
      </rPr>
      <t xml:space="preserve">Mihrab mushola, ukuran 1200 x 2800 mm </t>
    </r>
    <r>
      <rPr>
        <b/>
        <sz val="10"/>
        <rFont val="Arial"/>
        <charset val="134"/>
      </rPr>
      <t>(J8)</t>
    </r>
  </si>
  <si>
    <t>size. 1200 x 2800 mm - check on site</t>
  </si>
  <si>
    <r>
      <rPr>
        <sz val="10"/>
        <rFont val="Arial"/>
        <charset val="134"/>
      </rPr>
      <t>• lafadz</t>
    </r>
    <r>
      <rPr>
        <sz val="12"/>
        <rFont val="Arial"/>
        <charset val="134"/>
      </rPr>
      <t xml:space="preserve"> ﷲ </t>
    </r>
    <r>
      <rPr>
        <sz val="10"/>
        <rFont val="Arial"/>
        <charset val="134"/>
      </rPr>
      <t>, Stainless steel channel letter with hidden lamp col. Warm white.</t>
    </r>
  </si>
  <si>
    <t>• hidden lamp LED strip col. warm white</t>
  </si>
  <si>
    <r>
      <rPr>
        <sz val="10"/>
        <rFont val="Arial"/>
        <charset val="134"/>
      </rPr>
      <t xml:space="preserve">Backdrop ADH Room (2side) ukuran 4300 x 3000 mm </t>
    </r>
    <r>
      <rPr>
        <b/>
        <sz val="10"/>
        <rFont val="Arial"/>
        <charset val="134"/>
      </rPr>
      <t>(J9)</t>
    </r>
  </si>
  <si>
    <t>• exclude glass door + glass partition 12 mm size. 1500 x 2400mm</t>
  </si>
  <si>
    <r>
      <rPr>
        <sz val="10"/>
        <rFont val="Arial"/>
        <charset val="134"/>
      </rPr>
      <t xml:space="preserve">Backdrop waiting area, ukuran 8500 x 3800 mm </t>
    </r>
    <r>
      <rPr>
        <b/>
        <sz val="10"/>
        <rFont val="Arial"/>
        <charset val="134"/>
      </rPr>
      <t>(J10)</t>
    </r>
  </si>
  <si>
    <t>size. 8500 x 3800 mm - check on site</t>
  </si>
  <si>
    <t>• plywood 12 mm fin. Duco paint col. Dark grey. Nat fin. Duco paint col. Dark grey.</t>
  </si>
  <si>
    <t>• channel letter : milky acrylic 3mm + LED lighted.</t>
  </si>
  <si>
    <r>
      <rPr>
        <sz val="10"/>
        <rFont val="Arial"/>
        <charset val="134"/>
      </rPr>
      <t xml:space="preserve">Backdrop discuss area, ukuran 5533x3800 mm </t>
    </r>
    <r>
      <rPr>
        <b/>
        <sz val="10"/>
        <rFont val="Arial"/>
        <charset val="134"/>
      </rPr>
      <t>(J11)</t>
    </r>
  </si>
  <si>
    <t>• gypsum partition 12 mm fin. Wall paint col. Blue (PT-2)</t>
  </si>
  <si>
    <t xml:space="preserve">• plywood 12 mm fin. Laminate (LM-1) + Graphic poster (by FA) + </t>
  </si>
  <si>
    <t xml:space="preserve">  aksen plywood 9 mm fin, duco paint col. Black blue yellow</t>
  </si>
  <si>
    <t xml:space="preserve">  fin. Fabric col. Orange.</t>
  </si>
  <si>
    <r>
      <rPr>
        <sz val="10"/>
        <rFont val="Arial"/>
        <charset val="134"/>
      </rPr>
      <t xml:space="preserve">Backdrop sales area, ukuran 11270 x 3800 mm </t>
    </r>
    <r>
      <rPr>
        <b/>
        <sz val="10"/>
        <rFont val="Arial"/>
        <charset val="134"/>
      </rPr>
      <t>(J12)</t>
    </r>
  </si>
  <si>
    <t xml:space="preserve">• logo &amp; channel letter cutting laser steel plate 3mm fin. Duco paint color red and blue  </t>
  </si>
  <si>
    <t xml:space="preserve">  (match to color identity) + LED Lighted.</t>
  </si>
  <si>
    <r>
      <rPr>
        <sz val="10"/>
        <rFont val="Arial"/>
        <charset val="134"/>
      </rPr>
      <t xml:space="preserve">Divider sales area, ukuran 1800 x 1200 mm </t>
    </r>
    <r>
      <rPr>
        <b/>
        <sz val="10"/>
        <rFont val="Arial"/>
        <charset val="134"/>
      </rPr>
      <t>(J13)</t>
    </r>
  </si>
  <si>
    <t>• hollow steel 40x40 mm fin. Duco paint col. Black doff.</t>
  </si>
  <si>
    <t>• clear acrylic 5mm fin. Translucent sticker col. yellow, blue, gold (by FA).</t>
  </si>
  <si>
    <t>• structure dyna bolt to floor &amp; wall.</t>
  </si>
  <si>
    <r>
      <rPr>
        <sz val="10"/>
        <rFont val="Arial"/>
        <charset val="134"/>
      </rPr>
      <t xml:space="preserve">Backdrop TV interactive, ukuran 10230 x 4000 mm </t>
    </r>
    <r>
      <rPr>
        <b/>
        <sz val="10"/>
        <rFont val="Arial"/>
        <charset val="134"/>
      </rPr>
      <t>(J14)</t>
    </r>
  </si>
  <si>
    <t>• 4 unit TV + bracket.</t>
  </si>
  <si>
    <r>
      <rPr>
        <sz val="10"/>
        <rFont val="Arial"/>
        <charset val="134"/>
      </rPr>
      <t>Backdrop interactive discuss area, ukuran 11537 x 4000 mm</t>
    </r>
    <r>
      <rPr>
        <b/>
        <sz val="10"/>
        <rFont val="Arial"/>
        <charset val="134"/>
      </rPr>
      <t xml:space="preserve"> (J15)</t>
    </r>
  </si>
  <si>
    <t>• plywood 12 mm fin. Duco paint col. Light grey. Nat fin. Duco paint col. Light grey.</t>
  </si>
  <si>
    <t xml:space="preserve">• Interactive display ; plywood 9mm, plywood 12mm, plywood 18mm fin. Duco paint </t>
  </si>
  <si>
    <t xml:space="preserve">  col. Blue, red. + poster (plywood + LM1 + digital printing poster (content by FA)</t>
  </si>
  <si>
    <r>
      <rPr>
        <sz val="10"/>
        <rFont val="Arial"/>
        <charset val="134"/>
      </rPr>
      <t>Backdrop channel letter merchandise, uk 1600 x 3800 mm</t>
    </r>
    <r>
      <rPr>
        <b/>
        <sz val="10"/>
        <rFont val="Arial"/>
        <charset val="134"/>
      </rPr>
      <t xml:space="preserve"> (J16)</t>
    </r>
  </si>
  <si>
    <t>• plywood 12 mm fin. Duco paint color Blue (match to color identity)</t>
  </si>
  <si>
    <t>• channel letter cutting laser acrylic 3mm + Lighted. (detail By FA)</t>
  </si>
  <si>
    <r>
      <rPr>
        <sz val="10"/>
        <rFont val="Arial"/>
        <charset val="134"/>
      </rPr>
      <t xml:space="preserve">Backdrop TV game area, ukuran 5200 x 4000 mm </t>
    </r>
    <r>
      <rPr>
        <b/>
        <sz val="10"/>
        <rFont val="Arial"/>
        <charset val="134"/>
      </rPr>
      <t>(J17)</t>
    </r>
  </si>
  <si>
    <t>• exclude Custom furniture F14 – Games area table 1</t>
  </si>
  <si>
    <t>• 2 unit TV games 47 Inch</t>
  </si>
  <si>
    <r>
      <rPr>
        <sz val="10"/>
        <rFont val="Arial"/>
        <charset val="134"/>
      </rPr>
      <t xml:space="preserve">Backdrop game area, ukuran 5920 x 4000 mm </t>
    </r>
    <r>
      <rPr>
        <b/>
        <sz val="10"/>
        <rFont val="Arial"/>
        <charset val="134"/>
      </rPr>
      <t>(J18)</t>
    </r>
  </si>
  <si>
    <t>• plywood 12mm fin. Laminate (LM-2), Nat fin. Duco paint col. Match to Laminate.</t>
  </si>
  <si>
    <t>• exclude Arcade game machine (by others)</t>
  </si>
  <si>
    <r>
      <rPr>
        <sz val="10"/>
        <rFont val="Arial"/>
        <charset val="134"/>
      </rPr>
      <t xml:space="preserve">Backdrop channel letter game area, ukuran 5920 x 4000 mm </t>
    </r>
    <r>
      <rPr>
        <b/>
        <sz val="10"/>
        <rFont val="Arial"/>
        <charset val="134"/>
      </rPr>
      <t>(J19)</t>
    </r>
  </si>
  <si>
    <t>• channel letter cutting laser steel plate 3mm fin. Duco paint col. White (match to color identity).</t>
  </si>
  <si>
    <r>
      <rPr>
        <sz val="10"/>
        <rFont val="Arial"/>
        <charset val="134"/>
      </rPr>
      <t xml:space="preserve">Divider channel letter café, ukuran 7000 x 3800 mm </t>
    </r>
    <r>
      <rPr>
        <b/>
        <sz val="10"/>
        <rFont val="Arial"/>
        <charset val="134"/>
      </rPr>
      <t>(J20)</t>
    </r>
  </si>
  <si>
    <t>• frame : Hollow steel 40x20 mm fin. Duco paint col. White.</t>
  </si>
  <si>
    <t>• wire mesh : fin. Duco paint col. White. Hanger stucture to slab. Hanging Plater + plant.</t>
  </si>
  <si>
    <t xml:space="preserve">• wire mesh : fin. Duco paint col. White. Hanger stucture to slab. Hanging Plater + </t>
  </si>
  <si>
    <t xml:space="preserve">  plant + Custom neon text sign</t>
  </si>
  <si>
    <r>
      <rPr>
        <sz val="10"/>
        <rFont val="Arial"/>
        <charset val="134"/>
      </rPr>
      <t xml:space="preserve">Divider TV back office, ukuran 4590 x 3000 mm </t>
    </r>
    <r>
      <rPr>
        <b/>
        <sz val="10"/>
        <rFont val="Arial"/>
        <charset val="134"/>
      </rPr>
      <t>(J21)</t>
    </r>
  </si>
  <si>
    <t>• 2 unit TV 32” + bracket.</t>
  </si>
  <si>
    <r>
      <rPr>
        <sz val="10"/>
        <rFont val="Arial"/>
        <charset val="134"/>
      </rPr>
      <t xml:space="preserve">Divider graphic SPV sales, ukuran 3000x3000 mm </t>
    </r>
    <r>
      <rPr>
        <b/>
        <sz val="10"/>
        <rFont val="Arial"/>
        <charset val="134"/>
      </rPr>
      <t>(J22)</t>
    </r>
  </si>
  <si>
    <t>• plywood 12mm fin Laminate (LM-1) + Digital printing poster (Detail by FA).</t>
  </si>
  <si>
    <r>
      <rPr>
        <sz val="10"/>
        <rFont val="Arial"/>
        <charset val="134"/>
      </rPr>
      <t xml:space="preserve">Hanger staff area, ukuran 7000 x 3500 mm </t>
    </r>
    <r>
      <rPr>
        <b/>
        <sz val="10"/>
        <rFont val="Arial"/>
        <charset val="134"/>
      </rPr>
      <t>(J23)</t>
    </r>
  </si>
  <si>
    <t>• frame hollow steel 20x20mm, Hollow steel 10x10mm fin. Duco paint col. Yellow</t>
  </si>
  <si>
    <r>
      <rPr>
        <sz val="10"/>
        <rFont val="Arial"/>
        <charset val="134"/>
      </rPr>
      <t xml:space="preserve">Backdrop locker back office, 5250 x 3000 mm </t>
    </r>
    <r>
      <rPr>
        <b/>
        <sz val="10"/>
        <rFont val="Arial"/>
        <charset val="134"/>
      </rPr>
      <t>(J24)</t>
    </r>
  </si>
  <si>
    <t>• exclude locker</t>
  </si>
  <si>
    <r>
      <rPr>
        <sz val="10"/>
        <rFont val="Arial"/>
        <charset val="134"/>
      </rPr>
      <t>Backdrop Branch Head room , ukuran 3400 x 3000 mm</t>
    </r>
    <r>
      <rPr>
        <b/>
        <sz val="10"/>
        <rFont val="Arial"/>
        <charset val="134"/>
      </rPr>
      <t xml:space="preserve"> (J25)</t>
    </r>
  </si>
  <si>
    <r>
      <rPr>
        <sz val="10"/>
        <rFont val="Arial"/>
        <charset val="134"/>
      </rPr>
      <t>Backdrop bar café, ukuran 4500 x 3800 mm</t>
    </r>
    <r>
      <rPr>
        <b/>
        <sz val="10"/>
        <rFont val="Arial"/>
        <charset val="134"/>
      </rPr>
      <t xml:space="preserve"> (J26)</t>
    </r>
  </si>
  <si>
    <t>size. 4500 x 3800 mm - check on site</t>
  </si>
  <si>
    <t xml:space="preserve">• header : Plywood 12mm fin. Duco paint col. Black. Channel letter : cutting laser acrylic </t>
  </si>
  <si>
    <t xml:space="preserve">  milky white 3mm (detail by FA)</t>
  </si>
  <si>
    <t>• frame &amp; Shelve : steel hollow 20 x 20 mm fin. Duco paint col. Black.</t>
  </si>
  <si>
    <t xml:space="preserve">• wood box &amp; shelve : plywood 12mm fin Laminate (LM-2). + Nat 3 mm fin. duco </t>
  </si>
  <si>
    <t xml:space="preserve">  col. match to laminate.</t>
  </si>
  <si>
    <t>• cabinet : plywood 18 mm fin. Laminate tipe 2 (LM-2) + Nat 3 mm fin. duco col. match to laminate.</t>
  </si>
  <si>
    <r>
      <rPr>
        <sz val="10"/>
        <rFont val="Arial"/>
        <charset val="134"/>
      </rPr>
      <t xml:space="preserve">Header bar café, ukuran 7700 x 600 x 800 mm </t>
    </r>
    <r>
      <rPr>
        <b/>
        <sz val="10"/>
        <rFont val="Arial"/>
        <charset val="134"/>
      </rPr>
      <t>(J27)</t>
    </r>
  </si>
  <si>
    <t>size. 7700 x 600 x 800 mm - check on site</t>
  </si>
  <si>
    <t xml:space="preserve">• frame &amp; hanger : steel hollow 20 x 40 mm fin. Duco paint col. White + steel structure to slab.  </t>
  </si>
  <si>
    <t>• wire mesh : fin. Duco paint col. White.</t>
  </si>
  <si>
    <t>Total Pekerjaan Backdrop …</t>
  </si>
  <si>
    <t>PEKERJAAN PELAPIS DINDING</t>
  </si>
  <si>
    <t>Pelapis dinding laminate tipe  Slg 8508 French Walnut ex. Smartlam (LM-2)</t>
  </si>
  <si>
    <r>
      <rPr>
        <sz val="12"/>
        <rFont val="Tahoma"/>
        <charset val="134"/>
      </rPr>
      <t>m</t>
    </r>
    <r>
      <rPr>
        <vertAlign val="superscript"/>
        <sz val="12"/>
        <rFont val="Tahoma"/>
        <charset val="134"/>
      </rPr>
      <t>2</t>
    </r>
  </si>
  <si>
    <t xml:space="preserve">dengan nat 3 mm fin. duco col. match to laminate </t>
  </si>
  <si>
    <t>Pelapis dinding laminate tipe  Sls 370 Bluish Grey ex. Smartlam (LM-3)</t>
  </si>
  <si>
    <t>Decorative brick col. White ex. LOKAL (BR-1)</t>
  </si>
  <si>
    <t>Roll blind tipe SP.2600-1 White + white ex. Sharp point (BL)</t>
  </si>
  <si>
    <t>Total Pekerjaan Pelapis Dinding …</t>
  </si>
  <si>
    <t>MINGGU KE -3</t>
  </si>
  <si>
    <t>PERIODE  : 19- 27 April 2026</t>
  </si>
  <si>
    <t>Batam ,27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</si>
</sst>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0">
    <numFmt numFmtId="5" formatCode="&quot;Rp&quot;#,##0;\-&quot;Rp&quot;#,##0"/>
    <numFmt numFmtId="6" formatCode="&quot;Rp&quot;#,##0;[Red]\-&quot;Rp&quot;#,##0"/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_);_(@_)"/>
    <numFmt numFmtId="166" formatCode="#."/>
    <numFmt numFmtId="167" formatCode="General_)"/>
    <numFmt numFmtId="168" formatCode="#,##0.00\ &quot;Pts&quot;;[Red]\-#,##0.00\ &quot;Pts&quot;"/>
    <numFmt numFmtId="169" formatCode="_-* #,##0\ _P_t_s_-;\-* #,##0\ _P_t_s_-;_-* &quot;-&quot;\ _P_t_s_-;_-@_-"/>
    <numFmt numFmtId="170" formatCode="_-* #,##0\ &quot;Pts&quot;_-;\-* #,##0\ &quot;Pts&quot;_-;_-* &quot;-&quot;\ &quot;Pts&quot;_-;_-@_-"/>
    <numFmt numFmtId="171" formatCode="_-* #,##0.00\ &quot;Pts&quot;_-;\-* #,##0.00\ &quot;Pts&quot;_-;_-* &quot;-&quot;??\ &quot;Pts&quot;_-;_-@_-"/>
    <numFmt numFmtId="172" formatCode="#,##0;\-#,##0;\-"/>
    <numFmt numFmtId="173" formatCode="_(* #,##0.00000_);_(* \(#,##0.00000\);_(* &quot;-&quot;??_);_(@_)"/>
    <numFmt numFmtId="174" formatCode="#,##0\ ;&quot; (&quot;#,##0\);&quot; - &quot;;@\ "/>
    <numFmt numFmtId="175" formatCode="0;\(0\)"/>
    <numFmt numFmtId="176" formatCode="_(* #,##0_);_(* \(#,##0\);_(* \-_);_(@_)"/>
    <numFmt numFmtId="177" formatCode="_(* #,##0.00_);_(* \(#,##0.00\);_(* \-??_);_(@_)"/>
    <numFmt numFmtId="178" formatCode="#,##0\ ;&quot; (&quot;#,##0\);&quot; -&quot;#\ ;@\ "/>
    <numFmt numFmtId="179" formatCode="#,##0.00\ ;&quot; (&quot;#,##0.00\);&quot; -&quot;#\ ;@\ "/>
    <numFmt numFmtId="180" formatCode="0.0%;\(0.0%\)"/>
    <numFmt numFmtId="181" formatCode="&quot;Rp&quot;#,##0_);\(&quot;Rp&quot;#,##0\)"/>
    <numFmt numFmtId="182" formatCode="_(&quot;$&quot;* #,##0.00_);_(&quot;$&quot;* \(#,##0.00\);_(&quot;$&quot;* &quot;-&quot;??_);_(@_)"/>
    <numFmt numFmtId="183" formatCode="#,##0.0_ ;\-#,##0.0\ "/>
    <numFmt numFmtId="184" formatCode="#,##0\ ;[Red]\(#,##0\);&quot;&quot;;@"/>
    <numFmt numFmtId="185" formatCode="#,##0_);[Red]\(#,##0\);;@"/>
    <numFmt numFmtId="186" formatCode="_([$€-2]* #,##0.00_);_([$€-2]* \(#,##0.00\);_([$€-2]* &quot;-&quot;??_)"/>
    <numFmt numFmtId="187" formatCode="General\ ;[Red]\(General\)"/>
    <numFmt numFmtId="188" formatCode="#,##0.00\ ;[Red]\(#,##0.00\)"/>
    <numFmt numFmtId="189" formatCode="#,##0.00\ _$;\-#,##0.00\ _$"/>
    <numFmt numFmtId="190" formatCode="&quot;$&quot;#,##0_);[Red]\(&quot;$&quot;#,##0\)"/>
    <numFmt numFmtId="191" formatCode="&quot;$&quot;#,##0.00_);[Red]\(&quot;$&quot;#,##0.00\)"/>
    <numFmt numFmtId="192" formatCode="0.00_)"/>
    <numFmt numFmtId="193" formatCode="&quot;&quot;;&quot;&quot;;&quot;&quot;;&quot;&quot;"/>
    <numFmt numFmtId="194" formatCode="&quot;Rp. &quot;#,##0_);[Red]\(&quot;Rp. &quot;#,##0\)"/>
    <numFmt numFmtId="195" formatCode="0.0%"/>
    <numFmt numFmtId="196" formatCode="_(* #,##0.00_);_(* \(#,##0.00\);_(* &quot;-&quot;_);_(@_)"/>
    <numFmt numFmtId="197" formatCode="_(* #,##0_);_(* \(#,##0\);_(* &quot;-&quot;??_);_(@_)"/>
    <numFmt numFmtId="198" formatCode="_-* #,##0_-;\-* #,##0_-;_-* &quot;-&quot;??_-;_-@_-"/>
    <numFmt numFmtId="199" formatCode="_-* #,##0.000_-;\-* #,##0.000_-;_-* &quot;-&quot;??_-;_-@_-"/>
    <numFmt numFmtId="200" formatCode="#,##0.0"/>
    <numFmt numFmtId="201" formatCode="0.000%"/>
    <numFmt numFmtId="202" formatCode="#,##0;[Red]#,##0"/>
    <numFmt numFmtId="203" formatCode="_([$Rp-421]* #,##0_);_([$Rp-421]* \(#,##0\);_([$Rp-421]* &quot;-&quot;??_);_(@_)"/>
    <numFmt numFmtId="204" formatCode="_([$Rp-421]* #,##0.00_);_([$Rp-421]* \(#,##0.00\);_([$Rp-421]* &quot;-&quot;??_);_(@_)"/>
    <numFmt numFmtId="205" formatCode="_-[$Rp-421]* #,##0.00_-;\-[$Rp-421]* #,##0.00_-;_-[$Rp-421]* &quot;-&quot;??_-;_-@_-"/>
    <numFmt numFmtId="206" formatCode="_-* #,##0.0000_-;\-* #,##0.0000_-;_-* &quot;-&quot;??_-;_-@_-"/>
    <numFmt numFmtId="207" formatCode="0.0000"/>
    <numFmt numFmtId="208" formatCode="0.000"/>
    <numFmt numFmtId="209" formatCode="_(* #,##0.000_);_(* \(#,##0.000\);_(* &quot;-&quot;??_);_(@_)"/>
  </numFmts>
  <fonts count="142">
    <font>
      <sz val="11"/>
      <color theme="1"/>
      <name val="Calibri"/>
      <charset val="134"/>
      <scheme val="minor"/>
    </font>
    <font>
      <sz val="10"/>
      <name val="Tahoma"/>
      <charset val="134"/>
    </font>
    <font>
      <b/>
      <sz val="12"/>
      <name val="Tahoma"/>
      <charset val="134"/>
    </font>
    <font>
      <sz val="12"/>
      <name val="Tahoma"/>
      <charset val="134"/>
    </font>
    <font>
      <b/>
      <sz val="10"/>
      <name val="Tahoma"/>
      <charset val="134"/>
    </font>
    <font>
      <b/>
      <u/>
      <sz val="10"/>
      <name val="Tahoma"/>
      <charset val="134"/>
    </font>
    <font>
      <sz val="10"/>
      <name val="Arial"/>
      <charset val="134"/>
    </font>
    <font>
      <sz val="10"/>
      <name val="AvantGarde Bk BT"/>
      <charset val="134"/>
    </font>
    <font>
      <b/>
      <sz val="12"/>
      <name val="AvantGarde Bk BT"/>
      <charset val="134"/>
    </font>
    <font>
      <b/>
      <sz val="10"/>
      <name val="AvantGarde Bk BT"/>
      <charset val="1"/>
    </font>
    <font>
      <b/>
      <sz val="10"/>
      <name val="AvantGarde Bk BT"/>
      <charset val="134"/>
    </font>
    <font>
      <b/>
      <i/>
      <sz val="10"/>
      <name val="AvantGarde Bk BT"/>
      <charset val="134"/>
    </font>
    <font>
      <b/>
      <i/>
      <sz val="10"/>
      <name val="Arial"/>
      <charset val="134"/>
    </font>
    <font>
      <sz val="11"/>
      <color indexed="8"/>
      <name val="Calibri"/>
      <charset val="134"/>
    </font>
    <font>
      <b/>
      <sz val="11"/>
      <name val="Arial"/>
      <charset val="134"/>
    </font>
    <font>
      <b/>
      <sz val="11"/>
      <color indexed="8"/>
      <name val="Calibri"/>
      <charset val="134"/>
    </font>
    <font>
      <b/>
      <sz val="10"/>
      <name val="Arial"/>
      <charset val="134"/>
    </font>
    <font>
      <b/>
      <u/>
      <sz val="20"/>
      <name val="Calibri"/>
      <charset val="134"/>
    </font>
    <font>
      <b/>
      <sz val="14"/>
      <name val="Calibri"/>
      <charset val="134"/>
    </font>
    <font>
      <b/>
      <sz val="10"/>
      <name val="Calibri"/>
      <charset val="134"/>
    </font>
    <font>
      <b/>
      <sz val="11"/>
      <name val="Calibri"/>
      <charset val="134"/>
    </font>
    <font>
      <b/>
      <sz val="3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0"/>
      <color rgb="FF0000CC"/>
      <name val="Arial"/>
      <charset val="134"/>
    </font>
    <font>
      <sz val="10"/>
      <color theme="1"/>
      <name val="Arial"/>
      <charset val="134"/>
    </font>
    <font>
      <sz val="10"/>
      <name val="Arial Narrow"/>
      <charset val="134"/>
    </font>
    <font>
      <sz val="9"/>
      <name val="Arial"/>
      <charset val="134"/>
    </font>
    <font>
      <b/>
      <sz val="10"/>
      <name val="Arial Narrow"/>
      <charset val="134"/>
    </font>
    <font>
      <b/>
      <u/>
      <sz val="10"/>
      <name val="Arial Narrow"/>
      <charset val="134"/>
    </font>
    <font>
      <u/>
      <sz val="10"/>
      <name val="Arial Narrow"/>
      <charset val="134"/>
    </font>
    <font>
      <i/>
      <sz val="10"/>
      <name val="Arial Narrow"/>
      <charset val="134"/>
    </font>
    <font>
      <sz val="9"/>
      <color rgb="FF0000CC"/>
      <name val="Arial"/>
      <charset val="134"/>
    </font>
    <font>
      <b/>
      <sz val="9"/>
      <name val="Arial"/>
      <charset val="134"/>
    </font>
    <font>
      <b/>
      <sz val="11"/>
      <name val="Tahoma"/>
      <charset val="134"/>
    </font>
    <font>
      <u/>
      <sz val="9"/>
      <name val="Arial"/>
      <charset val="134"/>
    </font>
    <font>
      <sz val="11"/>
      <name val="Arial"/>
      <charset val="134"/>
    </font>
    <font>
      <b/>
      <sz val="9"/>
      <color rgb="FF0000CC"/>
      <name val="Arial"/>
      <charset val="134"/>
    </font>
    <font>
      <b/>
      <sz val="9"/>
      <name val="Tahoma"/>
      <charset val="134"/>
    </font>
    <font>
      <sz val="11"/>
      <name val="Tahoma"/>
      <charset val="134"/>
    </font>
    <font>
      <sz val="9"/>
      <name val="Lucida Sans Unicode"/>
      <charset val="134"/>
    </font>
    <font>
      <b/>
      <sz val="10"/>
      <color theme="1"/>
      <name val="Arial"/>
      <charset val="134"/>
    </font>
    <font>
      <sz val="10"/>
      <color theme="1"/>
      <name val="Symbol"/>
      <charset val="2"/>
    </font>
    <font>
      <sz val="10"/>
      <color theme="1"/>
      <name val="Arial"/>
      <charset val="2"/>
    </font>
    <font>
      <b/>
      <sz val="10"/>
      <color rgb="FF0000CC"/>
      <name val="Arial"/>
      <charset val="134"/>
    </font>
    <font>
      <b/>
      <sz val="9"/>
      <color theme="1"/>
      <name val="Arial"/>
      <charset val="134"/>
    </font>
    <font>
      <b/>
      <sz val="10"/>
      <color theme="1"/>
      <name val="Arial"/>
      <charset val="2"/>
    </font>
    <font>
      <b/>
      <sz val="10"/>
      <color theme="1"/>
      <name val="Symbol"/>
      <charset val="2"/>
    </font>
    <font>
      <sz val="9"/>
      <color theme="1"/>
      <name val="Arial"/>
      <charset val="134"/>
    </font>
    <font>
      <b/>
      <sz val="11"/>
      <color theme="1"/>
      <name val="Arial"/>
      <charset val="134"/>
    </font>
    <font>
      <b/>
      <sz val="12"/>
      <color theme="1"/>
      <name val="Arial"/>
      <charset val="134"/>
    </font>
    <font>
      <sz val="11"/>
      <color theme="1"/>
      <name val="Arial"/>
      <charset val="134"/>
    </font>
    <font>
      <sz val="11"/>
      <color rgb="FFFF0000"/>
      <name val="Tahoma"/>
      <charset val="134"/>
    </font>
    <font>
      <b/>
      <u/>
      <sz val="11"/>
      <name val="Tahoma"/>
      <charset val="134"/>
    </font>
    <font>
      <sz val="11"/>
      <color rgb="FFFF0000"/>
      <name val="Arial"/>
      <charset val="134"/>
    </font>
    <font>
      <b/>
      <sz val="11"/>
      <color rgb="FFFF0000"/>
      <name val="Tahoma"/>
      <charset val="134"/>
    </font>
    <font>
      <b/>
      <u/>
      <sz val="11"/>
      <name val="Arial"/>
      <charset val="134"/>
    </font>
    <font>
      <sz val="11"/>
      <color theme="1"/>
      <name val="Tahoma"/>
      <charset val="134"/>
    </font>
    <font>
      <sz val="11"/>
      <color rgb="FFFF0000"/>
      <name val="Calibri"/>
      <charset val="134"/>
      <scheme val="minor"/>
    </font>
    <font>
      <u/>
      <sz val="11"/>
      <name val="Arial"/>
      <charset val="134"/>
    </font>
    <font>
      <sz val="11"/>
      <name val="Calibri"/>
      <charset val="134"/>
      <scheme val="minor"/>
    </font>
    <font>
      <sz val="11"/>
      <name val="Arial "/>
      <charset val="134"/>
    </font>
    <font>
      <b/>
      <sz val="16"/>
      <name val="Calibri"/>
      <charset val="134"/>
      <scheme val="minor"/>
    </font>
    <font>
      <b/>
      <sz val="12"/>
      <name val="Calibri"/>
      <charset val="134"/>
      <scheme val="minor"/>
    </font>
    <font>
      <b/>
      <sz val="11"/>
      <color rgb="FFFF0000"/>
      <name val="Arial"/>
      <charset val="134"/>
    </font>
    <font>
      <sz val="11"/>
      <color rgb="FFFF0000"/>
      <name val="Arial "/>
      <charset val="134"/>
    </font>
    <font>
      <sz val="11"/>
      <name val="Trebuchet MS"/>
      <charset val="134"/>
    </font>
    <font>
      <sz val="11"/>
      <color rgb="FFFF0000"/>
      <name val="Trebuchet MS"/>
      <charset val="134"/>
    </font>
    <font>
      <sz val="12"/>
      <name val="Trebuchet MS"/>
      <charset val="134"/>
    </font>
    <font>
      <b/>
      <sz val="14"/>
      <name val="Calibri"/>
      <charset val="134"/>
      <scheme val="minor"/>
    </font>
    <font>
      <sz val="10"/>
      <name val="AvantGarde Md BT"/>
      <charset val="134"/>
    </font>
    <font>
      <b/>
      <sz val="10"/>
      <name val="AvantGarde Md BT"/>
      <charset val="134"/>
    </font>
    <font>
      <sz val="9"/>
      <name val="AvantGarde Md BT"/>
      <charset val="134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u/>
      <sz val="12"/>
      <color theme="1"/>
      <name val="Calibri"/>
      <charset val="134"/>
      <scheme val="minor"/>
    </font>
    <font>
      <b/>
      <sz val="11"/>
      <color theme="1"/>
      <name val="기아 Medium"/>
      <charset val="134"/>
    </font>
    <font>
      <b/>
      <sz val="11"/>
      <color theme="1"/>
      <name val="Calibri"/>
      <charset val="134"/>
    </font>
    <font>
      <b/>
      <sz val="18"/>
      <color theme="1"/>
      <name val="Calibri"/>
      <charset val="134"/>
    </font>
    <font>
      <b/>
      <sz val="14"/>
      <color theme="1"/>
      <name val="Calibri"/>
      <charset val="134"/>
      <scheme val="minor"/>
    </font>
    <font>
      <sz val="1"/>
      <color indexed="8"/>
      <name val="Courier"/>
      <charset val="134"/>
    </font>
    <font>
      <sz val="12"/>
      <name val="Helv"/>
      <charset val="134"/>
    </font>
    <font>
      <sz val="12"/>
      <color indexed="10"/>
      <name val="Helv"/>
      <charset val="134"/>
    </font>
    <font>
      <sz val="1"/>
      <color indexed="16"/>
      <name val="Courier"/>
      <charset val="134"/>
    </font>
    <font>
      <sz val="12"/>
      <name val="¹ÙÅÁÃ¼"/>
      <charset val="129"/>
    </font>
    <font>
      <sz val="11"/>
      <color indexed="9"/>
      <name val="Calibri"/>
      <charset val="134"/>
    </font>
    <font>
      <sz val="12"/>
      <name val="Times New Roman"/>
      <charset val="134"/>
    </font>
    <font>
      <sz val="8"/>
      <name val="Times New Roman"/>
      <charset val="134"/>
    </font>
    <font>
      <sz val="11"/>
      <color indexed="20"/>
      <name val="Calibri"/>
      <charset val="134"/>
    </font>
    <font>
      <sz val="12"/>
      <name val="Tms Rmn"/>
      <charset val="134"/>
    </font>
    <font>
      <b/>
      <sz val="12"/>
      <name val="Times New Roman"/>
      <charset val="134"/>
    </font>
    <font>
      <b/>
      <sz val="10"/>
      <name val="Times New Roman"/>
      <charset val="134"/>
    </font>
    <font>
      <sz val="10"/>
      <color indexed="8"/>
      <name val="Arial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sz val="8"/>
      <name val="Tms Rmn"/>
      <charset val="134"/>
    </font>
    <font>
      <sz val="10"/>
      <name val="Times New Roman"/>
      <charset val="134"/>
    </font>
    <font>
      <sz val="10"/>
      <name val="MS Serif"/>
      <charset val="134"/>
    </font>
    <font>
      <b/>
      <u/>
      <sz val="11"/>
      <name val="Times New Roman"/>
      <charset val="134"/>
    </font>
    <font>
      <sz val="10"/>
      <name val="Tms Rmn"/>
      <charset val="134"/>
    </font>
    <font>
      <b/>
      <sz val="10"/>
      <color indexed="8"/>
      <name val="Arial"/>
      <charset val="134"/>
    </font>
    <font>
      <sz val="10"/>
      <color indexed="16"/>
      <name val="MS Serif"/>
      <charset val="134"/>
    </font>
    <font>
      <sz val="11"/>
      <name val="Helv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sz val="8"/>
      <name val="Arial"/>
      <charset val="134"/>
    </font>
    <font>
      <b/>
      <sz val="10"/>
      <name val="Century Gothic"/>
      <charset val="134"/>
    </font>
    <font>
      <b/>
      <sz val="12"/>
      <name val="Arial"/>
      <charset val="134"/>
    </font>
    <font>
      <b/>
      <sz val="15"/>
      <color indexed="62"/>
      <name val="Calibri"/>
      <charset val="134"/>
    </font>
    <font>
      <b/>
      <sz val="13"/>
      <color indexed="62"/>
      <name val="Calibri"/>
      <charset val="134"/>
    </font>
    <font>
      <b/>
      <sz val="11"/>
      <color indexed="62"/>
      <name val="Calibri"/>
      <charset val="134"/>
    </font>
    <font>
      <b/>
      <sz val="1"/>
      <color indexed="8"/>
      <name val="Courier"/>
      <charset val="134"/>
    </font>
    <font>
      <b/>
      <sz val="8"/>
      <name val="MS Sans Serif"/>
      <charset val="134"/>
    </font>
    <font>
      <u/>
      <sz val="8"/>
      <color indexed="12"/>
      <name val="Arial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0"/>
      <name val="MS Sans Serif"/>
      <charset val="134"/>
    </font>
    <font>
      <sz val="11"/>
      <color indexed="60"/>
      <name val="Calibri"/>
      <charset val="134"/>
    </font>
    <font>
      <b/>
      <i/>
      <sz val="16"/>
      <name val="Helv"/>
      <charset val="134"/>
    </font>
    <font>
      <b/>
      <sz val="11"/>
      <color indexed="63"/>
      <name val="Calibri"/>
      <charset val="134"/>
    </font>
    <font>
      <b/>
      <sz val="10"/>
      <color indexed="8"/>
      <name val="Univers"/>
      <charset val="134"/>
    </font>
    <font>
      <sz val="8"/>
      <name val="Wingdings"/>
      <charset val="2"/>
    </font>
    <font>
      <sz val="8"/>
      <name val="Helv"/>
      <charset val="134"/>
    </font>
    <font>
      <b/>
      <sz val="18"/>
      <color indexed="8"/>
      <name val="Cambria"/>
      <charset val="134"/>
    </font>
    <font>
      <sz val="8"/>
      <name val="MS Sans Serif"/>
      <charset val="134"/>
    </font>
    <font>
      <sz val="10"/>
      <name val="Helv"/>
      <charset val="204"/>
    </font>
    <font>
      <sz val="10"/>
      <name val="Helv"/>
      <charset val="134"/>
    </font>
    <font>
      <b/>
      <sz val="12"/>
      <color indexed="18"/>
      <name val="Times New Roman"/>
      <charset val="134"/>
    </font>
    <font>
      <b/>
      <sz val="8"/>
      <color indexed="8"/>
      <name val="Helv"/>
      <charset val="134"/>
    </font>
    <font>
      <sz val="10"/>
      <name val="Century Gothic"/>
      <charset val="134"/>
    </font>
    <font>
      <b/>
      <sz val="18"/>
      <color indexed="62"/>
      <name val="Cambria"/>
      <charset val="134"/>
    </font>
    <font>
      <b/>
      <i/>
      <sz val="12"/>
      <name val="Times New Roman"/>
      <charset val="134"/>
    </font>
    <font>
      <u/>
      <sz val="10"/>
      <color indexed="14"/>
      <name val="Courier New"/>
      <charset val="134"/>
    </font>
    <font>
      <sz val="11"/>
      <color indexed="10"/>
      <name val="Calibri"/>
      <charset val="134"/>
    </font>
    <font>
      <vertAlign val="superscript"/>
      <sz val="11"/>
      <name val="Arial"/>
      <charset val="134"/>
    </font>
    <font>
      <sz val="9"/>
      <name val="Times New Roman"/>
      <charset val="134"/>
    </font>
    <font>
      <b/>
      <sz val="11"/>
      <color rgb="FFFF0000"/>
      <name val="Trebuchet MS"/>
      <charset val="134"/>
    </font>
    <font>
      <strike/>
      <sz val="11"/>
      <color rgb="FFFF0000"/>
      <name val="Arial"/>
      <charset val="134"/>
    </font>
    <font>
      <sz val="12"/>
      <name val="Arial"/>
      <charset val="134"/>
    </font>
    <font>
      <vertAlign val="superscript"/>
      <sz val="11"/>
      <name val="Tahoma"/>
      <charset val="134"/>
    </font>
    <font>
      <vertAlign val="superscript"/>
      <sz val="12"/>
      <name val="Tahoma"/>
      <charset val="134"/>
    </font>
    <font>
      <sz val="11"/>
      <color theme="1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7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6FBEF"/>
        <bgColor indexed="64"/>
      </patternFill>
    </fill>
    <fill>
      <patternFill patternType="solid">
        <fgColor rgb="FFF4FAEC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lightUp">
        <fgColor indexed="9"/>
        <bgColor indexed="27"/>
      </patternFill>
    </fill>
    <fill>
      <patternFill patternType="lightUp">
        <fgColor indexed="9"/>
        <bgColor indexed="26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indexed="15"/>
        <bgColor indexed="64"/>
      </patternFill>
    </fill>
    <fill>
      <patternFill patternType="darkVertical"/>
    </fill>
    <fill>
      <patternFill patternType="gray125"/>
    </fill>
    <fill>
      <patternFill patternType="solid">
        <fgColor indexed="31"/>
        <bgColor indexed="42"/>
      </patternFill>
    </fill>
  </fills>
  <borders count="23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/>
      <bottom style="medium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indexed="8"/>
      </left>
      <right/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thin">
        <color indexed="8"/>
      </left>
      <right/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8"/>
      </left>
      <right style="thin">
        <color indexed="8"/>
      </right>
      <top style="hair">
        <color auto="1"/>
      </top>
      <bottom/>
      <diagonal/>
    </border>
    <border>
      <left/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/>
      <top style="double">
        <color auto="1"/>
      </top>
      <bottom style="double">
        <color auto="1"/>
      </bottom>
      <diagonal/>
    </border>
    <border>
      <left/>
      <right style="thin">
        <color indexed="8"/>
      </right>
      <top style="double">
        <color auto="1"/>
      </top>
      <bottom style="double">
        <color auto="1"/>
      </bottom>
      <diagonal/>
    </border>
    <border>
      <left style="thin">
        <color indexed="8"/>
      </left>
      <right style="thin">
        <color indexed="8"/>
      </right>
      <top style="double">
        <color auto="1"/>
      </top>
      <bottom style="double">
        <color auto="1"/>
      </bottom>
      <diagonal/>
    </border>
    <border>
      <left style="thin">
        <color indexed="8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indexed="8"/>
      </right>
      <top/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 style="double">
        <color auto="1"/>
      </left>
      <right style="thin">
        <color indexed="8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indexed="8"/>
      </bottom>
      <diagonal/>
    </border>
    <border>
      <left style="double">
        <color auto="1"/>
      </left>
      <right style="thin">
        <color indexed="8"/>
      </right>
      <top style="double">
        <color auto="1"/>
      </top>
      <bottom/>
      <diagonal/>
    </border>
    <border>
      <left style="thin">
        <color indexed="8"/>
      </left>
      <right/>
      <top style="double">
        <color auto="1"/>
      </top>
      <bottom/>
      <diagonal/>
    </border>
    <border>
      <left/>
      <right style="thin">
        <color indexed="8"/>
      </right>
      <top style="double">
        <color auto="1"/>
      </top>
      <bottom/>
      <diagonal/>
    </border>
    <border>
      <left style="thin">
        <color indexed="8"/>
      </left>
      <right style="thin">
        <color indexed="8"/>
      </right>
      <top style="double">
        <color auto="1"/>
      </top>
      <bottom/>
      <diagonal/>
    </border>
    <border>
      <left style="thin">
        <color indexed="8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thin">
        <color indexed="8"/>
      </right>
      <top/>
      <bottom style="double">
        <color auto="1"/>
      </bottom>
      <diagonal/>
    </border>
    <border>
      <left style="thin">
        <color indexed="8"/>
      </left>
      <right/>
      <top/>
      <bottom style="double">
        <color auto="1"/>
      </bottom>
      <diagonal/>
    </border>
    <border>
      <left/>
      <right style="thin">
        <color indexed="8"/>
      </right>
      <top/>
      <bottom style="double">
        <color auto="1"/>
      </bottom>
      <diagonal/>
    </border>
    <border>
      <left style="thin">
        <color indexed="8"/>
      </left>
      <right style="thin">
        <color indexed="8"/>
      </right>
      <top/>
      <bottom style="double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thin">
        <color indexed="8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indexed="8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8"/>
      </left>
      <right style="thin">
        <color auto="1"/>
      </right>
      <top style="hair">
        <color indexed="8"/>
      </top>
      <bottom style="hair">
        <color indexed="8"/>
      </bottom>
      <diagonal/>
    </border>
    <border>
      <left/>
      <right/>
      <top style="hair">
        <color auto="1"/>
      </top>
      <bottom/>
      <diagonal/>
    </border>
    <border>
      <left style="thin">
        <color indexed="8"/>
      </left>
      <right style="thin">
        <color auto="1"/>
      </right>
      <top style="hair">
        <color indexed="8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thin">
        <color indexed="8"/>
      </right>
      <top style="hair">
        <color auto="1"/>
      </top>
      <bottom style="hair">
        <color auto="1"/>
      </bottom>
      <diagonal/>
    </border>
    <border>
      <left/>
      <right style="thin">
        <color indexed="8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auto="1"/>
      </left>
      <right style="thin">
        <color indexed="8"/>
      </right>
      <top style="hair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indexed="8"/>
      </left>
      <right style="thin">
        <color auto="1"/>
      </right>
      <top style="hair">
        <color auto="1"/>
      </top>
      <bottom style="hair">
        <color indexed="8"/>
      </bottom>
      <diagonal/>
    </border>
    <border>
      <left/>
      <right style="thin">
        <color auto="1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auto="1"/>
      </right>
      <top style="hair">
        <color auto="1"/>
      </top>
      <bottom/>
      <diagonal/>
    </border>
    <border>
      <left style="thin">
        <color indexed="8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/>
      <bottom style="hair">
        <color auto="1"/>
      </bottom>
      <diagonal/>
    </border>
    <border>
      <left style="thin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/>
      <diagonal/>
    </border>
    <border>
      <left style="double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/>
      <right/>
      <top style="hair">
        <color auto="1"/>
      </top>
      <bottom style="double">
        <color auto="1"/>
      </bottom>
      <diagonal/>
    </border>
    <border>
      <left style="thin">
        <color auto="1"/>
      </left>
      <right/>
      <top style="hair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/>
      <right style="double">
        <color auto="1"/>
      </right>
      <top/>
      <bottom style="hair">
        <color auto="1"/>
      </bottom>
      <diagonal/>
    </border>
    <border>
      <left/>
      <right style="double">
        <color auto="1"/>
      </right>
      <top style="hair">
        <color auto="1"/>
      </top>
      <bottom style="hair">
        <color auto="1"/>
      </bottom>
      <diagonal/>
    </border>
    <border>
      <left/>
      <right style="double">
        <color auto="1"/>
      </right>
      <top style="hair">
        <color auto="1"/>
      </top>
      <bottom/>
      <diagonal/>
    </border>
    <border>
      <left style="thin">
        <color indexed="8"/>
      </left>
      <right/>
      <top/>
      <bottom style="hair">
        <color auto="1"/>
      </bottom>
      <diagonal/>
    </border>
    <border>
      <left style="double">
        <color auto="1"/>
      </left>
      <right/>
      <top style="hair">
        <color auto="1"/>
      </top>
      <bottom/>
      <diagonal/>
    </border>
    <border>
      <left style="thin">
        <color indexed="8"/>
      </left>
      <right/>
      <top style="hair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/>
      <top style="double">
        <color auto="1"/>
      </top>
      <bottom style="hair">
        <color auto="1"/>
      </bottom>
      <diagonal/>
    </border>
    <border>
      <left/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hair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/>
      <right style="thin">
        <color auto="1"/>
      </right>
      <top style="double">
        <color auto="1"/>
      </top>
      <bottom style="hair">
        <color auto="1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hair">
        <color auto="1"/>
      </bottom>
      <diagonal/>
    </border>
    <border>
      <left/>
      <right style="medium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hair">
        <color auto="1"/>
      </bottom>
      <diagonal/>
    </border>
    <border>
      <left/>
      <right style="medium">
        <color auto="1"/>
      </right>
      <top/>
      <bottom/>
      <diagonal/>
    </border>
    <border>
      <left style="double">
        <color auto="1"/>
      </left>
      <right/>
      <top style="hair">
        <color auto="1"/>
      </top>
      <bottom style="double">
        <color auto="1"/>
      </bottom>
      <diagonal/>
    </border>
    <border>
      <left/>
      <right style="thin">
        <color auto="1"/>
      </right>
      <top style="hair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indexed="8"/>
      </left>
      <right style="thin">
        <color auto="1"/>
      </right>
      <top/>
      <bottom/>
      <diagonal/>
    </border>
    <border>
      <left style="double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 style="medium">
        <color auto="1"/>
      </bottom>
      <diagonal/>
    </border>
    <border>
      <left style="thin">
        <color indexed="8"/>
      </left>
      <right style="double">
        <color indexed="8"/>
      </right>
      <top/>
      <bottom style="medium">
        <color auto="1"/>
      </bottom>
      <diagonal/>
    </border>
    <border>
      <left style="thin">
        <color indexed="8"/>
      </left>
      <right style="double">
        <color indexed="8"/>
      </right>
      <top style="medium">
        <color auto="1"/>
      </top>
      <bottom/>
      <diagonal/>
    </border>
    <border>
      <left style="double">
        <color indexed="8"/>
      </left>
      <right style="thin">
        <color indexed="8"/>
      </right>
      <top/>
      <bottom style="double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 style="double">
        <color indexed="8"/>
      </right>
      <top/>
      <bottom style="double">
        <color indexed="8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388">
    <xf numFmtId="0" fontId="0" fillId="0" borderId="0"/>
    <xf numFmtId="164" fontId="141" fillId="0" borderId="0" applyFont="0" applyFill="0" applyBorder="0" applyAlignment="0" applyProtection="0"/>
    <xf numFmtId="9" fontId="141" fillId="0" borderId="0" applyFont="0" applyFill="0" applyBorder="0" applyAlignment="0" applyProtection="0"/>
    <xf numFmtId="165" fontId="141" fillId="0" borderId="0" applyFont="0" applyFill="0" applyBorder="0" applyAlignment="0" applyProtection="0"/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166" fontId="80" fillId="0" borderId="0">
      <protection locked="0"/>
    </xf>
    <xf numFmtId="0" fontId="81" fillId="0" borderId="0"/>
    <xf numFmtId="43" fontId="6" fillId="0" borderId="0">
      <protection locked="0"/>
    </xf>
    <xf numFmtId="43" fontId="6" fillId="0" borderId="0">
      <protection locked="0"/>
    </xf>
    <xf numFmtId="43" fontId="6" fillId="0" borderId="0">
      <protection locked="0"/>
    </xf>
    <xf numFmtId="0" fontId="80" fillId="0" borderId="0">
      <protection locked="0"/>
    </xf>
    <xf numFmtId="0" fontId="82" fillId="0" borderId="0"/>
    <xf numFmtId="166" fontId="83" fillId="0" borderId="0">
      <protection locked="0"/>
    </xf>
    <xf numFmtId="43" fontId="6" fillId="0" borderId="0">
      <protection locked="0"/>
    </xf>
    <xf numFmtId="43" fontId="6" fillId="0" borderId="0">
      <protection locked="0"/>
    </xf>
    <xf numFmtId="43" fontId="6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167" fontId="6" fillId="0" borderId="0"/>
    <xf numFmtId="0" fontId="6" fillId="0" borderId="0"/>
    <xf numFmtId="9" fontId="84" fillId="0" borderId="0" applyFont="0" applyFill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4" borderId="0" applyNumberFormat="0" applyBorder="0" applyAlignment="0" applyProtection="0"/>
    <xf numFmtId="0" fontId="13" fillId="5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14" borderId="0" applyNumberFormat="0" applyBorder="0" applyAlignment="0" applyProtection="0"/>
    <xf numFmtId="0" fontId="85" fillId="21" borderId="0" applyNumberFormat="0" applyBorder="0" applyAlignment="0" applyProtection="0"/>
    <xf numFmtId="0" fontId="85" fillId="17" borderId="0" applyNumberFormat="0" applyBorder="0" applyAlignment="0" applyProtection="0"/>
    <xf numFmtId="0" fontId="85" fillId="18" borderId="0" applyNumberFormat="0" applyBorder="0" applyAlignment="0" applyProtection="0"/>
    <xf numFmtId="0" fontId="85" fillId="19" borderId="0" applyNumberFormat="0" applyBorder="0" applyAlignment="0" applyProtection="0"/>
    <xf numFmtId="0" fontId="85" fillId="21" borderId="0" applyNumberFormat="0" applyBorder="0" applyAlignment="0" applyProtection="0"/>
    <xf numFmtId="0" fontId="85" fillId="14" borderId="0" applyNumberFormat="0" applyBorder="0" applyAlignment="0" applyProtection="0"/>
    <xf numFmtId="0" fontId="85" fillId="21" borderId="0" applyNumberFormat="0" applyBorder="0" applyAlignment="0" applyProtection="0"/>
    <xf numFmtId="0" fontId="85" fillId="22" borderId="0" applyNumberFormat="0" applyBorder="0" applyAlignment="0" applyProtection="0"/>
    <xf numFmtId="0" fontId="85" fillId="23" borderId="0" applyNumberFormat="0" applyBorder="0" applyAlignment="0" applyProtection="0"/>
    <xf numFmtId="0" fontId="85" fillId="24" borderId="0" applyNumberFormat="0" applyBorder="0" applyAlignment="0" applyProtection="0"/>
    <xf numFmtId="0" fontId="85" fillId="21" borderId="0" applyNumberFormat="0" applyBorder="0" applyAlignment="0" applyProtection="0"/>
    <xf numFmtId="0" fontId="85" fillId="25" borderId="0" applyNumberFormat="0" applyBorder="0" applyAlignment="0" applyProtection="0"/>
    <xf numFmtId="168" fontId="86" fillId="0" borderId="0" applyFont="0" applyFill="0" applyBorder="0" applyAlignment="0" applyProtection="0"/>
    <xf numFmtId="169" fontId="86" fillId="0" borderId="0" applyFont="0" applyFill="0" applyBorder="0" applyAlignment="0" applyProtection="0"/>
    <xf numFmtId="0" fontId="87" fillId="0" borderId="0">
      <alignment horizontal="center" wrapText="1"/>
      <protection locked="0"/>
    </xf>
    <xf numFmtId="170" fontId="86" fillId="0" borderId="0" applyFont="0" applyFill="0" applyBorder="0" applyAlignment="0" applyProtection="0"/>
    <xf numFmtId="171" fontId="86" fillId="0" borderId="0" applyFont="0" applyFill="0" applyBorder="0" applyAlignment="0" applyProtection="0"/>
    <xf numFmtId="0" fontId="88" fillId="26" borderId="0" applyNumberFormat="0" applyBorder="0" applyAlignment="0" applyProtection="0"/>
    <xf numFmtId="0" fontId="89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1" fillId="0" borderId="0" applyNumberFormat="0" applyBorder="0">
      <alignment horizontal="center"/>
    </xf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84" fillId="0" borderId="0"/>
    <xf numFmtId="172" fontId="92" fillId="0" borderId="0" applyFill="0" applyBorder="0" applyAlignment="0"/>
    <xf numFmtId="173" fontId="6" fillId="0" borderId="0" applyFill="0" applyBorder="0" applyAlignment="0"/>
    <xf numFmtId="0" fontId="93" fillId="27" borderId="218" applyNumberFormat="0" applyAlignment="0" applyProtection="0"/>
    <xf numFmtId="0" fontId="94" fillId="28" borderId="219" applyNumberFormat="0" applyAlignment="0" applyProtection="0"/>
    <xf numFmtId="0" fontId="95" fillId="0" borderId="0"/>
    <xf numFmtId="37" fontId="89" fillId="0" borderId="0"/>
    <xf numFmtId="0" fontId="95" fillId="0" borderId="0"/>
    <xf numFmtId="37" fontId="89" fillId="0" borderId="0"/>
    <xf numFmtId="0" fontId="95" fillId="0" borderId="0"/>
    <xf numFmtId="0" fontId="81" fillId="0" borderId="0"/>
    <xf numFmtId="0" fontId="95" fillId="0" borderId="0"/>
    <xf numFmtId="0" fontId="81" fillId="0" borderId="0"/>
    <xf numFmtId="0" fontId="95" fillId="0" borderId="0"/>
    <xf numFmtId="0" fontId="81" fillId="0" borderId="0"/>
    <xf numFmtId="0" fontId="95" fillId="0" borderId="0"/>
    <xf numFmtId="0" fontId="81" fillId="0" borderId="0"/>
    <xf numFmtId="0" fontId="95" fillId="0" borderId="0"/>
    <xf numFmtId="0" fontId="81" fillId="0" borderId="0"/>
    <xf numFmtId="0" fontId="95" fillId="0" borderId="0"/>
    <xf numFmtId="0" fontId="81" fillId="0" borderId="0"/>
    <xf numFmtId="41" fontId="6" fillId="0" borderId="0" applyFont="0" applyFill="0" applyBorder="0" applyAlignment="0" applyProtection="0"/>
    <xf numFmtId="165" fontId="141" fillId="0" borderId="0" applyFont="0" applyFill="0" applyBorder="0" applyAlignment="0" applyProtection="0"/>
    <xf numFmtId="174" fontId="6" fillId="0" borderId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5" fontId="6" fillId="0" borderId="0" applyFill="0" applyBorder="0" applyAlignment="0" applyProtection="0"/>
    <xf numFmtId="176" fontId="6" fillId="0" borderId="0" applyFill="0" applyBorder="0" applyAlignment="0" applyProtection="0"/>
    <xf numFmtId="177" fontId="6" fillId="0" borderId="0" applyFill="0" applyBorder="0" applyAlignment="0" applyProtection="0"/>
    <xf numFmtId="176" fontId="6" fillId="0" borderId="0" applyFill="0" applyBorder="0" applyAlignment="0" applyProtection="0"/>
    <xf numFmtId="176" fontId="6" fillId="0" borderId="0" applyFill="0" applyBorder="0" applyAlignment="0" applyProtection="0"/>
    <xf numFmtId="41" fontId="6" fillId="0" borderId="0" applyFont="0" applyFill="0" applyBorder="0" applyAlignment="0" applyProtection="0"/>
    <xf numFmtId="176" fontId="6" fillId="0" borderId="0" applyFill="0" applyBorder="0" applyAlignment="0" applyProtection="0"/>
    <xf numFmtId="178" fontId="6" fillId="0" borderId="0" applyFill="0" applyBorder="0" applyAlignment="0" applyProtection="0"/>
    <xf numFmtId="165" fontId="141" fillId="0" borderId="0" applyFont="0" applyFill="0" applyBorder="0" applyAlignment="0" applyProtection="0"/>
    <xf numFmtId="165" fontId="141" fillId="0" borderId="0" applyFont="0" applyFill="0" applyBorder="0" applyAlignment="0" applyProtection="0"/>
    <xf numFmtId="174" fontId="6" fillId="0" borderId="0" applyFill="0" applyBorder="0" applyAlignment="0" applyProtection="0"/>
    <xf numFmtId="41" fontId="6" fillId="0" borderId="0"/>
    <xf numFmtId="179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7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9" fontId="6" fillId="0" borderId="0" applyFill="0" applyBorder="0" applyAlignment="0" applyProtection="0"/>
    <xf numFmtId="43" fontId="96" fillId="0" borderId="0" applyFont="0" applyFill="0" applyBorder="0" applyAlignment="0" applyProtection="0"/>
    <xf numFmtId="175" fontId="96" fillId="0" borderId="0" applyFill="0" applyBorder="0" applyAlignment="0" applyProtection="0"/>
    <xf numFmtId="43" fontId="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175" fontId="96" fillId="0" borderId="0" applyFill="0" applyBorder="0" applyAlignment="0" applyProtection="0"/>
    <xf numFmtId="43" fontId="6" fillId="0" borderId="0" applyFont="0" applyFill="0" applyBorder="0" applyAlignment="0" applyProtection="0"/>
    <xf numFmtId="177" fontId="6" fillId="0" borderId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9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9" fontId="6" fillId="0" borderId="0" applyFill="0" applyBorder="0" applyAlignment="0" applyProtection="0"/>
    <xf numFmtId="177" fontId="6" fillId="0" borderId="0" applyFill="0" applyBorder="0" applyAlignment="0" applyProtection="0"/>
    <xf numFmtId="164" fontId="6" fillId="0" borderId="0" applyFont="0" applyFill="0" applyBorder="0" applyAlignment="0" applyProtection="0"/>
    <xf numFmtId="180" fontId="6" fillId="0" borderId="0" applyFill="0" applyBorder="0" applyAlignment="0" applyProtection="0"/>
    <xf numFmtId="174" fontId="6" fillId="0" borderId="0" applyFill="0" applyBorder="0" applyAlignment="0" applyProtection="0"/>
    <xf numFmtId="181" fontId="6" fillId="0" borderId="0" applyFill="0" applyBorder="0" applyAlignment="0" applyProtection="0"/>
    <xf numFmtId="5" fontId="6" fillId="0" borderId="0" applyFill="0" applyBorder="0" applyAlignment="0" applyProtection="0"/>
    <xf numFmtId="174" fontId="6" fillId="0" borderId="0" applyFill="0" applyBorder="0" applyAlignment="0" applyProtection="0"/>
    <xf numFmtId="6" fontId="6" fillId="0" borderId="0" applyFill="0" applyBorder="0" applyAlignment="0" applyProtection="0"/>
    <xf numFmtId="6" fontId="6" fillId="0" borderId="0" applyFill="0" applyBorder="0" applyAlignment="0" applyProtection="0"/>
    <xf numFmtId="6" fontId="6" fillId="0" borderId="0" applyFill="0" applyBorder="0" applyAlignment="0" applyProtection="0"/>
    <xf numFmtId="6" fontId="6" fillId="0" borderId="0" applyFill="0" applyBorder="0" applyAlignment="0" applyProtection="0"/>
    <xf numFmtId="43" fontId="6" fillId="0" borderId="0" applyFont="0" applyFill="0" applyBorder="0" applyAlignment="0" applyProtection="0"/>
    <xf numFmtId="177" fontId="6" fillId="0" borderId="0" applyFill="0" applyBorder="0" applyAlignment="0" applyProtection="0"/>
    <xf numFmtId="174" fontId="6" fillId="0" borderId="0" applyFill="0" applyBorder="0" applyAlignment="0" applyProtection="0"/>
    <xf numFmtId="43" fontId="141" fillId="0" borderId="0" applyFont="0" applyFill="0" applyBorder="0" applyAlignment="0" applyProtection="0"/>
    <xf numFmtId="43" fontId="14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0" fontId="6" fillId="0" borderId="0">
      <protection locked="0"/>
    </xf>
    <xf numFmtId="180" fontId="6" fillId="0" borderId="0">
      <protection locked="0"/>
    </xf>
    <xf numFmtId="180" fontId="6" fillId="0" borderId="0">
      <protection locked="0"/>
    </xf>
    <xf numFmtId="180" fontId="6" fillId="0" borderId="0">
      <protection locked="0"/>
    </xf>
    <xf numFmtId="180" fontId="6" fillId="0" borderId="0">
      <protection locked="0"/>
    </xf>
    <xf numFmtId="0" fontId="97" fillId="0" borderId="0" applyNumberFormat="0" applyAlignment="0"/>
    <xf numFmtId="0" fontId="97" fillId="0" borderId="0" applyNumberFormat="0" applyAlignment="0">
      <alignment horizontal="left"/>
    </xf>
    <xf numFmtId="1" fontId="98" fillId="0" borderId="0" applyFill="0">
      <alignment horizontal="left" vertical="top"/>
      <protection locked="0"/>
    </xf>
    <xf numFmtId="182" fontId="6" fillId="0" borderId="0" applyFill="0" applyBorder="0" applyAlignment="0" applyProtection="0"/>
    <xf numFmtId="182" fontId="6" fillId="0" borderId="0" applyFont="0" applyFill="0" applyBorder="0" applyAlignment="0" applyProtection="0"/>
    <xf numFmtId="183" fontId="6" fillId="0" borderId="0">
      <protection locked="0"/>
    </xf>
    <xf numFmtId="183" fontId="6" fillId="0" borderId="0">
      <protection locked="0"/>
    </xf>
    <xf numFmtId="183" fontId="6" fillId="0" borderId="0">
      <protection locked="0"/>
    </xf>
    <xf numFmtId="183" fontId="6" fillId="0" borderId="0">
      <protection locked="0"/>
    </xf>
    <xf numFmtId="183" fontId="6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184" fontId="6" fillId="0" borderId="0" applyFill="0" applyBorder="0">
      <alignment horizontal="left" vertical="top" wrapText="1"/>
      <protection locked="0"/>
    </xf>
    <xf numFmtId="185" fontId="99" fillId="0" borderId="0" applyFill="0" applyBorder="0">
      <alignment horizontal="left" vertical="top" wrapText="1"/>
      <protection locked="0"/>
    </xf>
    <xf numFmtId="0" fontId="100" fillId="29" borderId="0" applyNumberFormat="0" applyBorder="0" applyAlignment="0" applyProtection="0"/>
    <xf numFmtId="0" fontId="100" fillId="30" borderId="0" applyNumberFormat="0" applyBorder="0" applyAlignment="0" applyProtection="0"/>
    <xf numFmtId="0" fontId="100" fillId="30" borderId="0" applyNumberFormat="0" applyBorder="0" applyAlignment="0" applyProtection="0"/>
    <xf numFmtId="0" fontId="101" fillId="0" borderId="0" applyNumberFormat="0" applyAlignment="0"/>
    <xf numFmtId="0" fontId="101" fillId="0" borderId="0" applyNumberFormat="0" applyAlignment="0">
      <alignment horizontal="left"/>
    </xf>
    <xf numFmtId="186" fontId="102" fillId="0" borderId="0" applyFont="0" applyFill="0" applyBorder="0" applyAlignment="0" applyProtection="0"/>
    <xf numFmtId="0" fontId="103" fillId="0" borderId="0" applyNumberFormat="0" applyFill="0" applyBorder="0" applyAlignment="0" applyProtection="0"/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175" fontId="6" fillId="0" borderId="0">
      <protection locked="0"/>
    </xf>
    <xf numFmtId="175" fontId="6" fillId="0" borderId="0">
      <protection locked="0"/>
    </xf>
    <xf numFmtId="175" fontId="6" fillId="0" borderId="0">
      <protection locked="0"/>
    </xf>
    <xf numFmtId="175" fontId="6" fillId="0" borderId="0">
      <protection locked="0"/>
    </xf>
    <xf numFmtId="175" fontId="6" fillId="0" borderId="0">
      <protection locked="0"/>
    </xf>
    <xf numFmtId="187" fontId="6" fillId="0" borderId="0">
      <alignment horizontal="left"/>
      <protection locked="0"/>
    </xf>
    <xf numFmtId="187" fontId="6" fillId="0" borderId="0">
      <alignment horizontal="left"/>
      <protection locked="0"/>
    </xf>
    <xf numFmtId="0" fontId="104" fillId="31" borderId="0" applyNumberFormat="0" applyBorder="0" applyAlignment="0" applyProtection="0"/>
    <xf numFmtId="0" fontId="105" fillId="32" borderId="0" applyNumberFormat="0" applyBorder="0" applyAlignment="0" applyProtection="0"/>
    <xf numFmtId="38" fontId="105" fillId="5" borderId="0" applyNumberFormat="0" applyBorder="0" applyAlignment="0" applyProtection="0"/>
    <xf numFmtId="38" fontId="105" fillId="5" borderId="0" applyNumberFormat="0" applyBorder="0" applyAlignment="0" applyProtection="0"/>
    <xf numFmtId="38" fontId="105" fillId="5" borderId="0" applyNumberFormat="0" applyBorder="0" applyAlignment="0" applyProtection="0"/>
    <xf numFmtId="38" fontId="105" fillId="5" borderId="0" applyNumberFormat="0" applyBorder="0" applyAlignment="0" applyProtection="0"/>
    <xf numFmtId="38" fontId="105" fillId="5" borderId="0" applyNumberFormat="0" applyBorder="0" applyAlignment="0" applyProtection="0"/>
    <xf numFmtId="0" fontId="105" fillId="5" borderId="0" applyNumberFormat="0" applyBorder="0" applyAlignment="0" applyProtection="0"/>
    <xf numFmtId="1" fontId="106" fillId="0" borderId="0">
      <alignment horizontal="left"/>
    </xf>
    <xf numFmtId="0" fontId="107" fillId="0" borderId="220" applyNumberFormat="0" applyAlignment="0" applyProtection="0"/>
    <xf numFmtId="0" fontId="107" fillId="0" borderId="221" applyNumberFormat="0" applyAlignment="0" applyProtection="0">
      <alignment horizontal="left" vertical="center"/>
    </xf>
    <xf numFmtId="0" fontId="107" fillId="0" borderId="222">
      <alignment horizontal="left" vertical="center"/>
    </xf>
    <xf numFmtId="0" fontId="107" fillId="0" borderId="59">
      <alignment horizontal="left" vertical="center"/>
    </xf>
    <xf numFmtId="0" fontId="108" fillId="0" borderId="223" applyNumberFormat="0" applyFill="0" applyAlignment="0" applyProtection="0"/>
    <xf numFmtId="0" fontId="109" fillId="0" borderId="224" applyNumberFormat="0" applyFill="0" applyAlignment="0" applyProtection="0"/>
    <xf numFmtId="0" fontId="110" fillId="0" borderId="225" applyNumberFormat="0" applyFill="0" applyAlignment="0" applyProtection="0"/>
    <xf numFmtId="0" fontId="110" fillId="0" borderId="0" applyNumberFormat="0" applyFill="0" applyBorder="0" applyAlignment="0" applyProtection="0"/>
    <xf numFmtId="166" fontId="111" fillId="0" borderId="0">
      <protection locked="0"/>
    </xf>
    <xf numFmtId="166" fontId="111" fillId="0" borderId="0">
      <protection locked="0"/>
    </xf>
    <xf numFmtId="0" fontId="112" fillId="0" borderId="226">
      <alignment horizontal="center"/>
    </xf>
    <xf numFmtId="0" fontId="112" fillId="0" borderId="0">
      <alignment horizontal="center"/>
    </xf>
    <xf numFmtId="0" fontId="113" fillId="0" borderId="0" applyNumberFormat="0" applyFill="0" applyBorder="0" applyAlignment="0" applyProtection="0">
      <alignment vertical="top"/>
      <protection locked="0"/>
    </xf>
    <xf numFmtId="0" fontId="105" fillId="33" borderId="0" applyNumberFormat="0" applyBorder="0" applyAlignment="0" applyProtection="0"/>
    <xf numFmtId="10" fontId="105" fillId="15" borderId="57" applyNumberFormat="0" applyBorder="0" applyAlignment="0" applyProtection="0"/>
    <xf numFmtId="10" fontId="105" fillId="15" borderId="57" applyNumberFormat="0" applyBorder="0" applyAlignment="0" applyProtection="0"/>
    <xf numFmtId="10" fontId="105" fillId="15" borderId="57" applyNumberFormat="0" applyBorder="0" applyAlignment="0" applyProtection="0"/>
    <xf numFmtId="10" fontId="105" fillId="15" borderId="57" applyNumberFormat="0" applyBorder="0" applyAlignment="0" applyProtection="0"/>
    <xf numFmtId="10" fontId="105" fillId="15" borderId="57" applyNumberFormat="0" applyBorder="0" applyAlignment="0" applyProtection="0"/>
    <xf numFmtId="0" fontId="105" fillId="15" borderId="57" applyNumberFormat="0" applyBorder="0" applyAlignment="0" applyProtection="0"/>
    <xf numFmtId="0" fontId="114" fillId="14" borderId="218" applyNumberFormat="0" applyAlignment="0" applyProtection="0"/>
    <xf numFmtId="0" fontId="114" fillId="14" borderId="218" applyNumberFormat="0" applyAlignment="0" applyProtection="0"/>
    <xf numFmtId="0" fontId="114" fillId="14" borderId="218" applyNumberFormat="0" applyAlignment="0" applyProtection="0"/>
    <xf numFmtId="1" fontId="6" fillId="0" borderId="0">
      <alignment horizontal="left"/>
    </xf>
    <xf numFmtId="1" fontId="6" fillId="0" borderId="0">
      <alignment horizontal="left"/>
    </xf>
    <xf numFmtId="1" fontId="6" fillId="0" borderId="0">
      <alignment horizontal="left"/>
    </xf>
    <xf numFmtId="1" fontId="6" fillId="0" borderId="0">
      <alignment horizontal="left"/>
    </xf>
    <xf numFmtId="1" fontId="6" fillId="0" borderId="0" applyFill="0" applyBorder="0">
      <alignment horizontal="left"/>
    </xf>
    <xf numFmtId="1" fontId="6" fillId="0" borderId="0" applyFill="0" applyBorder="0">
      <alignment horizontal="left"/>
    </xf>
    <xf numFmtId="1" fontId="6" fillId="0" borderId="0" applyFill="0" applyBorder="0">
      <alignment horizontal="left"/>
    </xf>
    <xf numFmtId="1" fontId="6" fillId="0" borderId="0" applyFill="0" applyBorder="0">
      <alignment horizontal="left"/>
    </xf>
    <xf numFmtId="188" fontId="6" fillId="0" borderId="0">
      <protection locked="0"/>
    </xf>
    <xf numFmtId="188" fontId="6" fillId="0" borderId="0">
      <protection locked="0"/>
    </xf>
    <xf numFmtId="0" fontId="115" fillId="0" borderId="227" applyNumberFormat="0" applyFill="0" applyAlignment="0" applyProtection="0"/>
    <xf numFmtId="1" fontId="6" fillId="0" borderId="0" applyFill="0" applyBorder="0">
      <alignment horizontal="left"/>
    </xf>
    <xf numFmtId="0" fontId="27" fillId="0" borderId="8">
      <alignment horizontal="center"/>
    </xf>
    <xf numFmtId="189" fontId="102" fillId="0" borderId="0"/>
    <xf numFmtId="0" fontId="27" fillId="0" borderId="8">
      <alignment horizontal="center"/>
    </xf>
    <xf numFmtId="0" fontId="27" fillId="0" borderId="8">
      <alignment horizontal="center"/>
    </xf>
    <xf numFmtId="1" fontId="6" fillId="0" borderId="0" applyFill="0" applyBorder="0">
      <alignment horizontal="left"/>
    </xf>
    <xf numFmtId="1" fontId="6" fillId="0" borderId="0" applyFill="0" applyBorder="0">
      <alignment horizontal="left"/>
    </xf>
    <xf numFmtId="0" fontId="27" fillId="0" borderId="40">
      <alignment horizontal="center"/>
    </xf>
    <xf numFmtId="0" fontId="27" fillId="0" borderId="40">
      <alignment horizontal="center"/>
    </xf>
    <xf numFmtId="0" fontId="27" fillId="0" borderId="40">
      <alignment horizontal="center"/>
    </xf>
    <xf numFmtId="0" fontId="27" fillId="0" borderId="40">
      <alignment horizontal="center"/>
    </xf>
    <xf numFmtId="0" fontId="27" fillId="0" borderId="8">
      <alignment horizontal="center"/>
    </xf>
    <xf numFmtId="1" fontId="6" fillId="0" borderId="0" applyFill="0" applyBorder="0">
      <alignment horizontal="left"/>
    </xf>
    <xf numFmtId="1" fontId="6" fillId="0" borderId="0" applyFill="0" applyBorder="0">
      <alignment horizontal="left"/>
    </xf>
    <xf numFmtId="184" fontId="33" fillId="0" borderId="0">
      <alignment horizontal="left" vertical="top"/>
      <protection locked="0"/>
    </xf>
    <xf numFmtId="184" fontId="6" fillId="0" borderId="0"/>
    <xf numFmtId="184" fontId="6" fillId="0" borderId="0"/>
    <xf numFmtId="38" fontId="116" fillId="0" borderId="0" applyFont="0" applyFill="0" applyBorder="0" applyAlignment="0" applyProtection="0"/>
    <xf numFmtId="40" fontId="116" fillId="0" borderId="0" applyFont="0" applyFill="0" applyBorder="0" applyAlignment="0" applyProtection="0"/>
    <xf numFmtId="1" fontId="6" fillId="0" borderId="0" applyFill="0" applyBorder="0">
      <alignment horizontal="left"/>
    </xf>
    <xf numFmtId="1" fontId="6" fillId="0" borderId="0" applyFill="0" applyBorder="0">
      <alignment horizontal="left"/>
    </xf>
    <xf numFmtId="190" fontId="116" fillId="0" borderId="0" applyFont="0" applyFill="0" applyBorder="0" applyAlignment="0" applyProtection="0"/>
    <xf numFmtId="191" fontId="116" fillId="0" borderId="0" applyFont="0" applyFill="0" applyBorder="0" applyAlignment="0" applyProtection="0"/>
    <xf numFmtId="1" fontId="6" fillId="0" borderId="0">
      <alignment horizontal="left"/>
    </xf>
    <xf numFmtId="1" fontId="6" fillId="0" borderId="0">
      <alignment horizontal="left"/>
    </xf>
    <xf numFmtId="1" fontId="6" fillId="0" borderId="0">
      <alignment horizontal="left"/>
    </xf>
    <xf numFmtId="1" fontId="6" fillId="0" borderId="0">
      <alignment horizontal="left"/>
    </xf>
    <xf numFmtId="0" fontId="117" fillId="1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192" fontId="118" fillId="0" borderId="0"/>
    <xf numFmtId="0" fontId="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96" fillId="0" borderId="0" applyNumberFormat="0" applyAlignment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1" fillId="0" borderId="0"/>
    <xf numFmtId="0" fontId="6" fillId="0" borderId="0"/>
    <xf numFmtId="0" fontId="6" fillId="0" borderId="0"/>
    <xf numFmtId="0" fontId="6" fillId="0" borderId="0"/>
    <xf numFmtId="0" fontId="96" fillId="0" borderId="0"/>
    <xf numFmtId="0" fontId="6" fillId="0" borderId="0"/>
    <xf numFmtId="0" fontId="6" fillId="0" borderId="0"/>
    <xf numFmtId="0" fontId="96" fillId="0" borderId="0"/>
    <xf numFmtId="39" fontId="102" fillId="0" borderId="0"/>
    <xf numFmtId="0" fontId="6" fillId="0" borderId="0"/>
    <xf numFmtId="0" fontId="96" fillId="0" borderId="0"/>
    <xf numFmtId="0" fontId="96" fillId="0" borderId="0"/>
    <xf numFmtId="0" fontId="9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3" fillId="0" borderId="0"/>
    <xf numFmtId="0" fontId="6" fillId="0" borderId="0"/>
    <xf numFmtId="0" fontId="141" fillId="0" borderId="0"/>
    <xf numFmtId="0" fontId="6" fillId="0" borderId="0"/>
    <xf numFmtId="0" fontId="14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6" fillId="0" borderId="0"/>
    <xf numFmtId="0" fontId="36" fillId="0" borderId="0"/>
    <xf numFmtId="0" fontId="36" fillId="0" borderId="0"/>
    <xf numFmtId="0" fontId="36" fillId="0" borderId="0"/>
    <xf numFmtId="0" fontId="6" fillId="15" borderId="228" applyNumberFormat="0" applyFont="0" applyAlignment="0" applyProtection="0"/>
    <xf numFmtId="193" fontId="6" fillId="0" borderId="0">
      <alignment horizontal="right"/>
      <protection locked="0"/>
    </xf>
    <xf numFmtId="187" fontId="6" fillId="0" borderId="0">
      <protection locked="0"/>
    </xf>
    <xf numFmtId="187" fontId="6" fillId="0" borderId="0">
      <protection locked="0"/>
    </xf>
    <xf numFmtId="0" fontId="119" fillId="27" borderId="229" applyNumberFormat="0" applyAlignment="0" applyProtection="0"/>
    <xf numFmtId="14" fontId="87" fillId="0" borderId="0">
      <alignment horizontal="center" wrapText="1"/>
      <protection locked="0"/>
    </xf>
    <xf numFmtId="10" fontId="6" fillId="0" borderId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ill="0" applyBorder="0" applyAlignment="0" applyProtection="0"/>
    <xf numFmtId="9" fontId="6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16" fillId="0" borderId="230" applyNumberFormat="0" applyBorder="0"/>
    <xf numFmtId="39" fontId="120" fillId="34" borderId="231"/>
    <xf numFmtId="0" fontId="36" fillId="0" borderId="0"/>
    <xf numFmtId="0" fontId="6" fillId="0" borderId="0"/>
    <xf numFmtId="194" fontId="6" fillId="35" borderId="57">
      <alignment horizontal="center" vertical="center" shrinkToFit="1"/>
    </xf>
    <xf numFmtId="188" fontId="6" fillId="0" borderId="0">
      <protection locked="0"/>
    </xf>
    <xf numFmtId="188" fontId="6" fillId="0" borderId="0">
      <protection locked="0"/>
    </xf>
    <xf numFmtId="188" fontId="6" fillId="0" borderId="0">
      <protection locked="0"/>
    </xf>
    <xf numFmtId="188" fontId="6" fillId="0" borderId="0">
      <protection locked="0"/>
    </xf>
    <xf numFmtId="0" fontId="121" fillId="36" borderId="0" applyNumberFormat="0" applyFont="0" applyBorder="0" applyAlignment="0">
      <alignment horizontal="center"/>
    </xf>
    <xf numFmtId="0" fontId="122" fillId="0" borderId="0" applyNumberFormat="0" applyFill="0" applyBorder="0" applyAlignment="0" applyProtection="0"/>
    <xf numFmtId="195" fontId="6" fillId="0" borderId="0" applyNumberFormat="0" applyFill="0" applyBorder="0" applyAlignment="0" applyProtection="0">
      <alignment horizontal="left"/>
    </xf>
    <xf numFmtId="0" fontId="36" fillId="0" borderId="0"/>
    <xf numFmtId="184" fontId="6" fillId="0" borderId="0">
      <alignment horizontal="left"/>
    </xf>
    <xf numFmtId="184" fontId="6" fillId="0" borderId="0">
      <alignment horizontal="left"/>
    </xf>
    <xf numFmtId="0" fontId="121" fillId="37" borderId="59" applyNumberFormat="0" applyFont="0" applyAlignment="0">
      <alignment horizontal="center"/>
    </xf>
    <xf numFmtId="0" fontId="123" fillId="0" borderId="0" applyNumberFormat="0" applyFill="0" applyBorder="0" applyAlignment="0" applyProtection="0"/>
    <xf numFmtId="0" fontId="124" fillId="0" borderId="0" applyNumberFormat="0" applyFill="0" applyBorder="0" applyAlignment="0">
      <alignment horizontal="center"/>
    </xf>
    <xf numFmtId="0" fontId="125" fillId="0" borderId="0"/>
    <xf numFmtId="0" fontId="126" fillId="0" borderId="0"/>
    <xf numFmtId="0" fontId="126" fillId="0" borderId="0"/>
    <xf numFmtId="0" fontId="127" fillId="0" borderId="0" applyNumberFormat="0" applyProtection="0">
      <alignment wrapText="1"/>
    </xf>
    <xf numFmtId="188" fontId="128" fillId="0" borderId="0" applyBorder="0">
      <alignment horizontal="right"/>
    </xf>
    <xf numFmtId="40" fontId="128" fillId="0" borderId="0" applyBorder="0">
      <alignment horizontal="right"/>
    </xf>
    <xf numFmtId="184" fontId="6" fillId="0" borderId="0">
      <protection locked="0"/>
    </xf>
    <xf numFmtId="185" fontId="99" fillId="0" borderId="0">
      <protection locked="0"/>
    </xf>
    <xf numFmtId="184" fontId="129" fillId="0" borderId="0" applyFill="0" applyProtection="0"/>
    <xf numFmtId="0" fontId="27" fillId="38" borderId="0" applyNumberFormat="0" applyAlignment="0"/>
    <xf numFmtId="0" fontId="6" fillId="0" borderId="0"/>
    <xf numFmtId="0" fontId="36" fillId="0" borderId="0"/>
    <xf numFmtId="0" fontId="130" fillId="0" borderId="0" applyNumberFormat="0" applyFill="0" applyBorder="0" applyAlignment="0" applyProtection="0"/>
    <xf numFmtId="0" fontId="131" fillId="0" borderId="232" applyNumberFormat="0" applyFill="0" applyProtection="0">
      <alignment horizontal="center"/>
    </xf>
    <xf numFmtId="0" fontId="15" fillId="0" borderId="233" applyNumberFormat="0" applyFill="0" applyAlignment="0" applyProtection="0"/>
    <xf numFmtId="184" fontId="106" fillId="0" borderId="0"/>
    <xf numFmtId="1" fontId="129" fillId="0" borderId="0" applyFill="0">
      <alignment horizontal="center"/>
    </xf>
    <xf numFmtId="184" fontId="6" fillId="0" borderId="0">
      <alignment horizontal="center"/>
      <protection locked="0"/>
    </xf>
    <xf numFmtId="185" fontId="99" fillId="0" borderId="0">
      <alignment horizontal="center"/>
      <protection locked="0"/>
    </xf>
    <xf numFmtId="0" fontId="132" fillId="0" borderId="0"/>
    <xf numFmtId="0" fontId="133" fillId="0" borderId="0" applyNumberFormat="0" applyFill="0" applyBorder="0" applyAlignment="0" applyProtection="0"/>
    <xf numFmtId="0" fontId="96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6" fillId="0" borderId="0"/>
  </cellStyleXfs>
  <cellXfs count="225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196" fontId="1" fillId="0" borderId="0" xfId="3" applyNumberFormat="1" applyFont="1" applyFill="1" applyAlignment="1">
      <alignment vertical="center"/>
    </xf>
    <xf numFmtId="197" fontId="1" fillId="0" borderId="0" xfId="1" applyNumberFormat="1" applyFont="1" applyFill="1" applyAlignment="1">
      <alignment horizontal="right" vertical="center"/>
    </xf>
    <xf numFmtId="4" fontId="2" fillId="0" borderId="0" xfId="0" applyNumberFormat="1" applyFont="1" applyAlignment="1" applyProtection="1">
      <alignment horizontal="left" vertical="center"/>
      <protection locked="0"/>
    </xf>
    <xf numFmtId="4" fontId="2" fillId="0" borderId="0" xfId="0" applyNumberFormat="1" applyFont="1" applyAlignment="1" applyProtection="1">
      <alignment horizontal="left" vertical="center" wrapText="1"/>
      <protection locked="0"/>
    </xf>
    <xf numFmtId="4" fontId="3" fillId="0" borderId="0" xfId="0" applyNumberFormat="1" applyFont="1" applyAlignment="1" applyProtection="1">
      <alignment horizontal="left" vertical="center" wrapText="1"/>
      <protection locked="0"/>
    </xf>
    <xf numFmtId="197" fontId="2" fillId="0" borderId="0" xfId="1" applyNumberFormat="1" applyFont="1" applyFill="1" applyBorder="1" applyAlignment="1" applyProtection="1">
      <alignment horizontal="right" vertical="center" wrapText="1"/>
      <protection locked="0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197" fontId="4" fillId="0" borderId="0" xfId="1" applyNumberFormat="1" applyFont="1" applyFill="1" applyBorder="1" applyAlignment="1">
      <alignment horizontal="right" wrapText="1"/>
    </xf>
    <xf numFmtId="0" fontId="4" fillId="0" borderId="0" xfId="0" applyFont="1" applyAlignment="1" applyProtection="1">
      <alignment horizontal="left"/>
      <protection locked="0"/>
    </xf>
    <xf numFmtId="0" fontId="4" fillId="0" borderId="0" xfId="0" applyFont="1" applyAlignment="1" applyProtection="1">
      <alignment horizontal="left" wrapText="1"/>
      <protection locked="0"/>
    </xf>
    <xf numFmtId="0" fontId="1" fillId="0" borderId="0" xfId="0" applyFont="1" applyAlignment="1" applyProtection="1">
      <alignment horizontal="left" wrapText="1"/>
      <protection locked="0"/>
    </xf>
    <xf numFmtId="197" fontId="4" fillId="0" borderId="0" xfId="1" applyNumberFormat="1" applyFont="1" applyFill="1" applyBorder="1" applyAlignment="1" applyProtection="1">
      <alignment horizontal="right" wrapText="1"/>
      <protection locked="0"/>
    </xf>
    <xf numFmtId="0" fontId="4" fillId="0" borderId="0" xfId="0" applyFont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locked="0"/>
    </xf>
    <xf numFmtId="196" fontId="1" fillId="0" borderId="0" xfId="3" applyNumberFormat="1" applyFont="1" applyFill="1" applyBorder="1" applyAlignment="1">
      <alignment horizontal="center" vertical="center"/>
    </xf>
    <xf numFmtId="197" fontId="4" fillId="0" borderId="0" xfId="1" applyNumberFormat="1" applyFont="1" applyFill="1" applyBorder="1" applyAlignment="1" applyProtection="1">
      <alignment horizontal="right"/>
      <protection locked="0"/>
    </xf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196" fontId="1" fillId="0" borderId="0" xfId="3" applyNumberFormat="1" applyFont="1" applyFill="1" applyBorder="1" applyAlignment="1">
      <alignment horizontal="center"/>
    </xf>
    <xf numFmtId="197" fontId="1" fillId="0" borderId="0" xfId="1" applyNumberFormat="1" applyFont="1" applyFill="1" applyBorder="1" applyAlignment="1">
      <alignment horizontal="right"/>
    </xf>
    <xf numFmtId="197" fontId="4" fillId="0" borderId="0" xfId="1" applyNumberFormat="1" applyFont="1" applyFill="1" applyBorder="1" applyAlignment="1">
      <alignment horizontal="right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96" fontId="1" fillId="0" borderId="5" xfId="3" applyNumberFormat="1" applyFont="1" applyFill="1" applyBorder="1" applyAlignment="1" applyProtection="1">
      <alignment horizontal="center" vertical="center"/>
    </xf>
    <xf numFmtId="196" fontId="4" fillId="0" borderId="5" xfId="3" applyNumberFormat="1" applyFont="1" applyFill="1" applyBorder="1" applyAlignment="1" applyProtection="1">
      <alignment vertical="center"/>
    </xf>
    <xf numFmtId="196" fontId="4" fillId="0" borderId="6" xfId="3" applyNumberFormat="1" applyFont="1" applyFill="1" applyBorder="1" applyAlignment="1" applyProtection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4" fontId="4" fillId="0" borderId="9" xfId="0" applyNumberFormat="1" applyFont="1" applyBorder="1" applyAlignment="1">
      <alignment horizontal="center" vertical="center" wrapText="1"/>
    </xf>
    <xf numFmtId="197" fontId="4" fillId="0" borderId="9" xfId="1" applyNumberFormat="1" applyFont="1" applyFill="1" applyBorder="1" applyAlignment="1" applyProtection="1">
      <alignment horizontal="center" vertical="center"/>
    </xf>
    <xf numFmtId="197" fontId="4" fillId="0" borderId="10" xfId="1" applyNumberFormat="1" applyFont="1" applyFill="1" applyBorder="1" applyAlignment="1" applyProtection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4" fontId="4" fillId="0" borderId="14" xfId="0" applyNumberFormat="1" applyFont="1" applyBorder="1" applyAlignment="1">
      <alignment horizontal="center" vertical="center" wrapText="1"/>
    </xf>
    <xf numFmtId="197" fontId="4" fillId="0" borderId="14" xfId="1" applyNumberFormat="1" applyFont="1" applyFill="1" applyBorder="1" applyAlignment="1">
      <alignment horizontal="center" vertical="center"/>
    </xf>
    <xf numFmtId="197" fontId="4" fillId="0" borderId="15" xfId="1" applyNumberFormat="1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justify" vertical="center" wrapText="1"/>
    </xf>
    <xf numFmtId="0" fontId="1" fillId="0" borderId="9" xfId="0" applyFont="1" applyBorder="1" applyAlignment="1">
      <alignment horizontal="center" vertical="center"/>
    </xf>
    <xf numFmtId="196" fontId="1" fillId="0" borderId="9" xfId="3" applyNumberFormat="1" applyFont="1" applyFill="1" applyBorder="1" applyAlignment="1" applyProtection="1">
      <alignment vertical="center"/>
    </xf>
    <xf numFmtId="197" fontId="1" fillId="0" borderId="9" xfId="1" applyNumberFormat="1" applyFont="1" applyFill="1" applyBorder="1" applyAlignment="1" applyProtection="1">
      <alignment horizontal="right" vertical="center"/>
    </xf>
    <xf numFmtId="197" fontId="1" fillId="0" borderId="10" xfId="1" applyNumberFormat="1" applyFont="1" applyFill="1" applyBorder="1" applyAlignment="1" applyProtection="1">
      <alignment horizontal="right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 wrapText="1"/>
    </xf>
    <xf numFmtId="196" fontId="1" fillId="0" borderId="9" xfId="3" applyNumberFormat="1" applyFont="1" applyFill="1" applyBorder="1" applyAlignment="1">
      <alignment vertical="center"/>
    </xf>
    <xf numFmtId="0" fontId="1" fillId="0" borderId="16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197" fontId="1" fillId="0" borderId="15" xfId="1" applyNumberFormat="1" applyFont="1" applyFill="1" applyBorder="1" applyAlignment="1" applyProtection="1">
      <alignment horizontal="right" vertical="center"/>
    </xf>
    <xf numFmtId="0" fontId="4" fillId="0" borderId="0" xfId="0" applyFont="1" applyAlignment="1">
      <alignment horizontal="right" vertical="center"/>
    </xf>
    <xf numFmtId="197" fontId="4" fillId="0" borderId="10" xfId="1" applyNumberFormat="1" applyFont="1" applyFill="1" applyBorder="1" applyAlignment="1" applyProtection="1">
      <alignment horizontal="right" vertical="center"/>
    </xf>
    <xf numFmtId="0" fontId="1" fillId="0" borderId="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vertical="center"/>
    </xf>
    <xf numFmtId="0" fontId="1" fillId="0" borderId="18" xfId="0" applyFont="1" applyBorder="1" applyAlignment="1">
      <alignment horizontal="right" vertical="center"/>
    </xf>
    <xf numFmtId="0" fontId="1" fillId="0" borderId="19" xfId="0" applyFont="1" applyBorder="1" applyAlignment="1">
      <alignment horizontal="center" vertical="center"/>
    </xf>
    <xf numFmtId="196" fontId="1" fillId="0" borderId="19" xfId="3" applyNumberFormat="1" applyFont="1" applyFill="1" applyBorder="1" applyAlignment="1" applyProtection="1">
      <alignment vertical="center"/>
    </xf>
    <xf numFmtId="197" fontId="1" fillId="0" borderId="19" xfId="1" applyNumberFormat="1" applyFont="1" applyFill="1" applyBorder="1" applyAlignment="1" applyProtection="1">
      <alignment horizontal="right" vertical="center"/>
    </xf>
    <xf numFmtId="197" fontId="1" fillId="0" borderId="20" xfId="1" applyNumberFormat="1" applyFont="1" applyFill="1" applyBorder="1" applyAlignment="1" applyProtection="1">
      <alignment horizontal="right" vertical="center"/>
    </xf>
    <xf numFmtId="0" fontId="1" fillId="0" borderId="21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196" fontId="1" fillId="0" borderId="5" xfId="3" applyNumberFormat="1" applyFont="1" applyFill="1" applyBorder="1" applyAlignment="1" applyProtection="1">
      <alignment vertical="center"/>
    </xf>
    <xf numFmtId="197" fontId="1" fillId="0" borderId="5" xfId="1" applyNumberFormat="1" applyFont="1" applyFill="1" applyBorder="1" applyAlignment="1" applyProtection="1">
      <alignment horizontal="right" vertical="center"/>
    </xf>
    <xf numFmtId="197" fontId="1" fillId="0" borderId="6" xfId="1" applyNumberFormat="1" applyFont="1" applyFill="1" applyBorder="1" applyAlignment="1" applyProtection="1">
      <alignment horizontal="right" vertical="center"/>
    </xf>
    <xf numFmtId="0" fontId="5" fillId="0" borderId="0" xfId="0" applyFont="1" applyAlignment="1">
      <alignment vertical="center"/>
    </xf>
    <xf numFmtId="0" fontId="4" fillId="0" borderId="23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6" fillId="0" borderId="0" xfId="0" applyFont="1" applyAlignment="1">
      <alignment horizontal="left"/>
    </xf>
    <xf numFmtId="164" fontId="1" fillId="0" borderId="9" xfId="1" applyFont="1" applyFill="1" applyBorder="1" applyAlignment="1">
      <alignment horizontal="right"/>
    </xf>
    <xf numFmtId="197" fontId="1" fillId="0" borderId="9" xfId="1" applyNumberFormat="1" applyFont="1" applyFill="1" applyBorder="1" applyAlignment="1">
      <alignment horizontal="right"/>
    </xf>
    <xf numFmtId="197" fontId="1" fillId="0" borderId="9" xfId="1" applyNumberFormat="1" applyFont="1" applyFill="1" applyBorder="1" applyAlignment="1" applyProtection="1">
      <alignment vertical="center"/>
    </xf>
    <xf numFmtId="0" fontId="6" fillId="0" borderId="0" xfId="0" applyFont="1"/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vertical="center"/>
    </xf>
    <xf numFmtId="0" fontId="4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196" fontId="1" fillId="0" borderId="26" xfId="3" applyNumberFormat="1" applyFont="1" applyFill="1" applyBorder="1" applyAlignment="1" applyProtection="1">
      <alignment vertical="center"/>
    </xf>
    <xf numFmtId="197" fontId="4" fillId="0" borderId="26" xfId="1" applyNumberFormat="1" applyFont="1" applyFill="1" applyBorder="1" applyAlignment="1" applyProtection="1">
      <alignment horizontal="right" vertical="center"/>
    </xf>
    <xf numFmtId="197" fontId="4" fillId="0" borderId="27" xfId="1" applyNumberFormat="1" applyFont="1" applyFill="1" applyBorder="1" applyAlignment="1" applyProtection="1">
      <alignment horizontal="right" vertical="center"/>
    </xf>
    <xf numFmtId="0" fontId="6" fillId="0" borderId="0" xfId="0" applyFont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0" fontId="1" fillId="0" borderId="0" xfId="0" applyFont="1"/>
    <xf numFmtId="2" fontId="1" fillId="0" borderId="9" xfId="1" applyNumberFormat="1" applyFont="1" applyFill="1" applyBorder="1" applyAlignment="1">
      <alignment vertical="center"/>
    </xf>
    <xf numFmtId="0" fontId="6" fillId="0" borderId="0" xfId="280"/>
    <xf numFmtId="0" fontId="7" fillId="0" borderId="0" xfId="320" applyFont="1" applyAlignment="1">
      <alignment horizontal="center" vertical="center"/>
    </xf>
    <xf numFmtId="0" fontId="7" fillId="0" borderId="0" xfId="320" applyFont="1" applyAlignment="1">
      <alignment wrapText="1"/>
    </xf>
    <xf numFmtId="0" fontId="7" fillId="0" borderId="0" xfId="320" applyFont="1"/>
    <xf numFmtId="0" fontId="8" fillId="0" borderId="0" xfId="320" applyFont="1"/>
    <xf numFmtId="0" fontId="8" fillId="0" borderId="0" xfId="321" applyFont="1" applyAlignment="1">
      <alignment horizontal="left" vertical="center"/>
    </xf>
    <xf numFmtId="0" fontId="6" fillId="0" borderId="0" xfId="280" applyAlignment="1">
      <alignment horizontal="center"/>
    </xf>
    <xf numFmtId="0" fontId="8" fillId="0" borderId="0" xfId="321" applyFont="1" applyAlignment="1">
      <alignment horizontal="left" vertical="top"/>
    </xf>
    <xf numFmtId="0" fontId="9" fillId="0" borderId="0" xfId="320" applyFont="1"/>
    <xf numFmtId="15" fontId="7" fillId="0" borderId="0" xfId="320" applyNumberFormat="1" applyFont="1" applyAlignment="1">
      <alignment horizontal="right"/>
    </xf>
    <xf numFmtId="0" fontId="10" fillId="0" borderId="28" xfId="320" applyFont="1" applyBorder="1" applyAlignment="1">
      <alignment horizontal="center" vertical="center"/>
    </xf>
    <xf numFmtId="0" fontId="10" fillId="0" borderId="29" xfId="320" applyFont="1" applyBorder="1" applyAlignment="1">
      <alignment horizontal="center" vertical="center"/>
    </xf>
    <xf numFmtId="0" fontId="10" fillId="0" borderId="30" xfId="320" applyFont="1" applyBorder="1" applyAlignment="1">
      <alignment horizontal="center" vertical="center"/>
    </xf>
    <xf numFmtId="0" fontId="11" fillId="0" borderId="31" xfId="320" applyFont="1" applyBorder="1"/>
    <xf numFmtId="0" fontId="11" fillId="0" borderId="32" xfId="320" applyFont="1" applyBorder="1"/>
    <xf numFmtId="0" fontId="7" fillId="0" borderId="32" xfId="320" applyFont="1" applyBorder="1"/>
    <xf numFmtId="0" fontId="7" fillId="0" borderId="33" xfId="320" applyFont="1" applyBorder="1"/>
    <xf numFmtId="0" fontId="7" fillId="0" borderId="34" xfId="320" applyFont="1" applyBorder="1"/>
    <xf numFmtId="0" fontId="7" fillId="0" borderId="35" xfId="320" applyFont="1" applyBorder="1"/>
    <xf numFmtId="0" fontId="7" fillId="0" borderId="36" xfId="320" applyFont="1" applyBorder="1"/>
    <xf numFmtId="0" fontId="11" fillId="0" borderId="34" xfId="321" applyFont="1" applyBorder="1"/>
    <xf numFmtId="0" fontId="11" fillId="0" borderId="35" xfId="321" applyFont="1" applyBorder="1"/>
    <xf numFmtId="0" fontId="7" fillId="0" borderId="35" xfId="321" applyFont="1" applyBorder="1"/>
    <xf numFmtId="0" fontId="7" fillId="0" borderId="36" xfId="321" applyFont="1" applyBorder="1"/>
    <xf numFmtId="0" fontId="7" fillId="0" borderId="34" xfId="321" applyFont="1" applyBorder="1"/>
    <xf numFmtId="0" fontId="7" fillId="0" borderId="37" xfId="320" applyFont="1" applyBorder="1"/>
    <xf numFmtId="0" fontId="7" fillId="0" borderId="38" xfId="320" applyFont="1" applyBorder="1"/>
    <xf numFmtId="0" fontId="7" fillId="0" borderId="39" xfId="320" applyFont="1" applyBorder="1"/>
    <xf numFmtId="0" fontId="7" fillId="0" borderId="34" xfId="321" applyFont="1" applyBorder="1" applyAlignment="1">
      <alignment vertical="center" wrapText="1"/>
    </xf>
    <xf numFmtId="0" fontId="7" fillId="0" borderId="35" xfId="321" applyFont="1" applyBorder="1" applyAlignment="1">
      <alignment vertical="center" wrapText="1"/>
    </xf>
    <xf numFmtId="0" fontId="7" fillId="0" borderId="36" xfId="321" applyFont="1" applyBorder="1" applyAlignment="1">
      <alignment wrapText="1"/>
    </xf>
    <xf numFmtId="0" fontId="7" fillId="0" borderId="34" xfId="321" applyFont="1" applyBorder="1" applyAlignment="1">
      <alignment wrapText="1"/>
    </xf>
    <xf numFmtId="0" fontId="7" fillId="0" borderId="35" xfId="321" applyFont="1" applyBorder="1" applyAlignment="1">
      <alignment wrapText="1"/>
    </xf>
    <xf numFmtId="0" fontId="11" fillId="0" borderId="34" xfId="320" applyFont="1" applyBorder="1"/>
    <xf numFmtId="0" fontId="11" fillId="0" borderId="35" xfId="320" applyFont="1" applyBorder="1"/>
    <xf numFmtId="0" fontId="6" fillId="0" borderId="35" xfId="320" applyBorder="1"/>
    <xf numFmtId="0" fontId="6" fillId="0" borderId="34" xfId="320" applyBorder="1"/>
    <xf numFmtId="0" fontId="6" fillId="0" borderId="9" xfId="320" applyBorder="1"/>
    <xf numFmtId="0" fontId="12" fillId="0" borderId="34" xfId="320" applyFont="1" applyBorder="1"/>
    <xf numFmtId="0" fontId="12" fillId="0" borderId="35" xfId="320" applyFont="1" applyBorder="1"/>
    <xf numFmtId="0" fontId="6" fillId="0" borderId="40" xfId="320" applyBorder="1"/>
    <xf numFmtId="0" fontId="6" fillId="0" borderId="36" xfId="320" applyBorder="1"/>
    <xf numFmtId="0" fontId="11" fillId="0" borderId="40" xfId="320" applyFont="1" applyBorder="1"/>
    <xf numFmtId="0" fontId="7" fillId="0" borderId="40" xfId="320" applyFont="1" applyBorder="1"/>
    <xf numFmtId="0" fontId="13" fillId="0" borderId="0" xfId="281" applyFont="1" applyAlignment="1">
      <alignment vertical="center"/>
    </xf>
    <xf numFmtId="0" fontId="13" fillId="0" borderId="0" xfId="281" applyFont="1" applyAlignment="1">
      <alignment horizontal="left" vertical="center"/>
    </xf>
    <xf numFmtId="0" fontId="13" fillId="0" borderId="0" xfId="281" applyFont="1"/>
    <xf numFmtId="0" fontId="14" fillId="0" borderId="0" xfId="281" applyFont="1" applyAlignment="1">
      <alignment vertical="center" wrapText="1"/>
    </xf>
    <xf numFmtId="0" fontId="14" fillId="0" borderId="0" xfId="281" applyFont="1" applyAlignment="1">
      <alignment vertical="center"/>
    </xf>
    <xf numFmtId="0" fontId="14" fillId="0" borderId="0" xfId="281" applyFont="1"/>
    <xf numFmtId="0" fontId="15" fillId="0" borderId="0" xfId="281" applyFont="1"/>
    <xf numFmtId="0" fontId="16" fillId="0" borderId="0" xfId="281" applyFont="1"/>
    <xf numFmtId="0" fontId="18" fillId="0" borderId="0" xfId="281" applyFont="1" applyAlignment="1">
      <alignment horizontal="center" vertical="center"/>
    </xf>
    <xf numFmtId="0" fontId="19" fillId="0" borderId="0" xfId="281" applyFont="1" applyAlignment="1">
      <alignment vertical="center"/>
    </xf>
    <xf numFmtId="0" fontId="13" fillId="0" borderId="0" xfId="281" applyFont="1" applyAlignment="1">
      <alignment horizontal="center" vertical="center"/>
    </xf>
    <xf numFmtId="0" fontId="15" fillId="0" borderId="0" xfId="281" applyFont="1" applyAlignment="1">
      <alignment horizontal="left" vertical="center"/>
    </xf>
    <xf numFmtId="2" fontId="13" fillId="0" borderId="0" xfId="281" applyNumberFormat="1" applyFont="1" applyAlignment="1">
      <alignment vertical="center"/>
    </xf>
    <xf numFmtId="15" fontId="19" fillId="0" borderId="0" xfId="281" applyNumberFormat="1" applyFont="1" applyAlignment="1">
      <alignment vertical="center"/>
    </xf>
    <xf numFmtId="2" fontId="0" fillId="2" borderId="0" xfId="0" applyNumberFormat="1" applyFill="1"/>
    <xf numFmtId="0" fontId="13" fillId="0" borderId="21" xfId="281" applyFont="1" applyBorder="1"/>
    <xf numFmtId="0" fontId="13" fillId="0" borderId="22" xfId="281" applyFont="1" applyBorder="1"/>
    <xf numFmtId="0" fontId="13" fillId="0" borderId="4" xfId="281" applyFont="1" applyBorder="1"/>
    <xf numFmtId="0" fontId="13" fillId="0" borderId="41" xfId="281" applyFont="1" applyBorder="1"/>
    <xf numFmtId="0" fontId="13" fillId="0" borderId="16" xfId="281" applyFont="1" applyBorder="1"/>
    <xf numFmtId="0" fontId="13" fillId="0" borderId="8" xfId="281" applyFont="1" applyBorder="1"/>
    <xf numFmtId="0" fontId="13" fillId="0" borderId="42" xfId="281" applyFont="1" applyBorder="1"/>
    <xf numFmtId="0" fontId="0" fillId="0" borderId="8" xfId="0" applyBorder="1"/>
    <xf numFmtId="0" fontId="13" fillId="0" borderId="43" xfId="281" applyFont="1" applyBorder="1" applyAlignment="1">
      <alignment vertical="center"/>
    </xf>
    <xf numFmtId="0" fontId="13" fillId="0" borderId="44" xfId="281" applyFont="1" applyBorder="1" applyAlignment="1">
      <alignment vertical="center"/>
    </xf>
    <xf numFmtId="0" fontId="13" fillId="0" borderId="45" xfId="281" applyFont="1" applyBorder="1" applyAlignment="1">
      <alignment vertical="center"/>
    </xf>
    <xf numFmtId="0" fontId="19" fillId="0" borderId="46" xfId="281" applyFont="1" applyBorder="1" applyAlignment="1">
      <alignment vertical="center"/>
    </xf>
    <xf numFmtId="0" fontId="13" fillId="0" borderId="47" xfId="281" applyFont="1" applyBorder="1"/>
    <xf numFmtId="0" fontId="13" fillId="0" borderId="47" xfId="281" applyFont="1" applyBorder="1" applyAlignment="1">
      <alignment horizontal="center" vertical="center"/>
    </xf>
    <xf numFmtId="0" fontId="0" fillId="0" borderId="48" xfId="0" applyBorder="1"/>
    <xf numFmtId="0" fontId="13" fillId="0" borderId="49" xfId="281" applyFont="1" applyBorder="1"/>
    <xf numFmtId="0" fontId="19" fillId="0" borderId="50" xfId="281" applyFont="1" applyBorder="1" applyAlignment="1">
      <alignment vertical="center"/>
    </xf>
    <xf numFmtId="0" fontId="0" fillId="0" borderId="18" xfId="0" applyBorder="1"/>
    <xf numFmtId="0" fontId="13" fillId="0" borderId="18" xfId="281" applyFont="1" applyBorder="1" applyAlignment="1">
      <alignment horizontal="center" vertical="center"/>
    </xf>
    <xf numFmtId="0" fontId="13" fillId="0" borderId="51" xfId="281" applyFont="1" applyBorder="1"/>
    <xf numFmtId="0" fontId="13" fillId="0" borderId="52" xfId="281" applyFont="1" applyBorder="1"/>
    <xf numFmtId="0" fontId="13" fillId="0" borderId="1" xfId="281" applyFont="1" applyBorder="1" applyAlignment="1">
      <alignment horizontal="left" vertical="center"/>
    </xf>
    <xf numFmtId="0" fontId="13" fillId="0" borderId="44" xfId="281" applyFont="1" applyBorder="1" applyAlignment="1">
      <alignment vertical="center" wrapText="1"/>
    </xf>
    <xf numFmtId="0" fontId="13" fillId="0" borderId="45" xfId="281" applyFont="1" applyBorder="1" applyAlignment="1">
      <alignment horizontal="left" vertical="center"/>
    </xf>
    <xf numFmtId="0" fontId="13" fillId="0" borderId="47" xfId="281" applyFont="1" applyBorder="1" applyAlignment="1">
      <alignment vertical="center"/>
    </xf>
    <xf numFmtId="0" fontId="19" fillId="0" borderId="54" xfId="281" applyFont="1" applyBorder="1" applyAlignment="1">
      <alignment vertical="center"/>
    </xf>
    <xf numFmtId="0" fontId="19" fillId="0" borderId="47" xfId="281" applyFont="1" applyBorder="1" applyAlignment="1">
      <alignment vertical="center"/>
    </xf>
    <xf numFmtId="0" fontId="13" fillId="0" borderId="18" xfId="281" applyFont="1" applyBorder="1"/>
    <xf numFmtId="0" fontId="13" fillId="0" borderId="18" xfId="281" applyFont="1" applyBorder="1" applyAlignment="1">
      <alignment vertical="center" wrapText="1"/>
    </xf>
    <xf numFmtId="0" fontId="13" fillId="0" borderId="55" xfId="281" applyFont="1" applyBorder="1" applyAlignment="1">
      <alignment vertical="center" wrapText="1"/>
    </xf>
    <xf numFmtId="0" fontId="13" fillId="0" borderId="8" xfId="281" applyFont="1" applyBorder="1" applyAlignment="1">
      <alignment vertical="center"/>
    </xf>
    <xf numFmtId="0" fontId="13" fillId="0" borderId="42" xfId="281" applyFont="1" applyBorder="1" applyAlignment="1">
      <alignment vertical="center"/>
    </xf>
    <xf numFmtId="0" fontId="13" fillId="0" borderId="48" xfId="281" applyFont="1" applyBorder="1" applyAlignment="1">
      <alignment horizontal="left" vertical="center"/>
    </xf>
    <xf numFmtId="0" fontId="19" fillId="0" borderId="18" xfId="281" applyFont="1" applyBorder="1" applyAlignment="1">
      <alignment vertical="center"/>
    </xf>
    <xf numFmtId="0" fontId="21" fillId="0" borderId="0" xfId="0" applyFont="1"/>
    <xf numFmtId="0" fontId="22" fillId="0" borderId="0" xfId="0" applyFont="1"/>
    <xf numFmtId="0" fontId="22" fillId="3" borderId="56" xfId="0" applyFont="1" applyFill="1" applyBorder="1" applyAlignment="1">
      <alignment horizontal="center"/>
    </xf>
    <xf numFmtId="0" fontId="22" fillId="3" borderId="9" xfId="0" applyFont="1" applyFill="1" applyBorder="1" applyAlignment="1">
      <alignment horizontal="center"/>
    </xf>
    <xf numFmtId="0" fontId="22" fillId="3" borderId="61" xfId="0" applyFont="1" applyFill="1" applyBorder="1" applyAlignment="1">
      <alignment horizontal="center"/>
    </xf>
    <xf numFmtId="0" fontId="22" fillId="3" borderId="57" xfId="0" applyFont="1" applyFill="1" applyBorder="1"/>
    <xf numFmtId="0" fontId="22" fillId="0" borderId="57" xfId="0" applyFont="1" applyBorder="1" applyAlignment="1">
      <alignment horizontal="center"/>
    </xf>
    <xf numFmtId="0" fontId="22" fillId="0" borderId="58" xfId="0" applyFont="1" applyBorder="1"/>
    <xf numFmtId="0" fontId="22" fillId="0" borderId="60" xfId="0" applyFont="1" applyBorder="1"/>
    <xf numFmtId="0" fontId="22" fillId="0" borderId="57" xfId="0" applyFont="1" applyBorder="1"/>
    <xf numFmtId="0" fontId="0" fillId="0" borderId="57" xfId="0" applyBorder="1"/>
    <xf numFmtId="0" fontId="0" fillId="0" borderId="57" xfId="0" applyBorder="1" applyAlignment="1">
      <alignment horizontal="center"/>
    </xf>
    <xf numFmtId="0" fontId="0" fillId="0" borderId="58" xfId="0" applyBorder="1"/>
    <xf numFmtId="0" fontId="0" fillId="0" borderId="60" xfId="0" applyBorder="1"/>
    <xf numFmtId="2" fontId="0" fillId="0" borderId="57" xfId="0" applyNumberFormat="1" applyBorder="1"/>
    <xf numFmtId="0" fontId="0" fillId="3" borderId="57" xfId="0" applyFill="1" applyBorder="1" applyAlignment="1">
      <alignment horizontal="center"/>
    </xf>
    <xf numFmtId="0" fontId="0" fillId="3" borderId="58" xfId="0" applyFill="1" applyBorder="1"/>
    <xf numFmtId="0" fontId="0" fillId="3" borderId="59" xfId="0" applyFill="1" applyBorder="1"/>
    <xf numFmtId="0" fontId="22" fillId="3" borderId="60" xfId="0" applyFont="1" applyFill="1" applyBorder="1" applyAlignment="1">
      <alignment horizontal="right"/>
    </xf>
    <xf numFmtId="2" fontId="0" fillId="3" borderId="57" xfId="0" applyNumberFormat="1" applyFill="1" applyBorder="1"/>
    <xf numFmtId="0" fontId="0" fillId="3" borderId="57" xfId="0" applyFill="1" applyBorder="1"/>
    <xf numFmtId="0" fontId="0" fillId="0" borderId="59" xfId="0" applyBorder="1"/>
    <xf numFmtId="0" fontId="22" fillId="0" borderId="60" xfId="0" applyFont="1" applyBorder="1" applyAlignment="1">
      <alignment horizontal="right"/>
    </xf>
    <xf numFmtId="2" fontId="0" fillId="2" borderId="57" xfId="0" applyNumberFormat="1" applyFill="1" applyBorder="1"/>
    <xf numFmtId="0" fontId="16" fillId="0" borderId="0" xfId="308" applyFont="1"/>
    <xf numFmtId="0" fontId="6" fillId="0" borderId="0" xfId="308"/>
    <xf numFmtId="0" fontId="6" fillId="0" borderId="0" xfId="308" applyAlignment="1">
      <alignment vertical="center"/>
    </xf>
    <xf numFmtId="0" fontId="24" fillId="0" borderId="0" xfId="308" applyFont="1"/>
    <xf numFmtId="0" fontId="25" fillId="0" borderId="0" xfId="308" applyFont="1"/>
    <xf numFmtId="0" fontId="26" fillId="0" borderId="0" xfId="319" applyFont="1" applyAlignment="1">
      <alignment horizontal="center"/>
    </xf>
    <xf numFmtId="0" fontId="26" fillId="0" borderId="0" xfId="319" applyFont="1"/>
    <xf numFmtId="174" fontId="26" fillId="0" borderId="0" xfId="101" applyFont="1" applyFill="1" applyBorder="1" applyAlignment="1" applyProtection="1"/>
    <xf numFmtId="178" fontId="26" fillId="0" borderId="0" xfId="103" applyNumberFormat="1" applyFont="1" applyFill="1" applyBorder="1" applyAlignment="1" applyProtection="1"/>
    <xf numFmtId="0" fontId="27" fillId="0" borderId="0" xfId="319" applyFont="1"/>
    <xf numFmtId="0" fontId="27" fillId="0" borderId="0" xfId="308" applyFont="1"/>
    <xf numFmtId="0" fontId="28" fillId="0" borderId="0" xfId="319" applyFont="1" applyAlignment="1">
      <alignment horizontal="left"/>
    </xf>
    <xf numFmtId="178" fontId="28" fillId="4" borderId="5" xfId="103" applyNumberFormat="1" applyFont="1" applyFill="1" applyBorder="1" applyAlignment="1" applyProtection="1">
      <alignment horizontal="center"/>
    </xf>
    <xf numFmtId="0" fontId="28" fillId="4" borderId="5" xfId="319" applyFont="1" applyFill="1" applyBorder="1" applyAlignment="1">
      <alignment horizontal="center"/>
    </xf>
    <xf numFmtId="198" fontId="4" fillId="4" borderId="62" xfId="110" applyNumberFormat="1" applyFont="1" applyFill="1" applyBorder="1" applyAlignment="1">
      <alignment vertical="center"/>
    </xf>
    <xf numFmtId="0" fontId="16" fillId="0" borderId="0" xfId="319" applyFont="1"/>
    <xf numFmtId="178" fontId="28" fillId="4" borderId="19" xfId="103" applyNumberFormat="1" applyFont="1" applyFill="1" applyBorder="1" applyAlignment="1" applyProtection="1">
      <alignment horizontal="center"/>
    </xf>
    <xf numFmtId="0" fontId="28" fillId="4" borderId="19" xfId="319" applyFont="1" applyFill="1" applyBorder="1" applyAlignment="1">
      <alignment horizontal="center"/>
    </xf>
    <xf numFmtId="198" fontId="4" fillId="4" borderId="64" xfId="110" applyNumberFormat="1" applyFont="1" applyFill="1" applyBorder="1" applyAlignment="1">
      <alignment horizontal="center" vertical="center"/>
    </xf>
    <xf numFmtId="9" fontId="4" fillId="4" borderId="64" xfId="2" applyFont="1" applyFill="1" applyBorder="1" applyAlignment="1">
      <alignment horizontal="center" vertical="center"/>
    </xf>
    <xf numFmtId="199" fontId="4" fillId="4" borderId="64" xfId="110" applyNumberFormat="1" applyFont="1" applyFill="1" applyBorder="1" applyAlignment="1">
      <alignment horizontal="center" vertical="center"/>
    </xf>
    <xf numFmtId="10" fontId="4" fillId="4" borderId="64" xfId="2" applyNumberFormat="1" applyFont="1" applyFill="1" applyBorder="1" applyAlignment="1">
      <alignment horizontal="center" vertical="center"/>
    </xf>
    <xf numFmtId="43" fontId="4" fillId="4" borderId="64" xfId="142" applyFont="1" applyFill="1" applyBorder="1" applyAlignment="1">
      <alignment horizontal="center" vertical="center"/>
    </xf>
    <xf numFmtId="0" fontId="26" fillId="0" borderId="23" xfId="319" applyFont="1" applyBorder="1" applyAlignment="1">
      <alignment horizontal="center"/>
    </xf>
    <xf numFmtId="0" fontId="26" fillId="0" borderId="66" xfId="319" applyFont="1" applyBorder="1"/>
    <xf numFmtId="0" fontId="26" fillId="0" borderId="40" xfId="319" applyFont="1" applyBorder="1"/>
    <xf numFmtId="174" fontId="26" fillId="0" borderId="35" xfId="101" applyFont="1" applyFill="1" applyBorder="1" applyAlignment="1" applyProtection="1">
      <alignment horizontal="center"/>
    </xf>
    <xf numFmtId="174" fontId="26" fillId="0" borderId="35" xfId="101" applyFont="1" applyFill="1" applyBorder="1" applyAlignment="1" applyProtection="1"/>
    <xf numFmtId="178" fontId="26" fillId="0" borderId="40" xfId="103" applyNumberFormat="1" applyFont="1" applyFill="1" applyBorder="1" applyAlignment="1" applyProtection="1"/>
    <xf numFmtId="0" fontId="26" fillId="0" borderId="67" xfId="319" applyFont="1" applyBorder="1"/>
    <xf numFmtId="174" fontId="26" fillId="0" borderId="67" xfId="101" applyFont="1" applyFill="1" applyBorder="1" applyAlignment="1" applyProtection="1"/>
    <xf numFmtId="0" fontId="6" fillId="0" borderId="67" xfId="319" applyBorder="1"/>
    <xf numFmtId="0" fontId="6" fillId="0" borderId="0" xfId="319"/>
    <xf numFmtId="0" fontId="28" fillId="0" borderId="68" xfId="319" applyFont="1" applyBorder="1" applyAlignment="1">
      <alignment horizontal="center"/>
    </xf>
    <xf numFmtId="0" fontId="29" fillId="0" borderId="68" xfId="319" applyFont="1" applyBorder="1"/>
    <xf numFmtId="0" fontId="26" fillId="0" borderId="69" xfId="319" applyFont="1" applyBorder="1"/>
    <xf numFmtId="174" fontId="26" fillId="0" borderId="70" xfId="101" applyFont="1" applyFill="1" applyBorder="1" applyAlignment="1" applyProtection="1">
      <alignment horizontal="center"/>
    </xf>
    <xf numFmtId="174" fontId="26" fillId="0" borderId="70" xfId="101" applyFont="1" applyFill="1" applyBorder="1" applyAlignment="1" applyProtection="1"/>
    <xf numFmtId="178" fontId="26" fillId="0" borderId="69" xfId="103" applyNumberFormat="1" applyFont="1" applyFill="1" applyBorder="1" applyAlignment="1" applyProtection="1"/>
    <xf numFmtId="0" fontId="26" fillId="0" borderId="70" xfId="319" applyFont="1" applyBorder="1"/>
    <xf numFmtId="0" fontId="6" fillId="0" borderId="70" xfId="319" applyBorder="1"/>
    <xf numFmtId="0" fontId="26" fillId="0" borderId="68" xfId="319" applyFont="1" applyBorder="1" applyAlignment="1">
      <alignment horizontal="center"/>
    </xf>
    <xf numFmtId="0" fontId="26" fillId="0" borderId="68" xfId="319" applyFont="1" applyBorder="1"/>
    <xf numFmtId="0" fontId="30" fillId="0" borderId="68" xfId="319" applyFont="1" applyBorder="1"/>
    <xf numFmtId="0" fontId="28" fillId="0" borderId="68" xfId="101" applyNumberFormat="1" applyFont="1" applyFill="1" applyBorder="1" applyAlignment="1" applyProtection="1">
      <alignment horizontal="left"/>
    </xf>
    <xf numFmtId="0" fontId="26" fillId="0" borderId="68" xfId="101" applyNumberFormat="1" applyFont="1" applyFill="1" applyBorder="1" applyAlignment="1" applyProtection="1">
      <alignment horizontal="left"/>
    </xf>
    <xf numFmtId="0" fontId="26" fillId="0" borderId="71" xfId="319" applyFont="1" applyBorder="1" applyAlignment="1">
      <alignment horizontal="center"/>
    </xf>
    <xf numFmtId="0" fontId="26" fillId="0" borderId="71" xfId="101" applyNumberFormat="1" applyFont="1" applyFill="1" applyBorder="1" applyAlignment="1" applyProtection="1">
      <alignment horizontal="right"/>
    </xf>
    <xf numFmtId="0" fontId="26" fillId="0" borderId="72" xfId="101" applyNumberFormat="1" applyFont="1" applyFill="1" applyBorder="1" applyAlignment="1" applyProtection="1">
      <alignment horizontal="left"/>
    </xf>
    <xf numFmtId="197" fontId="26" fillId="0" borderId="73" xfId="103" applyNumberFormat="1" applyFont="1" applyFill="1" applyBorder="1"/>
    <xf numFmtId="178" fontId="26" fillId="0" borderId="74" xfId="319" applyNumberFormat="1" applyFont="1" applyBorder="1" applyAlignment="1">
      <alignment horizontal="right"/>
    </xf>
    <xf numFmtId="10" fontId="6" fillId="0" borderId="75" xfId="2" applyNumberFormat="1" applyFont="1" applyFill="1" applyBorder="1" applyAlignment="1">
      <alignment horizontal="center" vertical="center"/>
    </xf>
    <xf numFmtId="0" fontId="26" fillId="0" borderId="68" xfId="101" applyNumberFormat="1" applyFont="1" applyFill="1" applyBorder="1" applyAlignment="1" applyProtection="1">
      <alignment horizontal="right"/>
    </xf>
    <xf numFmtId="0" fontId="26" fillId="0" borderId="0" xfId="308" applyFont="1" applyAlignment="1">
      <alignment horizontal="left"/>
    </xf>
    <xf numFmtId="0" fontId="26" fillId="0" borderId="72" xfId="319" applyFont="1" applyBorder="1" applyAlignment="1">
      <alignment horizontal="left"/>
    </xf>
    <xf numFmtId="178" fontId="26" fillId="0" borderId="70" xfId="319" applyNumberFormat="1" applyFont="1" applyBorder="1"/>
    <xf numFmtId="197" fontId="26" fillId="0" borderId="76" xfId="103" applyNumberFormat="1" applyFont="1" applyFill="1" applyBorder="1"/>
    <xf numFmtId="0" fontId="26" fillId="0" borderId="70" xfId="319" applyFont="1" applyBorder="1" applyAlignment="1">
      <alignment horizontal="center"/>
    </xf>
    <xf numFmtId="0" fontId="30" fillId="0" borderId="72" xfId="319" applyFont="1" applyBorder="1"/>
    <xf numFmtId="0" fontId="26" fillId="0" borderId="70" xfId="319" applyFont="1" applyBorder="1" applyAlignment="1">
      <alignment horizontal="center" vertical="center"/>
    </xf>
    <xf numFmtId="0" fontId="26" fillId="0" borderId="72" xfId="101" applyNumberFormat="1" applyFont="1" applyFill="1" applyBorder="1" applyAlignment="1" applyProtection="1">
      <alignment vertical="center"/>
    </xf>
    <xf numFmtId="0" fontId="26" fillId="0" borderId="69" xfId="319" applyFont="1" applyBorder="1" applyAlignment="1">
      <alignment vertical="center"/>
    </xf>
    <xf numFmtId="174" fontId="26" fillId="0" borderId="70" xfId="101" applyFont="1" applyFill="1" applyBorder="1" applyAlignment="1" applyProtection="1">
      <alignment horizontal="center" vertical="center"/>
    </xf>
    <xf numFmtId="197" fontId="26" fillId="0" borderId="70" xfId="103" applyNumberFormat="1" applyFont="1" applyFill="1" applyBorder="1" applyAlignment="1" applyProtection="1">
      <alignment vertical="center"/>
    </xf>
    <xf numFmtId="0" fontId="6" fillId="0" borderId="70" xfId="308" applyBorder="1" applyAlignment="1">
      <alignment vertical="center"/>
    </xf>
    <xf numFmtId="0" fontId="30" fillId="0" borderId="72" xfId="308" applyFont="1" applyBorder="1" applyAlignment="1">
      <alignment vertical="center"/>
    </xf>
    <xf numFmtId="0" fontId="26" fillId="0" borderId="69" xfId="308" applyFont="1" applyBorder="1" applyAlignment="1">
      <alignment vertical="center"/>
    </xf>
    <xf numFmtId="178" fontId="26" fillId="0" borderId="70" xfId="103" applyNumberFormat="1" applyFont="1" applyFill="1" applyBorder="1" applyAlignment="1" applyProtection="1">
      <alignment vertical="center"/>
    </xf>
    <xf numFmtId="178" fontId="26" fillId="0" borderId="70" xfId="103" applyNumberFormat="1" applyFont="1" applyFill="1" applyBorder="1" applyAlignment="1" applyProtection="1">
      <alignment horizontal="right" vertical="center"/>
    </xf>
    <xf numFmtId="0" fontId="26" fillId="0" borderId="72" xfId="308" applyFont="1" applyBorder="1" applyAlignment="1">
      <alignment horizontal="right" vertical="center"/>
    </xf>
    <xf numFmtId="174" fontId="26" fillId="0" borderId="69" xfId="101" applyFont="1" applyFill="1" applyBorder="1" applyAlignment="1" applyProtection="1">
      <alignment horizontal="center" vertical="center"/>
    </xf>
    <xf numFmtId="0" fontId="28" fillId="0" borderId="70" xfId="319" applyFont="1" applyBorder="1" applyAlignment="1">
      <alignment horizontal="center" vertical="center"/>
    </xf>
    <xf numFmtId="0" fontId="29" fillId="0" borderId="72" xfId="319" applyFont="1" applyBorder="1" applyAlignment="1">
      <alignment vertical="center"/>
    </xf>
    <xf numFmtId="0" fontId="30" fillId="0" borderId="72" xfId="319" applyFont="1" applyBorder="1" applyAlignment="1">
      <alignment vertical="center"/>
    </xf>
    <xf numFmtId="0" fontId="26" fillId="0" borderId="68" xfId="319" applyFont="1" applyBorder="1" applyAlignment="1">
      <alignment horizontal="center" vertical="center"/>
    </xf>
    <xf numFmtId="0" fontId="30" fillId="0" borderId="68" xfId="319" applyFont="1" applyBorder="1" applyAlignment="1">
      <alignment vertical="center"/>
    </xf>
    <xf numFmtId="0" fontId="28" fillId="0" borderId="68" xfId="319" applyFont="1" applyBorder="1"/>
    <xf numFmtId="178" fontId="26" fillId="0" borderId="70" xfId="103" applyNumberFormat="1" applyFont="1" applyFill="1" applyBorder="1" applyAlignment="1" applyProtection="1">
      <alignment horizontal="right"/>
    </xf>
    <xf numFmtId="0" fontId="24" fillId="0" borderId="70" xfId="308" applyFont="1" applyBorder="1"/>
    <xf numFmtId="0" fontId="26" fillId="0" borderId="68" xfId="308" applyFont="1" applyBorder="1"/>
    <xf numFmtId="0" fontId="28" fillId="0" borderId="69" xfId="319" applyFont="1" applyBorder="1"/>
    <xf numFmtId="0" fontId="26" fillId="0" borderId="70" xfId="101" applyNumberFormat="1" applyFont="1" applyFill="1" applyBorder="1" applyAlignment="1" applyProtection="1">
      <alignment horizontal="center"/>
    </xf>
    <xf numFmtId="197" fontId="26" fillId="0" borderId="69" xfId="103" applyNumberFormat="1" applyFont="1" applyFill="1" applyBorder="1" applyAlignment="1" applyProtection="1"/>
    <xf numFmtId="0" fontId="31" fillId="0" borderId="69" xfId="319" applyFont="1" applyBorder="1"/>
    <xf numFmtId="0" fontId="26" fillId="0" borderId="69" xfId="308" applyFont="1" applyBorder="1"/>
    <xf numFmtId="0" fontId="25" fillId="0" borderId="70" xfId="308" applyFont="1" applyBorder="1"/>
    <xf numFmtId="0" fontId="28" fillId="0" borderId="68" xfId="308" applyFont="1" applyBorder="1" applyAlignment="1">
      <alignment vertical="center"/>
    </xf>
    <xf numFmtId="0" fontId="26" fillId="0" borderId="70" xfId="101" applyNumberFormat="1" applyFont="1" applyFill="1" applyBorder="1" applyAlignment="1" applyProtection="1">
      <alignment horizontal="center" vertical="center"/>
    </xf>
    <xf numFmtId="0" fontId="26" fillId="0" borderId="68" xfId="308" applyFont="1" applyBorder="1" applyAlignment="1">
      <alignment vertical="center"/>
    </xf>
    <xf numFmtId="0" fontId="28" fillId="0" borderId="69" xfId="308" applyFont="1" applyBorder="1" applyAlignment="1">
      <alignment vertical="center"/>
    </xf>
    <xf numFmtId="197" fontId="26" fillId="0" borderId="70" xfId="103" applyNumberFormat="1" applyFont="1" applyFill="1" applyBorder="1" applyAlignment="1" applyProtection="1"/>
    <xf numFmtId="0" fontId="31" fillId="0" borderId="69" xfId="308" applyFont="1" applyBorder="1" applyAlignment="1">
      <alignment vertical="center"/>
    </xf>
    <xf numFmtId="0" fontId="28" fillId="0" borderId="69" xfId="319" applyFont="1" applyBorder="1" applyAlignment="1">
      <alignment vertical="center"/>
    </xf>
    <xf numFmtId="0" fontId="26" fillId="0" borderId="71" xfId="319" applyFont="1" applyBorder="1"/>
    <xf numFmtId="0" fontId="28" fillId="0" borderId="77" xfId="319" applyFont="1" applyBorder="1"/>
    <xf numFmtId="0" fontId="26" fillId="0" borderId="74" xfId="101" applyNumberFormat="1" applyFont="1" applyFill="1" applyBorder="1" applyAlignment="1" applyProtection="1">
      <alignment horizontal="center"/>
    </xf>
    <xf numFmtId="174" fontId="26" fillId="0" borderId="74" xfId="101" applyFont="1" applyFill="1" applyBorder="1" applyAlignment="1" applyProtection="1"/>
    <xf numFmtId="178" fontId="26" fillId="0" borderId="77" xfId="103" applyNumberFormat="1" applyFont="1" applyFill="1" applyBorder="1" applyAlignment="1" applyProtection="1">
      <alignment horizontal="right"/>
    </xf>
    <xf numFmtId="0" fontId="26" fillId="0" borderId="74" xfId="319" applyFont="1" applyBorder="1"/>
    <xf numFmtId="0" fontId="6" fillId="0" borderId="74" xfId="319" applyBorder="1"/>
    <xf numFmtId="0" fontId="26" fillId="0" borderId="24" xfId="319" applyFont="1" applyBorder="1" applyAlignment="1">
      <alignment horizontal="center"/>
    </xf>
    <xf numFmtId="0" fontId="26" fillId="0" borderId="78" xfId="319" applyFont="1" applyBorder="1"/>
    <xf numFmtId="0" fontId="28" fillId="0" borderId="79" xfId="308" applyFont="1" applyBorder="1" applyAlignment="1">
      <alignment horizontal="center"/>
    </xf>
    <xf numFmtId="174" fontId="26" fillId="0" borderId="80" xfId="101" applyFont="1" applyFill="1" applyBorder="1" applyAlignment="1" applyProtection="1">
      <alignment horizontal="center"/>
    </xf>
    <xf numFmtId="174" fontId="26" fillId="0" borderId="80" xfId="101" applyFont="1" applyFill="1" applyBorder="1" applyAlignment="1" applyProtection="1"/>
    <xf numFmtId="178" fontId="26" fillId="0" borderId="79" xfId="103" applyNumberFormat="1" applyFont="1" applyFill="1" applyBorder="1" applyAlignment="1" applyProtection="1">
      <alignment horizontal="right"/>
    </xf>
    <xf numFmtId="178" fontId="28" fillId="0" borderId="80" xfId="319" applyNumberFormat="1" applyFont="1" applyBorder="1"/>
    <xf numFmtId="10" fontId="6" fillId="0" borderId="26" xfId="2" applyNumberFormat="1" applyFont="1" applyFill="1" applyBorder="1" applyAlignment="1">
      <alignment horizontal="center" vertical="center"/>
    </xf>
    <xf numFmtId="0" fontId="6" fillId="0" borderId="80" xfId="319" applyBorder="1"/>
    <xf numFmtId="0" fontId="6" fillId="0" borderId="81" xfId="319" applyBorder="1"/>
    <xf numFmtId="0" fontId="32" fillId="0" borderId="0" xfId="308" applyFont="1"/>
    <xf numFmtId="0" fontId="27" fillId="0" borderId="0" xfId="319" applyFont="1" applyAlignment="1">
      <alignment horizontal="center"/>
    </xf>
    <xf numFmtId="174" fontId="27" fillId="0" borderId="0" xfId="101" applyFont="1" applyFill="1" applyBorder="1" applyAlignment="1" applyProtection="1"/>
    <xf numFmtId="178" fontId="27" fillId="0" borderId="0" xfId="103" applyNumberFormat="1" applyFont="1" applyFill="1" applyBorder="1" applyAlignment="1" applyProtection="1">
      <alignment horizontal="right"/>
    </xf>
    <xf numFmtId="0" fontId="33" fillId="0" borderId="0" xfId="319" applyFont="1" applyAlignment="1">
      <alignment horizontal="left"/>
    </xf>
    <xf numFmtId="178" fontId="33" fillId="4" borderId="5" xfId="103" applyNumberFormat="1" applyFont="1" applyFill="1" applyBorder="1" applyAlignment="1" applyProtection="1">
      <alignment horizontal="center"/>
    </xf>
    <xf numFmtId="0" fontId="33" fillId="4" borderId="5" xfId="319" applyFont="1" applyFill="1" applyBorder="1" applyAlignment="1">
      <alignment horizontal="center"/>
    </xf>
    <xf numFmtId="4" fontId="34" fillId="4" borderId="62" xfId="0" applyNumberFormat="1" applyFont="1" applyFill="1" applyBorder="1" applyAlignment="1">
      <alignment horizontal="center" vertical="center" wrapText="1"/>
    </xf>
    <xf numFmtId="198" fontId="34" fillId="4" borderId="62" xfId="110" applyNumberFormat="1" applyFont="1" applyFill="1" applyBorder="1" applyAlignment="1">
      <alignment vertical="center"/>
    </xf>
    <xf numFmtId="178" fontId="33" fillId="4" borderId="19" xfId="103" applyNumberFormat="1" applyFont="1" applyFill="1" applyBorder="1" applyAlignment="1" applyProtection="1">
      <alignment horizontal="center"/>
    </xf>
    <xf numFmtId="0" fontId="33" fillId="4" borderId="19" xfId="319" applyFont="1" applyFill="1" applyBorder="1" applyAlignment="1">
      <alignment horizontal="center"/>
    </xf>
    <xf numFmtId="4" fontId="34" fillId="4" borderId="64" xfId="0" applyNumberFormat="1" applyFont="1" applyFill="1" applyBorder="1" applyAlignment="1">
      <alignment horizontal="center" vertical="center" wrapText="1"/>
    </xf>
    <xf numFmtId="198" fontId="34" fillId="4" borderId="64" xfId="110" applyNumberFormat="1" applyFont="1" applyFill="1" applyBorder="1" applyAlignment="1">
      <alignment horizontal="center" vertical="center"/>
    </xf>
    <xf numFmtId="9" fontId="34" fillId="4" borderId="64" xfId="2" applyFont="1" applyFill="1" applyBorder="1" applyAlignment="1">
      <alignment horizontal="center" vertical="center"/>
    </xf>
    <xf numFmtId="199" fontId="34" fillId="4" borderId="64" xfId="110" applyNumberFormat="1" applyFont="1" applyFill="1" applyBorder="1" applyAlignment="1">
      <alignment horizontal="center" vertical="center"/>
    </xf>
    <xf numFmtId="10" fontId="34" fillId="4" borderId="64" xfId="2" applyNumberFormat="1" applyFont="1" applyFill="1" applyBorder="1" applyAlignment="1">
      <alignment horizontal="center" vertical="center"/>
    </xf>
    <xf numFmtId="43" fontId="34" fillId="4" borderId="64" xfId="142" applyFont="1" applyFill="1" applyBorder="1" applyAlignment="1">
      <alignment horizontal="center" vertical="center"/>
    </xf>
    <xf numFmtId="0" fontId="27" fillId="0" borderId="66" xfId="319" applyFont="1" applyBorder="1" applyAlignment="1">
      <alignment horizontal="center"/>
    </xf>
    <xf numFmtId="0" fontId="27" fillId="0" borderId="66" xfId="319" applyFont="1" applyBorder="1"/>
    <xf numFmtId="0" fontId="27" fillId="0" borderId="84" xfId="319" applyFont="1" applyBorder="1"/>
    <xf numFmtId="0" fontId="27" fillId="0" borderId="67" xfId="319" applyFont="1" applyBorder="1" applyAlignment="1">
      <alignment horizontal="center"/>
    </xf>
    <xf numFmtId="174" fontId="27" fillId="0" borderId="67" xfId="101" applyFont="1" applyFill="1" applyBorder="1" applyAlignment="1" applyProtection="1"/>
    <xf numFmtId="178" fontId="27" fillId="0" borderId="84" xfId="103" applyNumberFormat="1" applyFont="1" applyFill="1" applyBorder="1" applyAlignment="1" applyProtection="1">
      <alignment horizontal="right"/>
    </xf>
    <xf numFmtId="0" fontId="27" fillId="0" borderId="67" xfId="319" applyFont="1" applyBorder="1"/>
    <xf numFmtId="0" fontId="33" fillId="0" borderId="68" xfId="319" applyFont="1" applyBorder="1" applyAlignment="1">
      <alignment horizontal="center"/>
    </xf>
    <xf numFmtId="0" fontId="33" fillId="0" borderId="68" xfId="319" applyFont="1" applyBorder="1"/>
    <xf numFmtId="0" fontId="27" fillId="0" borderId="69" xfId="319" applyFont="1" applyBorder="1"/>
    <xf numFmtId="174" fontId="27" fillId="0" borderId="70" xfId="101" applyFont="1" applyFill="1" applyBorder="1" applyAlignment="1" applyProtection="1">
      <alignment horizontal="center"/>
    </xf>
    <xf numFmtId="174" fontId="27" fillId="0" borderId="70" xfId="101" applyFont="1" applyFill="1" applyBorder="1" applyAlignment="1" applyProtection="1"/>
    <xf numFmtId="178" fontId="27" fillId="0" borderId="69" xfId="103" applyNumberFormat="1" applyFont="1" applyFill="1" applyBorder="1" applyAlignment="1" applyProtection="1">
      <alignment horizontal="center"/>
    </xf>
    <xf numFmtId="0" fontId="27" fillId="0" borderId="70" xfId="319" applyFont="1" applyBorder="1"/>
    <xf numFmtId="174" fontId="32" fillId="0" borderId="70" xfId="101" applyFont="1" applyFill="1" applyBorder="1" applyAlignment="1" applyProtection="1"/>
    <xf numFmtId="0" fontId="32" fillId="0" borderId="70" xfId="319" applyFont="1" applyBorder="1"/>
    <xf numFmtId="0" fontId="32" fillId="0" borderId="0" xfId="319" applyFont="1"/>
    <xf numFmtId="0" fontId="27" fillId="0" borderId="68" xfId="319" applyFont="1" applyBorder="1" applyAlignment="1">
      <alignment horizontal="center"/>
    </xf>
    <xf numFmtId="0" fontId="27" fillId="0" borderId="68" xfId="319" applyFont="1" applyBorder="1"/>
    <xf numFmtId="0" fontId="33" fillId="0" borderId="70" xfId="319" applyFont="1" applyBorder="1" applyAlignment="1">
      <alignment horizontal="center"/>
    </xf>
    <xf numFmtId="0" fontId="33" fillId="0" borderId="72" xfId="319" applyFont="1" applyBorder="1"/>
    <xf numFmtId="0" fontId="35" fillId="0" borderId="69" xfId="319" applyFont="1" applyBorder="1"/>
    <xf numFmtId="178" fontId="27" fillId="0" borderId="69" xfId="103" applyNumberFormat="1" applyFont="1" applyFill="1" applyBorder="1" applyAlignment="1" applyProtection="1"/>
    <xf numFmtId="178" fontId="27" fillId="0" borderId="70" xfId="319" applyNumberFormat="1" applyFont="1" applyBorder="1" applyAlignment="1">
      <alignment horizontal="right"/>
    </xf>
    <xf numFmtId="0" fontId="27" fillId="0" borderId="70" xfId="319" applyFont="1" applyBorder="1" applyAlignment="1">
      <alignment horizontal="center"/>
    </xf>
    <xf numFmtId="0" fontId="35" fillId="0" borderId="72" xfId="319" applyFont="1" applyBorder="1"/>
    <xf numFmtId="0" fontId="27" fillId="0" borderId="72" xfId="319" applyFont="1" applyBorder="1"/>
    <xf numFmtId="0" fontId="32" fillId="0" borderId="70" xfId="308" applyFont="1" applyBorder="1"/>
    <xf numFmtId="0" fontId="27" fillId="0" borderId="70" xfId="319" applyFont="1" applyBorder="1" applyAlignment="1">
      <alignment horizontal="right"/>
    </xf>
    <xf numFmtId="10" fontId="36" fillId="0" borderId="75" xfId="2" applyNumberFormat="1" applyFont="1" applyFill="1" applyBorder="1" applyAlignment="1">
      <alignment horizontal="center" vertical="center"/>
    </xf>
    <xf numFmtId="0" fontId="27" fillId="0" borderId="72" xfId="319" applyFont="1" applyBorder="1" applyAlignment="1">
      <alignment wrapText="1"/>
    </xf>
    <xf numFmtId="178" fontId="26" fillId="0" borderId="70" xfId="1" applyNumberFormat="1" applyFont="1" applyFill="1" applyBorder="1" applyAlignment="1">
      <alignment horizontal="center" vertical="center"/>
    </xf>
    <xf numFmtId="178" fontId="27" fillId="0" borderId="70" xfId="103" applyNumberFormat="1" applyFont="1" applyFill="1" applyBorder="1" applyAlignment="1" applyProtection="1"/>
    <xf numFmtId="0" fontId="27" fillId="0" borderId="74" xfId="319" applyFont="1" applyBorder="1" applyAlignment="1">
      <alignment horizontal="right"/>
    </xf>
    <xf numFmtId="0" fontId="27" fillId="0" borderId="85" xfId="319" applyFont="1" applyBorder="1"/>
    <xf numFmtId="174" fontId="27" fillId="0" borderId="74" xfId="101" applyFont="1" applyFill="1" applyBorder="1" applyAlignment="1" applyProtection="1">
      <alignment horizontal="center"/>
    </xf>
    <xf numFmtId="178" fontId="27" fillId="0" borderId="77" xfId="103" applyNumberFormat="1" applyFont="1" applyFill="1" applyBorder="1" applyAlignment="1" applyProtection="1"/>
    <xf numFmtId="178" fontId="27" fillId="0" borderId="74" xfId="319" applyNumberFormat="1" applyFont="1" applyBorder="1" applyAlignment="1">
      <alignment horizontal="right"/>
    </xf>
    <xf numFmtId="174" fontId="27" fillId="0" borderId="74" xfId="101" applyFont="1" applyFill="1" applyBorder="1" applyAlignment="1" applyProtection="1"/>
    <xf numFmtId="0" fontId="27" fillId="0" borderId="74" xfId="319" applyFont="1" applyBorder="1"/>
    <xf numFmtId="0" fontId="27" fillId="5" borderId="86" xfId="319" applyFont="1" applyFill="1" applyBorder="1" applyAlignment="1">
      <alignment horizontal="center"/>
    </xf>
    <xf numFmtId="0" fontId="27" fillId="5" borderId="25" xfId="319" applyFont="1" applyFill="1" applyBorder="1"/>
    <xf numFmtId="0" fontId="16" fillId="5" borderId="79" xfId="308" applyFont="1" applyFill="1" applyBorder="1" applyAlignment="1">
      <alignment horizontal="center"/>
    </xf>
    <xf numFmtId="174" fontId="27" fillId="5" borderId="80" xfId="101" applyFont="1" applyFill="1" applyBorder="1" applyAlignment="1" applyProtection="1">
      <alignment horizontal="center"/>
    </xf>
    <xf numFmtId="174" fontId="27" fillId="5" borderId="79" xfId="101" applyFont="1" applyFill="1" applyBorder="1" applyAlignment="1" applyProtection="1"/>
    <xf numFmtId="178" fontId="27" fillId="5" borderId="79" xfId="103" applyNumberFormat="1" applyFont="1" applyFill="1" applyBorder="1" applyAlignment="1" applyProtection="1">
      <alignment horizontal="center"/>
    </xf>
    <xf numFmtId="178" fontId="33" fillId="5" borderId="80" xfId="319" applyNumberFormat="1" applyFont="1" applyFill="1" applyBorder="1" applyAlignment="1">
      <alignment horizontal="right"/>
    </xf>
    <xf numFmtId="10" fontId="36" fillId="0" borderId="26" xfId="2" applyNumberFormat="1" applyFont="1" applyFill="1" applyBorder="1" applyAlignment="1">
      <alignment horizontal="center" vertical="center"/>
    </xf>
    <xf numFmtId="0" fontId="27" fillId="0" borderId="80" xfId="319" applyFont="1" applyBorder="1"/>
    <xf numFmtId="0" fontId="27" fillId="0" borderId="81" xfId="319" applyFont="1" applyBorder="1"/>
    <xf numFmtId="0" fontId="32" fillId="6" borderId="0" xfId="308" applyFont="1" applyFill="1"/>
    <xf numFmtId="0" fontId="37" fillId="6" borderId="0" xfId="308" applyFont="1" applyFill="1"/>
    <xf numFmtId="198" fontId="38" fillId="4" borderId="62" xfId="110" applyNumberFormat="1" applyFont="1" applyFill="1" applyBorder="1" applyAlignment="1">
      <alignment vertical="center"/>
    </xf>
    <xf numFmtId="198" fontId="38" fillId="4" borderId="64" xfId="110" applyNumberFormat="1" applyFont="1" applyFill="1" applyBorder="1" applyAlignment="1">
      <alignment horizontal="center" vertical="center"/>
    </xf>
    <xf numFmtId="9" fontId="38" fillId="4" borderId="64" xfId="2" applyFont="1" applyFill="1" applyBorder="1" applyAlignment="1">
      <alignment horizontal="center" vertical="center"/>
    </xf>
    <xf numFmtId="199" fontId="38" fillId="4" borderId="64" xfId="110" applyNumberFormat="1" applyFont="1" applyFill="1" applyBorder="1" applyAlignment="1">
      <alignment horizontal="center" vertical="center"/>
    </xf>
    <xf numFmtId="10" fontId="38" fillId="4" borderId="64" xfId="2" applyNumberFormat="1" applyFont="1" applyFill="1" applyBorder="1" applyAlignment="1">
      <alignment horizontal="center" vertical="center"/>
    </xf>
    <xf numFmtId="43" fontId="38" fillId="4" borderId="64" xfId="142" applyFont="1" applyFill="1" applyBorder="1" applyAlignment="1">
      <alignment horizontal="center" vertical="center"/>
    </xf>
    <xf numFmtId="0" fontId="33" fillId="0" borderId="66" xfId="319" applyFont="1" applyBorder="1" applyAlignment="1">
      <alignment horizontal="center"/>
    </xf>
    <xf numFmtId="0" fontId="33" fillId="0" borderId="66" xfId="319" applyFont="1" applyBorder="1"/>
    <xf numFmtId="174" fontId="27" fillId="0" borderId="67" xfId="101" applyFont="1" applyFill="1" applyBorder="1" applyAlignment="1" applyProtection="1">
      <alignment horizontal="center"/>
    </xf>
    <xf numFmtId="178" fontId="27" fillId="0" borderId="84" xfId="103" applyNumberFormat="1" applyFont="1" applyFill="1" applyBorder="1" applyAlignment="1" applyProtection="1">
      <alignment horizontal="center"/>
    </xf>
    <xf numFmtId="0" fontId="32" fillId="0" borderId="87" xfId="319" applyFont="1" applyBorder="1"/>
    <xf numFmtId="0" fontId="32" fillId="0" borderId="88" xfId="319" applyFont="1" applyBorder="1"/>
    <xf numFmtId="0" fontId="33" fillId="6" borderId="68" xfId="319" applyFont="1" applyFill="1" applyBorder="1" applyAlignment="1">
      <alignment horizontal="center"/>
    </xf>
    <xf numFmtId="0" fontId="33" fillId="6" borderId="68" xfId="319" applyFont="1" applyFill="1" applyBorder="1"/>
    <xf numFmtId="0" fontId="35" fillId="6" borderId="69" xfId="319" applyFont="1" applyFill="1" applyBorder="1"/>
    <xf numFmtId="0" fontId="27" fillId="6" borderId="70" xfId="319" applyFont="1" applyFill="1" applyBorder="1" applyAlignment="1">
      <alignment horizontal="center"/>
    </xf>
    <xf numFmtId="174" fontId="27" fillId="6" borderId="70" xfId="101" applyFont="1" applyFill="1" applyBorder="1" applyAlignment="1" applyProtection="1">
      <alignment horizontal="center"/>
    </xf>
    <xf numFmtId="178" fontId="27" fillId="6" borderId="69" xfId="103" applyNumberFormat="1" applyFont="1" applyFill="1" applyBorder="1" applyAlignment="1" applyProtection="1"/>
    <xf numFmtId="178" fontId="27" fillId="6" borderId="70" xfId="319" applyNumberFormat="1" applyFont="1" applyFill="1" applyBorder="1" applyAlignment="1">
      <alignment horizontal="right"/>
    </xf>
    <xf numFmtId="0" fontId="32" fillId="6" borderId="88" xfId="319" applyFont="1" applyFill="1" applyBorder="1"/>
    <xf numFmtId="0" fontId="32" fillId="6" borderId="0" xfId="319" applyFont="1" applyFill="1"/>
    <xf numFmtId="0" fontId="27" fillId="6" borderId="68" xfId="319" applyFont="1" applyFill="1" applyBorder="1" applyAlignment="1">
      <alignment horizontal="center"/>
    </xf>
    <xf numFmtId="0" fontId="35" fillId="6" borderId="68" xfId="319" applyFont="1" applyFill="1" applyBorder="1"/>
    <xf numFmtId="0" fontId="27" fillId="6" borderId="69" xfId="319" applyFont="1" applyFill="1" applyBorder="1"/>
    <xf numFmtId="0" fontId="32" fillId="6" borderId="88" xfId="308" applyFont="1" applyFill="1" applyBorder="1"/>
    <xf numFmtId="0" fontId="27" fillId="6" borderId="68" xfId="319" applyFont="1" applyFill="1" applyBorder="1"/>
    <xf numFmtId="0" fontId="32" fillId="0" borderId="88" xfId="308" applyFont="1" applyBorder="1"/>
    <xf numFmtId="0" fontId="27" fillId="7" borderId="69" xfId="319" applyFont="1" applyFill="1" applyBorder="1"/>
    <xf numFmtId="0" fontId="27" fillId="0" borderId="88" xfId="319" applyFont="1" applyBorder="1"/>
    <xf numFmtId="0" fontId="33" fillId="6" borderId="67" xfId="319" applyFont="1" applyFill="1" applyBorder="1" applyAlignment="1">
      <alignment horizontal="center"/>
    </xf>
    <xf numFmtId="0" fontId="33" fillId="6" borderId="89" xfId="319" applyFont="1" applyFill="1" applyBorder="1"/>
    <xf numFmtId="0" fontId="35" fillId="6" borderId="84" xfId="319" applyFont="1" applyFill="1" applyBorder="1"/>
    <xf numFmtId="0" fontId="27" fillId="6" borderId="72" xfId="319" applyFont="1" applyFill="1" applyBorder="1"/>
    <xf numFmtId="0" fontId="35" fillId="6" borderId="72" xfId="319" applyFont="1" applyFill="1" applyBorder="1"/>
    <xf numFmtId="0" fontId="33" fillId="6" borderId="70" xfId="319" applyFont="1" applyFill="1" applyBorder="1" applyAlignment="1">
      <alignment horizontal="center"/>
    </xf>
    <xf numFmtId="0" fontId="33" fillId="6" borderId="72" xfId="319" applyFont="1" applyFill="1" applyBorder="1"/>
    <xf numFmtId="0" fontId="33" fillId="6" borderId="69" xfId="319" applyFont="1" applyFill="1" applyBorder="1"/>
    <xf numFmtId="174" fontId="33" fillId="6" borderId="70" xfId="101" applyFont="1" applyFill="1" applyBorder="1" applyAlignment="1" applyProtection="1">
      <alignment horizontal="center"/>
    </xf>
    <xf numFmtId="0" fontId="37" fillId="6" borderId="88" xfId="308" applyFont="1" applyFill="1" applyBorder="1"/>
    <xf numFmtId="0" fontId="27" fillId="6" borderId="72" xfId="319" applyFont="1" applyFill="1" applyBorder="1" applyAlignment="1">
      <alignment horizontal="right"/>
    </xf>
    <xf numFmtId="0" fontId="27" fillId="6" borderId="72" xfId="319" applyFont="1" applyFill="1" applyBorder="1" applyAlignment="1">
      <alignment horizontal="center"/>
    </xf>
    <xf numFmtId="0" fontId="27" fillId="6" borderId="70" xfId="319" applyFont="1" applyFill="1" applyBorder="1" applyAlignment="1">
      <alignment horizontal="right"/>
    </xf>
    <xf numFmtId="178" fontId="26" fillId="0" borderId="70" xfId="132" applyNumberFormat="1" applyFont="1" applyFill="1" applyBorder="1" applyAlignment="1">
      <alignment horizontal="center" vertical="center"/>
    </xf>
    <xf numFmtId="178" fontId="26" fillId="0" borderId="70" xfId="134" applyNumberFormat="1" applyFont="1" applyFill="1" applyBorder="1" applyAlignment="1">
      <alignment horizontal="center" vertical="center"/>
    </xf>
    <xf numFmtId="178" fontId="27" fillId="0" borderId="70" xfId="319" applyNumberFormat="1" applyFont="1" applyBorder="1" applyAlignment="1">
      <alignment horizontal="right" vertical="top"/>
    </xf>
    <xf numFmtId="0" fontId="27" fillId="7" borderId="72" xfId="319" applyFont="1" applyFill="1" applyBorder="1"/>
    <xf numFmtId="0" fontId="27" fillId="0" borderId="75" xfId="319" applyFont="1" applyBorder="1"/>
    <xf numFmtId="0" fontId="27" fillId="0" borderId="86" xfId="319" applyFont="1" applyBorder="1" applyAlignment="1">
      <alignment horizontal="center"/>
    </xf>
    <xf numFmtId="0" fontId="27" fillId="0" borderId="25" xfId="319" applyFont="1" applyBorder="1"/>
    <xf numFmtId="0" fontId="16" fillId="0" borderId="79" xfId="308" applyFont="1" applyBorder="1" applyAlignment="1">
      <alignment horizontal="center"/>
    </xf>
    <xf numFmtId="174" fontId="27" fillId="0" borderId="80" xfId="101" applyFont="1" applyFill="1" applyBorder="1" applyAlignment="1" applyProtection="1">
      <alignment horizontal="center"/>
    </xf>
    <xf numFmtId="174" fontId="27" fillId="0" borderId="79" xfId="101" applyFont="1" applyFill="1" applyBorder="1" applyAlignment="1" applyProtection="1"/>
    <xf numFmtId="0" fontId="27" fillId="0" borderId="26" xfId="319" applyFont="1" applyBorder="1"/>
    <xf numFmtId="0" fontId="27" fillId="0" borderId="27" xfId="319" applyFont="1" applyBorder="1"/>
    <xf numFmtId="0" fontId="27" fillId="6" borderId="0" xfId="308" applyFont="1" applyFill="1"/>
    <xf numFmtId="178" fontId="27" fillId="4" borderId="5" xfId="103" applyNumberFormat="1" applyFont="1" applyFill="1" applyBorder="1" applyAlignment="1" applyProtection="1">
      <alignment horizontal="center"/>
    </xf>
    <xf numFmtId="0" fontId="27" fillId="4" borderId="5" xfId="319" applyFont="1" applyFill="1" applyBorder="1" applyAlignment="1">
      <alignment horizontal="center"/>
    </xf>
    <xf numFmtId="198" fontId="39" fillId="4" borderId="62" xfId="110" applyNumberFormat="1" applyFont="1" applyFill="1" applyBorder="1" applyAlignment="1">
      <alignment vertical="center"/>
    </xf>
    <xf numFmtId="178" fontId="27" fillId="4" borderId="19" xfId="103" applyNumberFormat="1" applyFont="1" applyFill="1" applyBorder="1" applyAlignment="1" applyProtection="1">
      <alignment horizontal="center"/>
    </xf>
    <xf numFmtId="0" fontId="27" fillId="4" borderId="19" xfId="319" applyFont="1" applyFill="1" applyBorder="1" applyAlignment="1">
      <alignment horizontal="center"/>
    </xf>
    <xf numFmtId="198" fontId="39" fillId="4" borderId="64" xfId="110" applyNumberFormat="1" applyFont="1" applyFill="1" applyBorder="1" applyAlignment="1">
      <alignment horizontal="center" vertical="center"/>
    </xf>
    <xf numFmtId="9" fontId="39" fillId="4" borderId="64" xfId="2" applyFont="1" applyFill="1" applyBorder="1" applyAlignment="1">
      <alignment horizontal="center" vertical="center"/>
    </xf>
    <xf numFmtId="199" fontId="39" fillId="4" borderId="64" xfId="110" applyNumberFormat="1" applyFont="1" applyFill="1" applyBorder="1" applyAlignment="1">
      <alignment horizontal="center" vertical="center"/>
    </xf>
    <xf numFmtId="10" fontId="39" fillId="4" borderId="64" xfId="2" applyNumberFormat="1" applyFont="1" applyFill="1" applyBorder="1" applyAlignment="1">
      <alignment horizontal="center" vertical="center"/>
    </xf>
    <xf numFmtId="43" fontId="39" fillId="4" borderId="64" xfId="142" applyFont="1" applyFill="1" applyBorder="1" applyAlignment="1">
      <alignment horizontal="center" vertical="center"/>
    </xf>
    <xf numFmtId="174" fontId="32" fillId="6" borderId="70" xfId="101" applyFont="1" applyFill="1" applyBorder="1" applyAlignment="1" applyProtection="1">
      <alignment horizontal="center"/>
    </xf>
    <xf numFmtId="0" fontId="32" fillId="6" borderId="70" xfId="319" applyFont="1" applyFill="1" applyBorder="1"/>
    <xf numFmtId="0" fontId="32" fillId="6" borderId="70" xfId="308" applyFont="1" applyFill="1" applyBorder="1"/>
    <xf numFmtId="0" fontId="37" fillId="6" borderId="70" xfId="308" applyFont="1" applyFill="1" applyBorder="1"/>
    <xf numFmtId="0" fontId="27" fillId="6" borderId="70" xfId="308" applyFont="1" applyFill="1" applyBorder="1"/>
    <xf numFmtId="0" fontId="27" fillId="7" borderId="70" xfId="319" applyFont="1" applyFill="1" applyBorder="1" applyAlignment="1">
      <alignment horizontal="center"/>
    </xf>
    <xf numFmtId="0" fontId="27" fillId="7" borderId="72" xfId="319" applyFont="1" applyFill="1" applyBorder="1" applyAlignment="1">
      <alignment horizontal="right"/>
    </xf>
    <xf numFmtId="0" fontId="27" fillId="7" borderId="72" xfId="319" applyFont="1" applyFill="1" applyBorder="1" applyAlignment="1">
      <alignment horizontal="center"/>
    </xf>
    <xf numFmtId="200" fontId="27" fillId="6" borderId="70" xfId="101" applyNumberFormat="1" applyFont="1" applyFill="1" applyBorder="1" applyAlignment="1" applyProtection="1">
      <alignment horizontal="center"/>
    </xf>
    <xf numFmtId="178" fontId="27" fillId="6" borderId="70" xfId="103" applyNumberFormat="1" applyFont="1" applyFill="1" applyBorder="1" applyAlignment="1" applyProtection="1"/>
    <xf numFmtId="0" fontId="27" fillId="6" borderId="70" xfId="319" applyFont="1" applyFill="1" applyBorder="1"/>
    <xf numFmtId="174" fontId="27" fillId="6" borderId="72" xfId="101" applyFont="1" applyFill="1" applyBorder="1" applyAlignment="1" applyProtection="1">
      <alignment horizontal="left"/>
    </xf>
    <xf numFmtId="3" fontId="27" fillId="6" borderId="72" xfId="101" applyNumberFormat="1" applyFont="1" applyFill="1" applyBorder="1" applyAlignment="1" applyProtection="1">
      <alignment horizontal="left"/>
    </xf>
    <xf numFmtId="174" fontId="40" fillId="6" borderId="72" xfId="101" applyFont="1" applyFill="1" applyBorder="1" applyAlignment="1" applyProtection="1">
      <alignment horizontal="left"/>
    </xf>
    <xf numFmtId="174" fontId="27" fillId="6" borderId="69" xfId="101" applyFont="1" applyFill="1" applyBorder="1" applyAlignment="1" applyProtection="1"/>
    <xf numFmtId="178" fontId="27" fillId="6" borderId="69" xfId="103" applyNumberFormat="1" applyFont="1" applyFill="1" applyBorder="1" applyAlignment="1" applyProtection="1">
      <alignment horizontal="center"/>
    </xf>
    <xf numFmtId="178" fontId="33" fillId="4" borderId="93" xfId="103" applyNumberFormat="1" applyFont="1" applyFill="1" applyBorder="1" applyAlignment="1" applyProtection="1">
      <alignment horizontal="center"/>
    </xf>
    <xf numFmtId="0" fontId="33" fillId="4" borderId="93" xfId="319" applyFont="1" applyFill="1" applyBorder="1" applyAlignment="1">
      <alignment horizontal="center"/>
    </xf>
    <xf numFmtId="198" fontId="38" fillId="4" borderId="95" xfId="110" applyNumberFormat="1" applyFont="1" applyFill="1" applyBorder="1" applyAlignment="1">
      <alignment vertical="center"/>
    </xf>
    <xf numFmtId="178" fontId="33" fillId="4" borderId="100" xfId="103" applyNumberFormat="1" applyFont="1" applyFill="1" applyBorder="1" applyAlignment="1" applyProtection="1">
      <alignment horizontal="center"/>
    </xf>
    <xf numFmtId="0" fontId="33" fillId="4" borderId="100" xfId="319" applyFont="1" applyFill="1" applyBorder="1" applyAlignment="1">
      <alignment horizontal="center"/>
    </xf>
    <xf numFmtId="199" fontId="38" fillId="4" borderId="102" xfId="110" applyNumberFormat="1" applyFont="1" applyFill="1" applyBorder="1" applyAlignment="1">
      <alignment horizontal="center" vertical="center"/>
    </xf>
    <xf numFmtId="178" fontId="27" fillId="0" borderId="67" xfId="103" applyNumberFormat="1" applyFont="1" applyFill="1" applyBorder="1" applyAlignment="1" applyProtection="1">
      <alignment horizontal="right"/>
    </xf>
    <xf numFmtId="174" fontId="27" fillId="0" borderId="66" xfId="101" applyFont="1" applyFill="1" applyBorder="1" applyAlignment="1" applyProtection="1"/>
    <xf numFmtId="178" fontId="27" fillId="0" borderId="70" xfId="103" applyNumberFormat="1" applyFont="1" applyFill="1" applyBorder="1" applyAlignment="1" applyProtection="1">
      <alignment horizontal="center"/>
    </xf>
    <xf numFmtId="174" fontId="27" fillId="0" borderId="68" xfId="101" applyFont="1" applyFill="1" applyBorder="1" applyAlignment="1" applyProtection="1"/>
    <xf numFmtId="174" fontId="32" fillId="0" borderId="68" xfId="101" applyFont="1" applyFill="1" applyBorder="1" applyAlignment="1" applyProtection="1">
      <alignment horizontal="center"/>
    </xf>
    <xf numFmtId="0" fontId="32" fillId="0" borderId="68" xfId="308" applyFont="1" applyBorder="1"/>
    <xf numFmtId="0" fontId="35" fillId="0" borderId="68" xfId="319" applyFont="1" applyBorder="1"/>
    <xf numFmtId="0" fontId="33" fillId="0" borderId="69" xfId="319" applyFont="1" applyBorder="1"/>
    <xf numFmtId="178" fontId="27" fillId="0" borderId="69" xfId="103" applyNumberFormat="1" applyFont="1" applyFill="1" applyBorder="1" applyAlignment="1" applyProtection="1">
      <alignment horizontal="right"/>
    </xf>
    <xf numFmtId="0" fontId="27" fillId="0" borderId="68" xfId="308" applyFont="1" applyBorder="1"/>
    <xf numFmtId="0" fontId="27" fillId="0" borderId="70" xfId="308" applyFont="1" applyBorder="1"/>
    <xf numFmtId="174" fontId="27" fillId="0" borderId="69" xfId="101" applyFont="1" applyFill="1" applyBorder="1" applyAlignment="1" applyProtection="1"/>
    <xf numFmtId="0" fontId="27" fillId="0" borderId="74" xfId="319" applyFont="1" applyBorder="1" applyAlignment="1">
      <alignment horizontal="center"/>
    </xf>
    <xf numFmtId="0" fontId="27" fillId="0" borderId="77" xfId="319" applyFont="1" applyBorder="1"/>
    <xf numFmtId="174" fontId="27" fillId="0" borderId="77" xfId="101" applyFont="1" applyFill="1" applyBorder="1" applyAlignment="1" applyProtection="1"/>
    <xf numFmtId="178" fontId="27" fillId="0" borderId="74" xfId="103" applyNumberFormat="1" applyFont="1" applyFill="1" applyBorder="1" applyAlignment="1" applyProtection="1">
      <alignment horizontal="center"/>
    </xf>
    <xf numFmtId="174" fontId="27" fillId="0" borderId="71" xfId="101" applyFont="1" applyFill="1" applyBorder="1" applyAlignment="1" applyProtection="1"/>
    <xf numFmtId="0" fontId="27" fillId="0" borderId="78" xfId="319" applyFont="1" applyBorder="1"/>
    <xf numFmtId="178" fontId="27" fillId="0" borderId="80" xfId="103" applyNumberFormat="1" applyFont="1" applyFill="1" applyBorder="1" applyAlignment="1" applyProtection="1">
      <alignment horizontal="center"/>
    </xf>
    <xf numFmtId="178" fontId="33" fillId="0" borderId="80" xfId="319" applyNumberFormat="1" applyFont="1" applyBorder="1" applyAlignment="1">
      <alignment horizontal="right"/>
    </xf>
    <xf numFmtId="0" fontId="27" fillId="0" borderId="104" xfId="319" applyFont="1" applyBorder="1"/>
    <xf numFmtId="0" fontId="24" fillId="0" borderId="0" xfId="296" applyFont="1"/>
    <xf numFmtId="0" fontId="24" fillId="6" borderId="0" xfId="296" applyFont="1" applyFill="1"/>
    <xf numFmtId="0" fontId="24" fillId="6" borderId="0" xfId="296" applyFont="1" applyFill="1" applyAlignment="1">
      <alignment vertical="center"/>
    </xf>
    <xf numFmtId="0" fontId="6" fillId="0" borderId="0" xfId="296"/>
    <xf numFmtId="3" fontId="6" fillId="0" borderId="0" xfId="296" applyNumberFormat="1"/>
    <xf numFmtId="3" fontId="16" fillId="4" borderId="5" xfId="296" applyNumberFormat="1" applyFont="1" applyFill="1" applyBorder="1" applyAlignment="1">
      <alignment horizontal="center"/>
    </xf>
    <xf numFmtId="0" fontId="16" fillId="4" borderId="5" xfId="296" applyFont="1" applyFill="1" applyBorder="1" applyAlignment="1">
      <alignment horizontal="center"/>
    </xf>
    <xf numFmtId="3" fontId="16" fillId="4" borderId="19" xfId="296" applyNumberFormat="1" applyFont="1" applyFill="1" applyBorder="1" applyAlignment="1">
      <alignment horizontal="center"/>
    </xf>
    <xf numFmtId="0" fontId="16" fillId="4" borderId="19" xfId="296" applyFont="1" applyFill="1" applyBorder="1" applyAlignment="1">
      <alignment horizontal="center"/>
    </xf>
    <xf numFmtId="0" fontId="16" fillId="6" borderId="105" xfId="296" applyFont="1" applyFill="1" applyBorder="1" applyAlignment="1">
      <alignment horizontal="center"/>
    </xf>
    <xf numFmtId="0" fontId="16" fillId="6" borderId="87" xfId="296" applyFont="1" applyFill="1" applyBorder="1"/>
    <xf numFmtId="0" fontId="6" fillId="6" borderId="87" xfId="296" applyFill="1" applyBorder="1"/>
    <xf numFmtId="0" fontId="6" fillId="6" borderId="87" xfId="296" applyFill="1" applyBorder="1" applyAlignment="1">
      <alignment horizontal="center"/>
    </xf>
    <xf numFmtId="3" fontId="6" fillId="6" borderId="87" xfId="296" applyNumberFormat="1" applyFill="1" applyBorder="1"/>
    <xf numFmtId="0" fontId="6" fillId="6" borderId="106" xfId="296" applyFill="1" applyBorder="1"/>
    <xf numFmtId="0" fontId="24" fillId="6" borderId="107" xfId="296" applyFont="1" applyFill="1" applyBorder="1"/>
    <xf numFmtId="0" fontId="24" fillId="6" borderId="63" xfId="296" applyFont="1" applyFill="1" applyBorder="1"/>
    <xf numFmtId="0" fontId="6" fillId="6" borderId="108" xfId="296" applyFill="1" applyBorder="1"/>
    <xf numFmtId="0" fontId="6" fillId="6" borderId="88" xfId="296" applyFill="1" applyBorder="1"/>
    <xf numFmtId="0" fontId="6" fillId="6" borderId="88" xfId="296" applyFill="1" applyBorder="1" applyAlignment="1">
      <alignment horizontal="center"/>
    </xf>
    <xf numFmtId="3" fontId="6" fillId="6" borderId="88" xfId="296" applyNumberFormat="1" applyFill="1" applyBorder="1"/>
    <xf numFmtId="0" fontId="6" fillId="6" borderId="109" xfId="296" applyFill="1" applyBorder="1"/>
    <xf numFmtId="0" fontId="24" fillId="6" borderId="88" xfId="296" applyFont="1" applyFill="1" applyBorder="1"/>
    <xf numFmtId="0" fontId="24" fillId="6" borderId="110" xfId="296" applyFont="1" applyFill="1" applyBorder="1"/>
    <xf numFmtId="0" fontId="16" fillId="6" borderId="108" xfId="296" applyFont="1" applyFill="1" applyBorder="1" applyAlignment="1">
      <alignment horizontal="right"/>
    </xf>
    <xf numFmtId="0" fontId="16" fillId="6" borderId="88" xfId="296" applyFont="1" applyFill="1" applyBorder="1"/>
    <xf numFmtId="2" fontId="6" fillId="6" borderId="88" xfId="296" applyNumberFormat="1" applyFill="1" applyBorder="1" applyAlignment="1">
      <alignment horizontal="center"/>
    </xf>
    <xf numFmtId="3" fontId="6" fillId="6" borderId="109" xfId="296" applyNumberFormat="1" applyFill="1" applyBorder="1"/>
    <xf numFmtId="0" fontId="6" fillId="6" borderId="111" xfId="296" applyFill="1" applyBorder="1"/>
    <xf numFmtId="0" fontId="6" fillId="6" borderId="108" xfId="296" applyFill="1" applyBorder="1" applyAlignment="1">
      <alignment horizontal="center"/>
    </xf>
    <xf numFmtId="0" fontId="16" fillId="0" borderId="108" xfId="296" applyFont="1" applyBorder="1" applyAlignment="1">
      <alignment horizontal="right"/>
    </xf>
    <xf numFmtId="0" fontId="16" fillId="0" borderId="88" xfId="296" applyFont="1" applyBorder="1"/>
    <xf numFmtId="0" fontId="6" fillId="0" borderId="88" xfId="296" applyBorder="1" applyAlignment="1">
      <alignment horizontal="center"/>
    </xf>
    <xf numFmtId="3" fontId="6" fillId="0" borderId="109" xfId="296" applyNumberFormat="1" applyBorder="1"/>
    <xf numFmtId="0" fontId="6" fillId="0" borderId="111" xfId="296" applyBorder="1"/>
    <xf numFmtId="0" fontId="25" fillId="0" borderId="108" xfId="296" applyFont="1" applyBorder="1" applyAlignment="1">
      <alignment horizontal="right"/>
    </xf>
    <xf numFmtId="0" fontId="25" fillId="0" borderId="88" xfId="296" applyFont="1" applyBorder="1" applyAlignment="1">
      <alignment horizontal="left"/>
    </xf>
    <xf numFmtId="0" fontId="25" fillId="0" borderId="88" xfId="296" applyFont="1" applyBorder="1" applyAlignment="1">
      <alignment horizontal="center"/>
    </xf>
    <xf numFmtId="3" fontId="25" fillId="0" borderId="109" xfId="296" applyNumberFormat="1" applyFont="1" applyBorder="1"/>
    <xf numFmtId="4" fontId="25" fillId="0" borderId="111" xfId="296" applyNumberFormat="1" applyFont="1" applyBorder="1"/>
    <xf numFmtId="0" fontId="25" fillId="6" borderId="88" xfId="296" applyFont="1" applyFill="1" applyBorder="1" applyAlignment="1">
      <alignment horizontal="left"/>
    </xf>
    <xf numFmtId="0" fontId="25" fillId="6" borderId="88" xfId="296" applyFont="1" applyFill="1" applyBorder="1" applyAlignment="1">
      <alignment horizontal="center"/>
    </xf>
    <xf numFmtId="178" fontId="25" fillId="6" borderId="112" xfId="82" applyNumberFormat="1" applyFont="1" applyFill="1" applyBorder="1" applyAlignment="1">
      <alignment horizontal="right"/>
    </xf>
    <xf numFmtId="178" fontId="25" fillId="6" borderId="68" xfId="103" applyNumberFormat="1" applyFont="1" applyFill="1" applyBorder="1" applyAlignment="1" applyProtection="1">
      <alignment horizontal="right"/>
    </xf>
    <xf numFmtId="201" fontId="36" fillId="0" borderId="88" xfId="2" applyNumberFormat="1" applyFont="1" applyFill="1" applyBorder="1" applyAlignment="1">
      <alignment horizontal="center" vertical="center"/>
    </xf>
    <xf numFmtId="0" fontId="25" fillId="0" borderId="108" xfId="296" applyFont="1" applyBorder="1"/>
    <xf numFmtId="0" fontId="24" fillId="0" borderId="88" xfId="296" applyFont="1" applyBorder="1"/>
    <xf numFmtId="0" fontId="24" fillId="0" borderId="110" xfId="296" applyFont="1" applyBorder="1"/>
    <xf numFmtId="0" fontId="24" fillId="6" borderId="108" xfId="296" applyFont="1" applyFill="1" applyBorder="1" applyAlignment="1">
      <alignment horizontal="right"/>
    </xf>
    <xf numFmtId="0" fontId="24" fillId="6" borderId="88" xfId="296" applyFont="1" applyFill="1" applyBorder="1" applyAlignment="1">
      <alignment horizontal="left"/>
    </xf>
    <xf numFmtId="0" fontId="24" fillId="6" borderId="88" xfId="296" applyFont="1" applyFill="1" applyBorder="1" applyAlignment="1">
      <alignment horizontal="center"/>
    </xf>
    <xf numFmtId="178" fontId="24" fillId="6" borderId="112" xfId="103" applyNumberFormat="1" applyFont="1" applyFill="1" applyBorder="1" applyAlignment="1" applyProtection="1">
      <alignment horizontal="right"/>
    </xf>
    <xf numFmtId="178" fontId="24" fillId="6" borderId="68" xfId="103" applyNumberFormat="1" applyFont="1" applyFill="1" applyBorder="1" applyAlignment="1" applyProtection="1">
      <alignment horizontal="right"/>
    </xf>
    <xf numFmtId="0" fontId="41" fillId="0" borderId="108" xfId="296" applyFont="1" applyBorder="1" applyAlignment="1">
      <alignment horizontal="right"/>
    </xf>
    <xf numFmtId="0" fontId="41" fillId="0" borderId="88" xfId="296" applyFont="1" applyBorder="1"/>
    <xf numFmtId="2" fontId="25" fillId="0" borderId="88" xfId="296" applyNumberFormat="1" applyFont="1" applyBorder="1" applyAlignment="1">
      <alignment horizontal="center"/>
    </xf>
    <xf numFmtId="0" fontId="25" fillId="0" borderId="88" xfId="296" applyFont="1" applyBorder="1"/>
    <xf numFmtId="0" fontId="41" fillId="6" borderId="108" xfId="296" applyFont="1" applyFill="1" applyBorder="1" applyAlignment="1">
      <alignment horizontal="right"/>
    </xf>
    <xf numFmtId="0" fontId="41" fillId="6" borderId="88" xfId="296" applyFont="1" applyFill="1" applyBorder="1"/>
    <xf numFmtId="0" fontId="25" fillId="6" borderId="108" xfId="296" applyFont="1" applyFill="1" applyBorder="1" applyAlignment="1">
      <alignment horizontal="center"/>
    </xf>
    <xf numFmtId="0" fontId="42" fillId="0" borderId="88" xfId="296" applyFont="1" applyBorder="1" applyAlignment="1">
      <alignment horizontal="left"/>
    </xf>
    <xf numFmtId="0" fontId="25" fillId="6" borderId="113" xfId="296" applyFont="1" applyFill="1" applyBorder="1"/>
    <xf numFmtId="0" fontId="25" fillId="6" borderId="88" xfId="296" applyFont="1" applyFill="1" applyBorder="1"/>
    <xf numFmtId="3" fontId="25" fillId="6" borderId="88" xfId="296" applyNumberFormat="1" applyFont="1" applyFill="1" applyBorder="1"/>
    <xf numFmtId="0" fontId="25" fillId="6" borderId="109" xfId="296" applyFont="1" applyFill="1" applyBorder="1"/>
    <xf numFmtId="0" fontId="25" fillId="6" borderId="108" xfId="296" applyFont="1" applyFill="1" applyBorder="1" applyAlignment="1">
      <alignment horizontal="left" indent="1"/>
    </xf>
    <xf numFmtId="0" fontId="41" fillId="6" borderId="108" xfId="296" applyFont="1" applyFill="1" applyBorder="1" applyAlignment="1">
      <alignment horizontal="left" indent="1"/>
    </xf>
    <xf numFmtId="0" fontId="25" fillId="6" borderId="113" xfId="296" applyFont="1" applyFill="1" applyBorder="1" applyAlignment="1">
      <alignment horizontal="center"/>
    </xf>
    <xf numFmtId="0" fontId="25" fillId="6" borderId="108" xfId="296" applyFont="1" applyFill="1" applyBorder="1"/>
    <xf numFmtId="0" fontId="43" fillId="6" borderId="88" xfId="296" applyFont="1" applyFill="1" applyBorder="1" applyAlignment="1">
      <alignment horizontal="left"/>
    </xf>
    <xf numFmtId="178" fontId="25" fillId="6" borderId="88" xfId="296" applyNumberFormat="1" applyFont="1" applyFill="1" applyBorder="1"/>
    <xf numFmtId="0" fontId="42" fillId="6" borderId="88" xfId="296" applyFont="1" applyFill="1" applyBorder="1" applyAlignment="1">
      <alignment horizontal="left"/>
    </xf>
    <xf numFmtId="0" fontId="42" fillId="6" borderId="88" xfId="296" applyFont="1" applyFill="1" applyBorder="1"/>
    <xf numFmtId="0" fontId="41" fillId="6" borderId="108" xfId="296" applyFont="1" applyFill="1" applyBorder="1" applyAlignment="1">
      <alignment horizontal="center"/>
    </xf>
    <xf numFmtId="0" fontId="25" fillId="6" borderId="108" xfId="296" applyFont="1" applyFill="1" applyBorder="1" applyAlignment="1">
      <alignment horizontal="right"/>
    </xf>
    <xf numFmtId="0" fontId="41" fillId="6" borderId="108" xfId="296" applyFont="1" applyFill="1" applyBorder="1" applyAlignment="1">
      <alignment horizontal="right" indent="1"/>
    </xf>
    <xf numFmtId="2" fontId="25" fillId="6" borderId="88" xfId="296" applyNumberFormat="1" applyFont="1" applyFill="1" applyBorder="1" applyAlignment="1">
      <alignment horizontal="center"/>
    </xf>
    <xf numFmtId="0" fontId="41" fillId="6" borderId="108" xfId="296" applyFont="1" applyFill="1" applyBorder="1"/>
    <xf numFmtId="0" fontId="41" fillId="6" borderId="108" xfId="296" applyFont="1" applyFill="1" applyBorder="1" applyAlignment="1">
      <alignment horizontal="right" vertical="top"/>
    </xf>
    <xf numFmtId="0" fontId="25" fillId="6" borderId="114" xfId="296" applyFont="1" applyFill="1" applyBorder="1" applyAlignment="1">
      <alignment horizontal="right"/>
    </xf>
    <xf numFmtId="0" fontId="25" fillId="6" borderId="75" xfId="296" applyFont="1" applyFill="1" applyBorder="1"/>
    <xf numFmtId="2" fontId="25" fillId="6" borderId="75" xfId="296" applyNumberFormat="1" applyFont="1" applyFill="1" applyBorder="1" applyAlignment="1">
      <alignment horizontal="center"/>
    </xf>
    <xf numFmtId="0" fontId="25" fillId="6" borderId="75" xfId="296" applyFont="1" applyFill="1" applyBorder="1" applyAlignment="1">
      <alignment horizontal="center"/>
    </xf>
    <xf numFmtId="3" fontId="25" fillId="6" borderId="75" xfId="296" applyNumberFormat="1" applyFont="1" applyFill="1" applyBorder="1"/>
    <xf numFmtId="0" fontId="42" fillId="6" borderId="88" xfId="296" applyFont="1" applyFill="1" applyBorder="1" applyAlignment="1">
      <alignment horizontal="left" vertical="top"/>
    </xf>
    <xf numFmtId="202" fontId="25" fillId="6" borderId="88" xfId="296" applyNumberFormat="1" applyFont="1" applyFill="1" applyBorder="1" applyAlignment="1">
      <alignment horizontal="center"/>
    </xf>
    <xf numFmtId="2" fontId="25" fillId="6" borderId="88" xfId="296" applyNumberFormat="1" applyFont="1" applyFill="1" applyBorder="1" applyAlignment="1">
      <alignment horizontal="center" vertical="top"/>
    </xf>
    <xf numFmtId="0" fontId="25" fillId="6" borderId="88" xfId="296" applyFont="1" applyFill="1" applyBorder="1" applyAlignment="1">
      <alignment horizontal="center" vertical="top"/>
    </xf>
    <xf numFmtId="202" fontId="25" fillId="6" borderId="88" xfId="296" applyNumberFormat="1" applyFont="1" applyFill="1" applyBorder="1" applyAlignment="1">
      <alignment horizontal="center" vertical="top"/>
    </xf>
    <xf numFmtId="0" fontId="16" fillId="6" borderId="88" xfId="265" applyFont="1" applyFill="1" applyBorder="1"/>
    <xf numFmtId="0" fontId="6" fillId="6" borderId="113" xfId="296" applyFill="1" applyBorder="1"/>
    <xf numFmtId="178" fontId="6" fillId="6" borderId="68" xfId="103" applyNumberFormat="1" applyFill="1" applyBorder="1" applyAlignment="1" applyProtection="1">
      <alignment horizontal="right"/>
    </xf>
    <xf numFmtId="0" fontId="41" fillId="6" borderId="88" xfId="265" applyFont="1" applyFill="1" applyBorder="1" applyAlignment="1">
      <alignment vertical="center"/>
    </xf>
    <xf numFmtId="165" fontId="25" fillId="0" borderId="88" xfId="0" applyNumberFormat="1" applyFont="1" applyBorder="1"/>
    <xf numFmtId="178" fontId="25" fillId="6" borderId="72" xfId="103" applyNumberFormat="1" applyFont="1" applyFill="1" applyBorder="1" applyAlignment="1" applyProtection="1">
      <alignment horizontal="right"/>
    </xf>
    <xf numFmtId="0" fontId="25" fillId="6" borderId="108" xfId="296" applyFont="1" applyFill="1" applyBorder="1" applyAlignment="1">
      <alignment vertical="center"/>
    </xf>
    <xf numFmtId="0" fontId="25" fillId="6" borderId="88" xfId="265" applyFont="1" applyFill="1" applyBorder="1" applyAlignment="1">
      <alignment horizontal="left" vertical="center"/>
    </xf>
    <xf numFmtId="0" fontId="25" fillId="6" borderId="88" xfId="296" applyFont="1" applyFill="1" applyBorder="1" applyAlignment="1">
      <alignment horizontal="center" vertical="center"/>
    </xf>
    <xf numFmtId="165" fontId="25" fillId="0" borderId="88" xfId="0" applyNumberFormat="1" applyFont="1" applyBorder="1" applyAlignment="1">
      <alignment horizontal="right" vertical="center"/>
    </xf>
    <xf numFmtId="178" fontId="25" fillId="6" borderId="112" xfId="103" applyNumberFormat="1" applyFont="1" applyFill="1" applyBorder="1" applyAlignment="1" applyProtection="1">
      <alignment horizontal="right" vertical="center"/>
    </xf>
    <xf numFmtId="0" fontId="24" fillId="6" borderId="88" xfId="296" applyFont="1" applyFill="1" applyBorder="1" applyAlignment="1">
      <alignment vertical="center"/>
    </xf>
    <xf numFmtId="0" fontId="24" fillId="6" borderId="110" xfId="296" applyFont="1" applyFill="1" applyBorder="1" applyAlignment="1">
      <alignment vertical="center"/>
    </xf>
    <xf numFmtId="0" fontId="16" fillId="6" borderId="72" xfId="296" applyFont="1" applyFill="1" applyBorder="1" applyAlignment="1">
      <alignment vertical="center"/>
    </xf>
    <xf numFmtId="0" fontId="6" fillId="6" borderId="70" xfId="296" applyFill="1" applyBorder="1" applyAlignment="1">
      <alignment horizontal="center"/>
    </xf>
    <xf numFmtId="0" fontId="25" fillId="0" borderId="88" xfId="0" applyFont="1" applyBorder="1"/>
    <xf numFmtId="178" fontId="25" fillId="6" borderId="88" xfId="3" applyNumberFormat="1" applyFont="1" applyFill="1" applyBorder="1" applyAlignment="1"/>
    <xf numFmtId="0" fontId="25" fillId="6" borderId="114" xfId="296" applyFont="1" applyFill="1" applyBorder="1" applyAlignment="1">
      <alignment vertical="center"/>
    </xf>
    <xf numFmtId="0" fontId="41" fillId="6" borderId="75" xfId="296" applyFont="1" applyFill="1" applyBorder="1" applyAlignment="1">
      <alignment horizontal="left" vertical="center"/>
    </xf>
    <xf numFmtId="0" fontId="25" fillId="6" borderId="75" xfId="296" applyFont="1" applyFill="1" applyBorder="1" applyAlignment="1">
      <alignment horizontal="center" vertical="center"/>
    </xf>
    <xf numFmtId="165" fontId="25" fillId="6" borderId="75" xfId="3" applyFont="1" applyFill="1" applyBorder="1" applyAlignment="1">
      <alignment horizontal="right" vertical="center"/>
    </xf>
    <xf numFmtId="178" fontId="25" fillId="6" borderId="115" xfId="103" applyNumberFormat="1" applyFont="1" applyFill="1" applyBorder="1" applyAlignment="1" applyProtection="1">
      <alignment horizontal="right" vertical="center"/>
    </xf>
    <xf numFmtId="0" fontId="24" fillId="6" borderId="116" xfId="296" applyFont="1" applyFill="1" applyBorder="1"/>
    <xf numFmtId="0" fontId="24" fillId="6" borderId="65" xfId="296" applyFont="1" applyFill="1" applyBorder="1"/>
    <xf numFmtId="0" fontId="16" fillId="8" borderId="117" xfId="296" applyFont="1" applyFill="1" applyBorder="1" applyAlignment="1">
      <alignment horizontal="left" indent="1"/>
    </xf>
    <xf numFmtId="0" fontId="16" fillId="8" borderId="26" xfId="296" applyFont="1" applyFill="1" applyBorder="1" applyAlignment="1">
      <alignment horizontal="right"/>
    </xf>
    <xf numFmtId="0" fontId="16" fillId="8" borderId="118" xfId="296" applyFont="1" applyFill="1" applyBorder="1"/>
    <xf numFmtId="0" fontId="16" fillId="8" borderId="26" xfId="296" applyFont="1" applyFill="1" applyBorder="1"/>
    <xf numFmtId="3" fontId="16" fillId="8" borderId="26" xfId="296" applyNumberFormat="1" applyFont="1" applyFill="1" applyBorder="1"/>
    <xf numFmtId="178" fontId="16" fillId="8" borderId="78" xfId="103" applyNumberFormat="1" applyFont="1" applyFill="1" applyBorder="1" applyAlignment="1" applyProtection="1">
      <alignment horizontal="right"/>
    </xf>
    <xf numFmtId="201" fontId="36" fillId="0" borderId="26" xfId="2" applyNumberFormat="1" applyFont="1" applyFill="1" applyBorder="1" applyAlignment="1">
      <alignment horizontal="center" vertical="center"/>
    </xf>
    <xf numFmtId="0" fontId="24" fillId="6" borderId="26" xfId="296" applyFont="1" applyFill="1" applyBorder="1"/>
    <xf numFmtId="0" fontId="24" fillId="6" borderId="27" xfId="296" applyFont="1" applyFill="1" applyBorder="1"/>
    <xf numFmtId="0" fontId="44" fillId="6" borderId="0" xfId="296" applyFont="1" applyFill="1"/>
    <xf numFmtId="0" fontId="6" fillId="6" borderId="0" xfId="296" applyFill="1"/>
    <xf numFmtId="0" fontId="32" fillId="6" borderId="0" xfId="265" applyFont="1" applyFill="1"/>
    <xf numFmtId="0" fontId="32" fillId="0" borderId="0" xfId="0" applyFont="1"/>
    <xf numFmtId="0" fontId="32" fillId="6" borderId="0" xfId="296" applyFont="1" applyFill="1"/>
    <xf numFmtId="0" fontId="25" fillId="0" borderId="0" xfId="296" applyFont="1"/>
    <xf numFmtId="3" fontId="25" fillId="0" borderId="0" xfId="296" applyNumberFormat="1" applyFont="1"/>
    <xf numFmtId="0" fontId="45" fillId="0" borderId="0" xfId="319" applyFont="1" applyAlignment="1">
      <alignment horizontal="left"/>
    </xf>
    <xf numFmtId="3" fontId="41" fillId="4" borderId="5" xfId="296" applyNumberFormat="1" applyFont="1" applyFill="1" applyBorder="1" applyAlignment="1">
      <alignment horizontal="center"/>
    </xf>
    <xf numFmtId="0" fontId="41" fillId="4" borderId="5" xfId="296" applyFont="1" applyFill="1" applyBorder="1" applyAlignment="1">
      <alignment horizontal="center"/>
    </xf>
    <xf numFmtId="3" fontId="41" fillId="4" borderId="19" xfId="296" applyNumberFormat="1" applyFont="1" applyFill="1" applyBorder="1" applyAlignment="1">
      <alignment horizontal="center"/>
    </xf>
    <xf numFmtId="0" fontId="41" fillId="4" borderId="19" xfId="296" applyFont="1" applyFill="1" applyBorder="1" applyAlignment="1">
      <alignment horizontal="center"/>
    </xf>
    <xf numFmtId="0" fontId="41" fillId="6" borderId="87" xfId="296" applyFont="1" applyFill="1" applyBorder="1" applyAlignment="1">
      <alignment horizontal="center"/>
    </xf>
    <xf numFmtId="0" fontId="41" fillId="6" borderId="87" xfId="296" applyFont="1" applyFill="1" applyBorder="1"/>
    <xf numFmtId="0" fontId="25" fillId="6" borderId="87" xfId="296" applyFont="1" applyFill="1" applyBorder="1"/>
    <xf numFmtId="0" fontId="25" fillId="6" borderId="87" xfId="296" applyFont="1" applyFill="1" applyBorder="1" applyAlignment="1">
      <alignment horizontal="center"/>
    </xf>
    <xf numFmtId="3" fontId="25" fillId="6" borderId="87" xfId="296" applyNumberFormat="1" applyFont="1" applyFill="1" applyBorder="1"/>
    <xf numFmtId="0" fontId="24" fillId="6" borderId="119" xfId="296" applyFont="1" applyFill="1" applyBorder="1"/>
    <xf numFmtId="0" fontId="24" fillId="6" borderId="87" xfId="296" applyFont="1" applyFill="1" applyBorder="1"/>
    <xf numFmtId="0" fontId="41" fillId="6" borderId="88" xfId="296" applyFont="1" applyFill="1" applyBorder="1" applyAlignment="1">
      <alignment horizontal="right"/>
    </xf>
    <xf numFmtId="3" fontId="25" fillId="6" borderId="109" xfId="296" applyNumberFormat="1" applyFont="1" applyFill="1" applyBorder="1"/>
    <xf numFmtId="0" fontId="25" fillId="6" borderId="120" xfId="296" applyFont="1" applyFill="1" applyBorder="1"/>
    <xf numFmtId="0" fontId="24" fillId="6" borderId="113" xfId="296" applyFont="1" applyFill="1" applyBorder="1"/>
    <xf numFmtId="0" fontId="41" fillId="0" borderId="88" xfId="296" applyFont="1" applyBorder="1" applyAlignment="1">
      <alignment horizontal="right"/>
    </xf>
    <xf numFmtId="0" fontId="25" fillId="0" borderId="120" xfId="296" applyFont="1" applyBorder="1"/>
    <xf numFmtId="0" fontId="41" fillId="0" borderId="88" xfId="296" applyFont="1" applyBorder="1" applyAlignment="1">
      <alignment horizontal="left"/>
    </xf>
    <xf numFmtId="0" fontId="41" fillId="0" borderId="88" xfId="296" applyFont="1" applyBorder="1" applyAlignment="1">
      <alignment horizontal="center"/>
    </xf>
    <xf numFmtId="3" fontId="41" fillId="0" borderId="109" xfId="296" applyNumberFormat="1" applyFont="1" applyBorder="1"/>
    <xf numFmtId="4" fontId="41" fillId="0" borderId="120" xfId="296" applyNumberFormat="1" applyFont="1" applyBorder="1"/>
    <xf numFmtId="0" fontId="44" fillId="6" borderId="113" xfId="296" applyFont="1" applyFill="1" applyBorder="1"/>
    <xf numFmtId="0" fontId="44" fillId="6" borderId="88" xfId="296" applyFont="1" applyFill="1" applyBorder="1"/>
    <xf numFmtId="178" fontId="25" fillId="6" borderId="121" xfId="103" applyNumberFormat="1" applyFont="1" applyFill="1" applyBorder="1" applyAlignment="1" applyProtection="1">
      <alignment horizontal="right"/>
    </xf>
    <xf numFmtId="201" fontId="36" fillId="0" borderId="75" xfId="2" applyNumberFormat="1" applyFont="1" applyFill="1" applyBorder="1" applyAlignment="1">
      <alignment horizontal="center" vertical="center"/>
    </xf>
    <xf numFmtId="0" fontId="25" fillId="0" borderId="88" xfId="296" applyFont="1" applyBorder="1" applyAlignment="1">
      <alignment horizontal="right"/>
    </xf>
    <xf numFmtId="178" fontId="25" fillId="6" borderId="113" xfId="82" applyNumberFormat="1" applyFont="1" applyFill="1" applyBorder="1"/>
    <xf numFmtId="0" fontId="25" fillId="6" borderId="88" xfId="296" applyFont="1" applyFill="1" applyBorder="1" applyAlignment="1">
      <alignment horizontal="right"/>
    </xf>
    <xf numFmtId="178" fontId="25" fillId="6" borderId="112" xfId="103" applyNumberFormat="1" applyFont="1" applyFill="1" applyBorder="1" applyAlignment="1" applyProtection="1">
      <alignment horizontal="right"/>
    </xf>
    <xf numFmtId="201" fontId="24" fillId="6" borderId="113" xfId="296" applyNumberFormat="1" applyFont="1" applyFill="1" applyBorder="1"/>
    <xf numFmtId="3" fontId="25" fillId="6" borderId="88" xfId="296" applyNumberFormat="1" applyFont="1" applyFill="1" applyBorder="1" applyAlignment="1">
      <alignment horizontal="center"/>
    </xf>
    <xf numFmtId="178" fontId="25" fillId="6" borderId="112" xfId="82" applyNumberFormat="1" applyFont="1" applyFill="1" applyBorder="1" applyAlignment="1">
      <alignment horizontal="right" vertical="top"/>
    </xf>
    <xf numFmtId="0" fontId="24" fillId="0" borderId="113" xfId="296" applyFont="1" applyBorder="1"/>
    <xf numFmtId="0" fontId="41" fillId="6" borderId="88" xfId="296" applyFont="1" applyFill="1" applyBorder="1" applyAlignment="1">
      <alignment horizontal="right" vertical="top"/>
    </xf>
    <xf numFmtId="178" fontId="25" fillId="6" borderId="122" xfId="82" applyNumberFormat="1" applyFont="1" applyFill="1" applyBorder="1" applyAlignment="1">
      <alignment horizontal="right"/>
    </xf>
    <xf numFmtId="178" fontId="25" fillId="6" borderId="123" xfId="103" applyNumberFormat="1" applyFont="1" applyFill="1" applyBorder="1" applyAlignment="1" applyProtection="1">
      <alignment horizontal="right"/>
    </xf>
    <xf numFmtId="0" fontId="41" fillId="0" borderId="88" xfId="296" applyFont="1" applyBorder="1" applyAlignment="1">
      <alignment horizontal="right" vertical="top"/>
    </xf>
    <xf numFmtId="178" fontId="25" fillId="6" borderId="88" xfId="82" applyNumberFormat="1" applyFont="1" applyFill="1" applyBorder="1" applyAlignment="1">
      <alignment horizontal="right"/>
    </xf>
    <xf numFmtId="178" fontId="25" fillId="6" borderId="124" xfId="103" applyNumberFormat="1" applyFont="1" applyFill="1" applyBorder="1" applyAlignment="1" applyProtection="1">
      <alignment horizontal="right"/>
    </xf>
    <xf numFmtId="3" fontId="25" fillId="6" borderId="88" xfId="0" applyNumberFormat="1" applyFont="1" applyFill="1" applyBorder="1"/>
    <xf numFmtId="0" fontId="25" fillId="6" borderId="124" xfId="0" applyFont="1" applyFill="1" applyBorder="1"/>
    <xf numFmtId="178" fontId="25" fillId="6" borderId="88" xfId="82" applyNumberFormat="1" applyFont="1" applyFill="1" applyBorder="1" applyAlignment="1"/>
    <xf numFmtId="0" fontId="41" fillId="6" borderId="88" xfId="296" applyFont="1" applyFill="1" applyBorder="1" applyAlignment="1">
      <alignment horizontal="left"/>
    </xf>
    <xf numFmtId="178" fontId="25" fillId="6" borderId="125" xfId="82" applyNumberFormat="1" applyFont="1" applyFill="1" applyBorder="1" applyAlignment="1">
      <alignment horizontal="right"/>
    </xf>
    <xf numFmtId="0" fontId="41" fillId="6" borderId="72" xfId="296" applyFont="1" applyFill="1" applyBorder="1"/>
    <xf numFmtId="0" fontId="25" fillId="6" borderId="74" xfId="296" applyFont="1" applyFill="1" applyBorder="1" applyAlignment="1">
      <alignment horizontal="center"/>
    </xf>
    <xf numFmtId="178" fontId="25" fillId="6" borderId="75" xfId="296" applyNumberFormat="1" applyFont="1" applyFill="1" applyBorder="1"/>
    <xf numFmtId="0" fontId="41" fillId="6" borderId="88" xfId="296" applyFont="1" applyFill="1" applyBorder="1" applyAlignment="1">
      <alignment horizontal="left" indent="1"/>
    </xf>
    <xf numFmtId="0" fontId="25" fillId="6" borderId="88" xfId="296" applyFont="1" applyFill="1" applyBorder="1" applyAlignment="1">
      <alignment horizontal="left" indent="1"/>
    </xf>
    <xf numFmtId="3" fontId="25" fillId="6" borderId="88" xfId="296" applyNumberFormat="1" applyFont="1" applyFill="1" applyBorder="1" applyAlignment="1">
      <alignment horizontal="right"/>
    </xf>
    <xf numFmtId="0" fontId="25" fillId="6" borderId="88" xfId="265" applyFont="1" applyFill="1" applyBorder="1" applyAlignment="1">
      <alignment horizontal="center"/>
    </xf>
    <xf numFmtId="0" fontId="25" fillId="6" borderId="88" xfId="265" applyFont="1" applyFill="1" applyBorder="1"/>
    <xf numFmtId="0" fontId="25" fillId="6" borderId="113" xfId="265" applyFont="1" applyFill="1" applyBorder="1" applyAlignment="1">
      <alignment horizontal="center"/>
    </xf>
    <xf numFmtId="178" fontId="25" fillId="6" borderId="88" xfId="265" applyNumberFormat="1" applyFont="1" applyFill="1" applyBorder="1"/>
    <xf numFmtId="0" fontId="32" fillId="6" borderId="88" xfId="265" applyFont="1" applyFill="1" applyBorder="1"/>
    <xf numFmtId="0" fontId="41" fillId="6" borderId="88" xfId="296" applyFont="1" applyFill="1" applyBorder="1" applyAlignment="1">
      <alignment horizontal="right" indent="1"/>
    </xf>
    <xf numFmtId="178" fontId="25" fillId="0" borderId="1" xfId="0" applyNumberFormat="1" applyFont="1" applyBorder="1"/>
    <xf numFmtId="0" fontId="25" fillId="6" borderId="88" xfId="296" applyFont="1" applyFill="1" applyBorder="1" applyAlignment="1">
      <alignment horizontal="right" vertical="top"/>
    </xf>
    <xf numFmtId="0" fontId="25" fillId="6" borderId="75" xfId="296" applyFont="1" applyFill="1" applyBorder="1" applyAlignment="1">
      <alignment horizontal="right"/>
    </xf>
    <xf numFmtId="178" fontId="25" fillId="6" borderId="70" xfId="103" applyNumberFormat="1" applyFont="1" applyFill="1" applyBorder="1" applyAlignment="1" applyProtection="1">
      <alignment horizontal="right"/>
    </xf>
    <xf numFmtId="178" fontId="25" fillId="6" borderId="68" xfId="296" applyNumberFormat="1" applyFont="1" applyFill="1" applyBorder="1" applyAlignment="1">
      <alignment horizontal="right"/>
    </xf>
    <xf numFmtId="0" fontId="46" fillId="6" borderId="88" xfId="296" applyFont="1" applyFill="1" applyBorder="1"/>
    <xf numFmtId="0" fontId="43" fillId="6" borderId="88" xfId="296" applyFont="1" applyFill="1" applyBorder="1"/>
    <xf numFmtId="0" fontId="47" fillId="6" borderId="88" xfId="296" applyFont="1" applyFill="1" applyBorder="1"/>
    <xf numFmtId="0" fontId="48" fillId="6" borderId="113" xfId="296" applyFont="1" applyFill="1" applyBorder="1"/>
    <xf numFmtId="0" fontId="48" fillId="6" borderId="88" xfId="296" applyFont="1" applyFill="1" applyBorder="1"/>
    <xf numFmtId="3" fontId="48" fillId="6" borderId="88" xfId="296" applyNumberFormat="1" applyFont="1" applyFill="1" applyBorder="1"/>
    <xf numFmtId="0" fontId="48" fillId="0" borderId="126" xfId="0" applyFont="1" applyBorder="1"/>
    <xf numFmtId="0" fontId="32" fillId="0" borderId="113" xfId="0" applyFont="1" applyBorder="1"/>
    <xf numFmtId="0" fontId="32" fillId="0" borderId="88" xfId="0" applyFont="1" applyBorder="1"/>
    <xf numFmtId="178" fontId="0" fillId="0" borderId="68" xfId="0" applyNumberFormat="1" applyBorder="1" applyAlignment="1">
      <alignment horizontal="right"/>
    </xf>
    <xf numFmtId="178" fontId="0" fillId="0" borderId="0" xfId="0" applyNumberFormat="1" applyAlignment="1">
      <alignment horizontal="right"/>
    </xf>
    <xf numFmtId="0" fontId="48" fillId="6" borderId="113" xfId="296" applyFont="1" applyFill="1" applyBorder="1" applyAlignment="1">
      <alignment horizontal="center"/>
    </xf>
    <xf numFmtId="0" fontId="48" fillId="6" borderId="88" xfId="296" applyFont="1" applyFill="1" applyBorder="1" applyAlignment="1">
      <alignment horizontal="center"/>
    </xf>
    <xf numFmtId="178" fontId="48" fillId="6" borderId="88" xfId="296" applyNumberFormat="1" applyFont="1" applyFill="1" applyBorder="1"/>
    <xf numFmtId="0" fontId="32" fillId="6" borderId="88" xfId="296" applyFont="1" applyFill="1" applyBorder="1"/>
    <xf numFmtId="0" fontId="32" fillId="6" borderId="113" xfId="296" applyFont="1" applyFill="1" applyBorder="1"/>
    <xf numFmtId="0" fontId="41" fillId="6" borderId="88" xfId="265" applyFont="1" applyFill="1" applyBorder="1"/>
    <xf numFmtId="178" fontId="25" fillId="6" borderId="69" xfId="103" applyNumberFormat="1" applyFont="1" applyFill="1" applyBorder="1" applyAlignment="1" applyProtection="1">
      <alignment horizontal="right"/>
    </xf>
    <xf numFmtId="0" fontId="25" fillId="6" borderId="88" xfId="296" applyFont="1" applyFill="1" applyBorder="1" applyAlignment="1">
      <alignment vertical="center"/>
    </xf>
    <xf numFmtId="178" fontId="25" fillId="6" borderId="127" xfId="103" applyNumberFormat="1" applyFont="1" applyFill="1" applyBorder="1" applyAlignment="1" applyProtection="1">
      <alignment horizontal="right" vertical="center"/>
    </xf>
    <xf numFmtId="0" fontId="24" fillId="6" borderId="113" xfId="296" applyFont="1" applyFill="1" applyBorder="1" applyAlignment="1">
      <alignment vertical="center"/>
    </xf>
    <xf numFmtId="0" fontId="41" fillId="0" borderId="72" xfId="0" applyFont="1" applyBorder="1" applyAlignment="1">
      <alignment vertical="center"/>
    </xf>
    <xf numFmtId="0" fontId="25" fillId="6" borderId="128" xfId="296" applyFont="1" applyFill="1" applyBorder="1" applyAlignment="1">
      <alignment horizontal="center" vertical="top"/>
    </xf>
    <xf numFmtId="0" fontId="25" fillId="0" borderId="0" xfId="0" applyFont="1"/>
    <xf numFmtId="178" fontId="25" fillId="0" borderId="88" xfId="0" applyNumberFormat="1" applyFont="1" applyBorder="1"/>
    <xf numFmtId="0" fontId="25" fillId="0" borderId="127" xfId="0" applyFont="1" applyBorder="1"/>
    <xf numFmtId="0" fontId="25" fillId="6" borderId="69" xfId="265" applyFont="1" applyFill="1" applyBorder="1"/>
    <xf numFmtId="0" fontId="25" fillId="6" borderId="70" xfId="296" applyFont="1" applyFill="1" applyBorder="1" applyAlignment="1">
      <alignment horizontal="center" vertical="top"/>
    </xf>
    <xf numFmtId="0" fontId="41" fillId="6" borderId="85" xfId="296" applyFont="1" applyFill="1" applyBorder="1"/>
    <xf numFmtId="0" fontId="25" fillId="6" borderId="129" xfId="296" applyFont="1" applyFill="1" applyBorder="1"/>
    <xf numFmtId="0" fontId="24" fillId="6" borderId="73" xfId="296" applyFont="1" applyFill="1" applyBorder="1"/>
    <xf numFmtId="0" fontId="24" fillId="6" borderId="75" xfId="296" applyFont="1" applyFill="1" applyBorder="1"/>
    <xf numFmtId="0" fontId="41" fillId="0" borderId="117" xfId="296" applyFont="1" applyBorder="1" applyAlignment="1">
      <alignment horizontal="left" indent="1"/>
    </xf>
    <xf numFmtId="0" fontId="41" fillId="0" borderId="26" xfId="296" applyFont="1" applyBorder="1" applyAlignment="1">
      <alignment horizontal="right"/>
    </xf>
    <xf numFmtId="0" fontId="41" fillId="0" borderId="118" xfId="296" applyFont="1" applyBorder="1"/>
    <xf numFmtId="0" fontId="41" fillId="0" borderId="26" xfId="296" applyFont="1" applyBorder="1"/>
    <xf numFmtId="3" fontId="41" fillId="0" borderId="26" xfId="296" applyNumberFormat="1" applyFont="1" applyBorder="1"/>
    <xf numFmtId="178" fontId="41" fillId="0" borderId="80" xfId="103" applyNumberFormat="1" applyFont="1" applyFill="1" applyBorder="1" applyAlignment="1" applyProtection="1">
      <alignment horizontal="right"/>
    </xf>
    <xf numFmtId="0" fontId="41" fillId="4" borderId="3" xfId="296" applyFont="1" applyFill="1" applyBorder="1" applyAlignment="1">
      <alignment horizontal="center"/>
    </xf>
    <xf numFmtId="198" fontId="34" fillId="4" borderId="130" xfId="110" applyNumberFormat="1" applyFont="1" applyFill="1" applyBorder="1" applyAlignment="1">
      <alignment vertical="center"/>
    </xf>
    <xf numFmtId="0" fontId="41" fillId="4" borderId="55" xfId="296" applyFont="1" applyFill="1" applyBorder="1" applyAlignment="1">
      <alignment horizontal="center"/>
    </xf>
    <xf numFmtId="199" fontId="34" fillId="4" borderId="131" xfId="110" applyNumberFormat="1" applyFont="1" applyFill="1" applyBorder="1" applyAlignment="1">
      <alignment horizontal="center" vertical="center"/>
    </xf>
    <xf numFmtId="0" fontId="41" fillId="6" borderId="105" xfId="296" applyFont="1" applyFill="1" applyBorder="1" applyAlignment="1">
      <alignment horizontal="center"/>
    </xf>
    <xf numFmtId="0" fontId="24" fillId="6" borderId="106" xfId="296" applyFont="1" applyFill="1" applyBorder="1"/>
    <xf numFmtId="0" fontId="24" fillId="6" borderId="109" xfId="296" applyFont="1" applyFill="1" applyBorder="1"/>
    <xf numFmtId="0" fontId="41" fillId="7" borderId="88" xfId="296" applyFont="1" applyFill="1" applyBorder="1" applyAlignment="1">
      <alignment horizontal="center"/>
    </xf>
    <xf numFmtId="165" fontId="41" fillId="7" borderId="1" xfId="0" applyNumberFormat="1" applyFont="1" applyFill="1" applyBorder="1"/>
    <xf numFmtId="178" fontId="41" fillId="7" borderId="88" xfId="296" applyNumberFormat="1" applyFont="1" applyFill="1" applyBorder="1" applyAlignment="1">
      <alignment horizontal="right" vertical="top"/>
    </xf>
    <xf numFmtId="10" fontId="36" fillId="0" borderId="112" xfId="263" applyNumberFormat="1" applyFont="1" applyBorder="1" applyAlignment="1">
      <alignment vertical="center"/>
    </xf>
    <xf numFmtId="178" fontId="44" fillId="6" borderId="88" xfId="296" applyNumberFormat="1" applyFont="1" applyFill="1" applyBorder="1"/>
    <xf numFmtId="0" fontId="44" fillId="6" borderId="109" xfId="296" applyFont="1" applyFill="1" applyBorder="1"/>
    <xf numFmtId="165" fontId="25" fillId="6" borderId="88" xfId="3" applyFont="1" applyFill="1" applyBorder="1" applyAlignment="1"/>
    <xf numFmtId="178" fontId="25" fillId="6" borderId="88" xfId="296" applyNumberFormat="1" applyFont="1" applyFill="1" applyBorder="1" applyAlignment="1">
      <alignment horizontal="right"/>
    </xf>
    <xf numFmtId="0" fontId="24" fillId="6" borderId="109" xfId="296" applyFont="1" applyFill="1" applyBorder="1" applyAlignment="1">
      <alignment vertical="center"/>
    </xf>
    <xf numFmtId="4" fontId="25" fillId="6" borderId="113" xfId="296" applyNumberFormat="1" applyFont="1" applyFill="1" applyBorder="1" applyAlignment="1">
      <alignment horizontal="center"/>
    </xf>
    <xf numFmtId="178" fontId="25" fillId="6" borderId="0" xfId="103" applyNumberFormat="1" applyFont="1" applyFill="1" applyBorder="1" applyAlignment="1" applyProtection="1">
      <alignment horizontal="right"/>
    </xf>
    <xf numFmtId="178" fontId="25" fillId="6" borderId="132" xfId="103" applyNumberFormat="1" applyFont="1" applyFill="1" applyBorder="1" applyAlignment="1" applyProtection="1">
      <alignment horizontal="right"/>
    </xf>
    <xf numFmtId="0" fontId="41" fillId="6" borderId="108" xfId="296" applyFont="1" applyFill="1" applyBorder="1" applyAlignment="1">
      <alignment horizontal="right" vertical="center"/>
    </xf>
    <xf numFmtId="0" fontId="41" fillId="6" borderId="88" xfId="296" applyFont="1" applyFill="1" applyBorder="1" applyAlignment="1">
      <alignment vertical="center"/>
    </xf>
    <xf numFmtId="0" fontId="25" fillId="6" borderId="113" xfId="296" applyFont="1" applyFill="1" applyBorder="1" applyAlignment="1">
      <alignment vertical="center"/>
    </xf>
    <xf numFmtId="165" fontId="25" fillId="6" borderId="113" xfId="3" applyFont="1" applyFill="1" applyBorder="1" applyAlignment="1">
      <alignment vertical="center"/>
    </xf>
    <xf numFmtId="178" fontId="25" fillId="6" borderId="133" xfId="103" applyNumberFormat="1" applyFont="1" applyFill="1" applyBorder="1" applyAlignment="1" applyProtection="1">
      <alignment horizontal="right" vertical="center"/>
    </xf>
    <xf numFmtId="178" fontId="25" fillId="6" borderId="134" xfId="103" applyNumberFormat="1" applyFont="1" applyFill="1" applyBorder="1" applyAlignment="1" applyProtection="1">
      <alignment horizontal="right"/>
    </xf>
    <xf numFmtId="0" fontId="41" fillId="6" borderId="88" xfId="296" applyFont="1" applyFill="1" applyBorder="1" applyAlignment="1">
      <alignment horizontal="left" vertical="center"/>
    </xf>
    <xf numFmtId="165" fontId="25" fillId="6" borderId="113" xfId="3" applyFont="1" applyFill="1" applyBorder="1" applyAlignment="1">
      <alignment horizontal="right" vertical="center"/>
    </xf>
    <xf numFmtId="178" fontId="25" fillId="6" borderId="120" xfId="103" applyNumberFormat="1" applyFont="1" applyFill="1" applyBorder="1" applyAlignment="1" applyProtection="1">
      <alignment horizontal="right" vertical="center"/>
    </xf>
    <xf numFmtId="0" fontId="25" fillId="6" borderId="88" xfId="296" applyFont="1" applyFill="1" applyBorder="1" applyAlignment="1">
      <alignment horizontal="left" vertical="center"/>
    </xf>
    <xf numFmtId="0" fontId="25" fillId="6" borderId="75" xfId="296" applyFont="1" applyFill="1" applyBorder="1" applyAlignment="1">
      <alignment horizontal="left" vertical="center"/>
    </xf>
    <xf numFmtId="165" fontId="25" fillId="6" borderId="73" xfId="3" applyFont="1" applyFill="1" applyBorder="1" applyAlignment="1">
      <alignment horizontal="right" vertical="center"/>
    </xf>
    <xf numFmtId="178" fontId="25" fillId="6" borderId="135" xfId="103" applyNumberFormat="1" applyFont="1" applyFill="1" applyBorder="1" applyAlignment="1" applyProtection="1">
      <alignment horizontal="right" vertical="center"/>
    </xf>
    <xf numFmtId="0" fontId="24" fillId="6" borderId="115" xfId="296" applyFont="1" applyFill="1" applyBorder="1"/>
    <xf numFmtId="178" fontId="41" fillId="0" borderId="136" xfId="103" applyNumberFormat="1" applyFont="1" applyFill="1" applyBorder="1" applyAlignment="1" applyProtection="1">
      <alignment horizontal="right"/>
    </xf>
    <xf numFmtId="10" fontId="36" fillId="0" borderId="25" xfId="263" applyNumberFormat="1" applyFont="1" applyBorder="1" applyAlignment="1">
      <alignment vertical="center"/>
    </xf>
    <xf numFmtId="0" fontId="24" fillId="0" borderId="26" xfId="296" applyFont="1" applyBorder="1"/>
    <xf numFmtId="0" fontId="24" fillId="0" borderId="137" xfId="296" applyFont="1" applyBorder="1"/>
    <xf numFmtId="0" fontId="24" fillId="0" borderId="27" xfId="296" applyFont="1" applyBorder="1"/>
    <xf numFmtId="0" fontId="25" fillId="0" borderId="17" xfId="296" applyFont="1" applyBorder="1"/>
    <xf numFmtId="0" fontId="25" fillId="0" borderId="19" xfId="296" applyFont="1" applyBorder="1"/>
    <xf numFmtId="0" fontId="25" fillId="0" borderId="51" xfId="296" applyFont="1" applyBorder="1"/>
    <xf numFmtId="3" fontId="25" fillId="0" borderId="19" xfId="296" applyNumberFormat="1" applyFont="1" applyBorder="1"/>
    <xf numFmtId="0" fontId="24" fillId="0" borderId="19" xfId="296" applyFont="1" applyBorder="1"/>
    <xf numFmtId="0" fontId="24" fillId="0" borderId="20" xfId="296" applyFont="1" applyBorder="1"/>
    <xf numFmtId="0" fontId="25" fillId="0" borderId="0" xfId="308" applyFont="1" applyAlignment="1">
      <alignment vertical="center"/>
    </xf>
    <xf numFmtId="0" fontId="25" fillId="0" borderId="0" xfId="308" applyFont="1" applyAlignment="1">
      <alignment horizontal="left" vertical="center"/>
    </xf>
    <xf numFmtId="0" fontId="45" fillId="0" borderId="0" xfId="318" applyFont="1" applyAlignment="1">
      <alignment horizontal="left"/>
    </xf>
    <xf numFmtId="0" fontId="41" fillId="0" borderId="44" xfId="308" applyFont="1" applyBorder="1" applyAlignment="1">
      <alignment horizontal="center" vertical="center"/>
    </xf>
    <xf numFmtId="0" fontId="49" fillId="0" borderId="57" xfId="308" applyFont="1" applyBorder="1" applyAlignment="1">
      <alignment horizontal="center" vertical="center"/>
    </xf>
    <xf numFmtId="0" fontId="49" fillId="0" borderId="1" xfId="308" applyFont="1" applyBorder="1" applyAlignment="1">
      <alignment horizontal="center" vertical="center"/>
    </xf>
    <xf numFmtId="0" fontId="25" fillId="0" borderId="9" xfId="308" applyFont="1" applyBorder="1" applyAlignment="1">
      <alignment vertical="center"/>
    </xf>
    <xf numFmtId="0" fontId="25" fillId="0" borderId="56" xfId="308" applyFont="1" applyBorder="1" applyAlignment="1">
      <alignment horizontal="left" vertical="center"/>
    </xf>
    <xf numFmtId="0" fontId="25" fillId="0" borderId="1" xfId="308" applyFont="1" applyBorder="1" applyAlignment="1">
      <alignment vertical="center"/>
    </xf>
    <xf numFmtId="0" fontId="41" fillId="0" borderId="9" xfId="308" applyFont="1" applyBorder="1" applyAlignment="1">
      <alignment horizontal="center" vertical="center"/>
    </xf>
    <xf numFmtId="0" fontId="50" fillId="0" borderId="9" xfId="308" applyFont="1" applyBorder="1" applyAlignment="1">
      <alignment horizontal="left" vertical="center"/>
    </xf>
    <xf numFmtId="203" fontId="41" fillId="0" borderId="9" xfId="154" applyNumberFormat="1" applyFont="1" applyBorder="1" applyAlignment="1">
      <alignment horizontal="left" vertical="center"/>
    </xf>
    <xf numFmtId="0" fontId="50" fillId="0" borderId="1" xfId="308" applyFont="1" applyBorder="1" applyAlignment="1">
      <alignment horizontal="left" vertical="center"/>
    </xf>
    <xf numFmtId="0" fontId="25" fillId="0" borderId="9" xfId="308" applyFont="1" applyBorder="1" applyAlignment="1">
      <alignment horizontal="center" vertical="center"/>
    </xf>
    <xf numFmtId="0" fontId="25" fillId="0" borderId="61" xfId="308" applyFont="1" applyBorder="1" applyAlignment="1">
      <alignment vertical="center"/>
    </xf>
    <xf numFmtId="0" fontId="41" fillId="0" borderId="61" xfId="308" applyFont="1" applyBorder="1" applyAlignment="1">
      <alignment horizontal="left" vertical="center"/>
    </xf>
    <xf numFmtId="204" fontId="41" fillId="0" borderId="61" xfId="308" applyNumberFormat="1" applyFont="1" applyBorder="1" applyAlignment="1">
      <alignment horizontal="left" vertical="center"/>
    </xf>
    <xf numFmtId="0" fontId="41" fillId="0" borderId="1" xfId="308" applyFont="1" applyBorder="1" applyAlignment="1">
      <alignment horizontal="left" vertical="center"/>
    </xf>
    <xf numFmtId="0" fontId="25" fillId="9" borderId="61" xfId="308" applyFont="1" applyFill="1" applyBorder="1" applyAlignment="1">
      <alignment vertical="center"/>
    </xf>
    <xf numFmtId="0" fontId="41" fillId="9" borderId="57" xfId="308" applyFont="1" applyFill="1" applyBorder="1" applyAlignment="1">
      <alignment horizontal="left" vertical="center"/>
    </xf>
    <xf numFmtId="203" fontId="41" fillId="9" borderId="57" xfId="308" applyNumberFormat="1" applyFont="1" applyFill="1" applyBorder="1" applyAlignment="1">
      <alignment horizontal="left" vertical="center"/>
    </xf>
    <xf numFmtId="205" fontId="25" fillId="0" borderId="0" xfId="308" applyNumberFormat="1" applyFont="1" applyAlignment="1">
      <alignment horizontal="left" vertical="center"/>
    </xf>
    <xf numFmtId="203" fontId="41" fillId="0" borderId="0" xfId="154" applyNumberFormat="1" applyFont="1" applyBorder="1" applyAlignment="1">
      <alignment horizontal="left" vertical="center"/>
    </xf>
    <xf numFmtId="203" fontId="25" fillId="0" borderId="0" xfId="308" applyNumberFormat="1" applyFont="1" applyAlignment="1">
      <alignment horizontal="left" vertical="center"/>
    </xf>
    <xf numFmtId="0" fontId="0" fillId="4" borderId="0" xfId="0" applyFill="1"/>
    <xf numFmtId="0" fontId="39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196" fontId="39" fillId="0" borderId="0" xfId="3" applyNumberFormat="1" applyFont="1" applyFill="1" applyAlignment="1">
      <alignment horizontal="right" vertical="center"/>
    </xf>
    <xf numFmtId="0" fontId="51" fillId="0" borderId="0" xfId="0" applyFont="1" applyAlignment="1">
      <alignment vertical="center"/>
    </xf>
    <xf numFmtId="0" fontId="51" fillId="0" borderId="0" xfId="0" applyFont="1"/>
    <xf numFmtId="0" fontId="51" fillId="10" borderId="0" xfId="0" applyFont="1" applyFill="1" applyAlignment="1">
      <alignment vertical="center"/>
    </xf>
    <xf numFmtId="0" fontId="39" fillId="0" borderId="0" xfId="0" applyFont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96" fontId="39" fillId="0" borderId="0" xfId="3" applyNumberFormat="1" applyFont="1" applyFill="1" applyAlignment="1">
      <alignment vertical="center"/>
    </xf>
    <xf numFmtId="196" fontId="52" fillId="0" borderId="0" xfId="3" applyNumberFormat="1" applyFont="1" applyFill="1" applyAlignment="1">
      <alignment vertical="center"/>
    </xf>
    <xf numFmtId="197" fontId="39" fillId="0" borderId="0" xfId="1" applyNumberFormat="1" applyFont="1" applyFill="1" applyAlignment="1">
      <alignment horizontal="right" vertical="center"/>
    </xf>
    <xf numFmtId="165" fontId="0" fillId="0" borderId="0" xfId="0" applyNumberFormat="1"/>
    <xf numFmtId="196" fontId="0" fillId="0" borderId="0" xfId="3" applyNumberFormat="1" applyFont="1" applyFill="1"/>
    <xf numFmtId="4" fontId="34" fillId="0" borderId="0" xfId="0" applyNumberFormat="1" applyFont="1" applyAlignment="1" applyProtection="1">
      <alignment horizontal="left" vertical="center"/>
      <protection locked="0"/>
    </xf>
    <xf numFmtId="4" fontId="34" fillId="0" borderId="0" xfId="0" applyNumberFormat="1" applyFont="1" applyAlignment="1" applyProtection="1">
      <alignment horizontal="left" vertical="center" wrapText="1"/>
      <protection locked="0"/>
    </xf>
    <xf numFmtId="4" fontId="39" fillId="0" borderId="0" xfId="0" applyNumberFormat="1" applyFont="1" applyAlignment="1" applyProtection="1">
      <alignment horizontal="left" vertical="center" wrapText="1"/>
      <protection locked="0"/>
    </xf>
    <xf numFmtId="4" fontId="52" fillId="0" borderId="0" xfId="0" applyNumberFormat="1" applyFont="1" applyAlignment="1" applyProtection="1">
      <alignment horizontal="left" vertical="center" wrapText="1"/>
      <protection locked="0"/>
    </xf>
    <xf numFmtId="197" fontId="34" fillId="0" borderId="0" xfId="1" applyNumberFormat="1" applyFont="1" applyFill="1" applyBorder="1" applyAlignment="1" applyProtection="1">
      <alignment horizontal="right" vertical="center" wrapText="1"/>
      <protection locked="0"/>
    </xf>
    <xf numFmtId="196" fontId="34" fillId="0" borderId="0" xfId="3" applyNumberFormat="1" applyFont="1" applyFill="1" applyBorder="1" applyAlignment="1" applyProtection="1">
      <alignment horizontal="right" vertical="center" wrapText="1"/>
      <protection locked="0"/>
    </xf>
    <xf numFmtId="0" fontId="34" fillId="0" borderId="0" xfId="0" applyFont="1" applyAlignment="1">
      <alignment horizontal="left" wrapText="1"/>
    </xf>
    <xf numFmtId="0" fontId="39" fillId="0" borderId="0" xfId="0" applyFont="1" applyAlignment="1">
      <alignment horizontal="left" wrapText="1"/>
    </xf>
    <xf numFmtId="0" fontId="52" fillId="0" borderId="0" xfId="0" applyFont="1" applyAlignment="1">
      <alignment horizontal="left" wrapText="1"/>
    </xf>
    <xf numFmtId="197" fontId="34" fillId="0" borderId="0" xfId="1" applyNumberFormat="1" applyFont="1" applyFill="1" applyBorder="1" applyAlignment="1">
      <alignment horizontal="right" wrapText="1"/>
    </xf>
    <xf numFmtId="196" fontId="34" fillId="0" borderId="0" xfId="3" applyNumberFormat="1" applyFont="1" applyFill="1" applyBorder="1" applyAlignment="1">
      <alignment horizontal="right" wrapText="1"/>
    </xf>
    <xf numFmtId="0" fontId="34" fillId="0" borderId="0" xfId="0" applyFont="1" applyAlignment="1" applyProtection="1">
      <alignment horizontal="left" wrapText="1"/>
      <protection locked="0"/>
    </xf>
    <xf numFmtId="0" fontId="39" fillId="0" borderId="0" xfId="0" applyFont="1" applyAlignment="1" applyProtection="1">
      <alignment horizontal="left" wrapText="1"/>
      <protection locked="0"/>
    </xf>
    <xf numFmtId="0" fontId="52" fillId="0" borderId="0" xfId="0" applyFont="1" applyAlignment="1" applyProtection="1">
      <alignment horizontal="left" wrapText="1"/>
      <protection locked="0"/>
    </xf>
    <xf numFmtId="197" fontId="34" fillId="0" borderId="0" xfId="1" applyNumberFormat="1" applyFont="1" applyFill="1" applyBorder="1" applyAlignment="1" applyProtection="1">
      <alignment horizontal="right" wrapText="1"/>
      <protection locked="0"/>
    </xf>
    <xf numFmtId="196" fontId="34" fillId="0" borderId="0" xfId="3" applyNumberFormat="1" applyFont="1" applyFill="1" applyBorder="1" applyAlignment="1" applyProtection="1">
      <alignment horizontal="right" wrapText="1"/>
      <protection locked="0"/>
    </xf>
    <xf numFmtId="0" fontId="34" fillId="0" borderId="0" xfId="0" applyFont="1" applyAlignment="1" applyProtection="1">
      <alignment horizontal="center"/>
      <protection locked="0"/>
    </xf>
    <xf numFmtId="0" fontId="39" fillId="0" borderId="0" xfId="0" applyFont="1" applyAlignment="1" applyProtection="1">
      <alignment horizontal="center"/>
      <protection locked="0"/>
    </xf>
    <xf numFmtId="196" fontId="39" fillId="0" borderId="0" xfId="3" applyNumberFormat="1" applyFont="1" applyFill="1" applyBorder="1" applyAlignment="1">
      <alignment horizontal="center" vertical="center"/>
    </xf>
    <xf numFmtId="196" fontId="52" fillId="0" borderId="0" xfId="3" applyNumberFormat="1" applyFont="1" applyFill="1" applyBorder="1" applyAlignment="1">
      <alignment horizontal="center" vertical="center"/>
    </xf>
    <xf numFmtId="197" fontId="34" fillId="0" borderId="0" xfId="1" applyNumberFormat="1" applyFont="1" applyFill="1" applyBorder="1" applyAlignment="1" applyProtection="1">
      <alignment horizontal="right"/>
      <protection locked="0"/>
    </xf>
    <xf numFmtId="196" fontId="34" fillId="0" borderId="0" xfId="3" applyNumberFormat="1" applyFont="1" applyFill="1" applyBorder="1" applyAlignment="1" applyProtection="1">
      <alignment horizontal="right"/>
      <protection locked="0"/>
    </xf>
    <xf numFmtId="0" fontId="39" fillId="0" borderId="0" xfId="0" applyFont="1" applyAlignment="1">
      <alignment horizontal="center"/>
    </xf>
    <xf numFmtId="4" fontId="39" fillId="0" borderId="0" xfId="0" applyNumberFormat="1" applyFont="1" applyAlignment="1">
      <alignment horizontal="center"/>
    </xf>
    <xf numFmtId="196" fontId="39" fillId="0" borderId="0" xfId="3" applyNumberFormat="1" applyFont="1" applyFill="1" applyBorder="1" applyAlignment="1">
      <alignment horizontal="center"/>
    </xf>
    <xf numFmtId="196" fontId="52" fillId="0" borderId="0" xfId="3" applyNumberFormat="1" applyFont="1" applyFill="1" applyBorder="1" applyAlignment="1">
      <alignment horizontal="center"/>
    </xf>
    <xf numFmtId="197" fontId="39" fillId="0" borderId="0" xfId="1" applyNumberFormat="1" applyFont="1" applyFill="1" applyBorder="1" applyAlignment="1">
      <alignment horizontal="right"/>
    </xf>
    <xf numFmtId="197" fontId="34" fillId="0" borderId="0" xfId="1" applyNumberFormat="1" applyFont="1" applyFill="1" applyBorder="1" applyAlignment="1">
      <alignment horizontal="right"/>
    </xf>
    <xf numFmtId="196" fontId="34" fillId="0" borderId="0" xfId="3" applyNumberFormat="1" applyFont="1" applyFill="1" applyBorder="1" applyAlignment="1">
      <alignment horizontal="right"/>
    </xf>
    <xf numFmtId="196" fontId="52" fillId="4" borderId="62" xfId="3" applyNumberFormat="1" applyFont="1" applyFill="1" applyBorder="1" applyAlignment="1" applyProtection="1">
      <alignment horizontal="center" vertical="center"/>
    </xf>
    <xf numFmtId="196" fontId="34" fillId="4" borderId="62" xfId="3" applyNumberFormat="1" applyFont="1" applyFill="1" applyBorder="1" applyAlignment="1" applyProtection="1">
      <alignment vertical="center"/>
    </xf>
    <xf numFmtId="196" fontId="34" fillId="4" borderId="130" xfId="3" applyNumberFormat="1" applyFont="1" applyFill="1" applyBorder="1" applyAlignment="1" applyProtection="1">
      <alignment vertical="center"/>
    </xf>
    <xf numFmtId="198" fontId="34" fillId="4" borderId="95" xfId="110" applyNumberFormat="1" applyFont="1" applyFill="1" applyBorder="1" applyAlignment="1">
      <alignment vertical="center"/>
    </xf>
    <xf numFmtId="4" fontId="34" fillId="4" borderId="131" xfId="0" applyNumberFormat="1" applyFont="1" applyFill="1" applyBorder="1" applyAlignment="1">
      <alignment horizontal="center" vertical="center" wrapText="1"/>
    </xf>
    <xf numFmtId="198" fontId="34" fillId="4" borderId="142" xfId="110" applyNumberFormat="1" applyFont="1" applyFill="1" applyBorder="1" applyAlignment="1">
      <alignment horizontal="center" vertical="center"/>
    </xf>
    <xf numFmtId="199" fontId="34" fillId="4" borderId="102" xfId="110" applyNumberFormat="1" applyFont="1" applyFill="1" applyBorder="1" applyAlignment="1">
      <alignment horizontal="center" vertical="center"/>
    </xf>
    <xf numFmtId="0" fontId="39" fillId="0" borderId="144" xfId="0" applyFont="1" applyBorder="1" applyAlignment="1">
      <alignment horizontal="center" vertical="center"/>
    </xf>
    <xf numFmtId="0" fontId="39" fillId="0" borderId="106" xfId="0" applyFont="1" applyBorder="1" applyAlignment="1">
      <alignment vertical="center"/>
    </xf>
    <xf numFmtId="0" fontId="39" fillId="0" borderId="125" xfId="0" applyFont="1" applyBorder="1" applyAlignment="1">
      <alignment vertical="center"/>
    </xf>
    <xf numFmtId="0" fontId="39" fillId="0" borderId="125" xfId="0" applyFont="1" applyBorder="1" applyAlignment="1">
      <alignment horizontal="justify" vertical="center" wrapText="1"/>
    </xf>
    <xf numFmtId="0" fontId="39" fillId="0" borderId="87" xfId="0" applyFont="1" applyBorder="1" applyAlignment="1">
      <alignment horizontal="center" vertical="center"/>
    </xf>
    <xf numFmtId="196" fontId="39" fillId="0" borderId="87" xfId="3" applyNumberFormat="1" applyFont="1" applyFill="1" applyBorder="1" applyAlignment="1" applyProtection="1">
      <alignment vertical="center"/>
    </xf>
    <xf numFmtId="196" fontId="52" fillId="0" borderId="87" xfId="3" applyNumberFormat="1" applyFont="1" applyFill="1" applyBorder="1" applyAlignment="1" applyProtection="1">
      <alignment vertical="center"/>
    </xf>
    <xf numFmtId="197" fontId="39" fillId="0" borderId="87" xfId="1" applyNumberFormat="1" applyFont="1" applyFill="1" applyBorder="1" applyAlignment="1" applyProtection="1">
      <alignment horizontal="right" vertical="center"/>
    </xf>
    <xf numFmtId="197" fontId="39" fillId="0" borderId="145" xfId="1" applyNumberFormat="1" applyFont="1" applyFill="1" applyBorder="1" applyAlignment="1" applyProtection="1">
      <alignment horizontal="right" vertical="center"/>
    </xf>
    <xf numFmtId="197" fontId="39" fillId="0" borderId="125" xfId="1" applyNumberFormat="1" applyFont="1" applyFill="1" applyBorder="1" applyAlignment="1" applyProtection="1">
      <alignment horizontal="right" vertical="center"/>
    </xf>
    <xf numFmtId="196" fontId="39" fillId="0" borderId="105" xfId="3" applyNumberFormat="1" applyFont="1" applyFill="1" applyBorder="1" applyAlignment="1" applyProtection="1">
      <alignment horizontal="right" vertical="center"/>
    </xf>
    <xf numFmtId="165" fontId="0" fillId="0" borderId="87" xfId="0" applyNumberFormat="1" applyBorder="1"/>
    <xf numFmtId="196" fontId="0" fillId="0" borderId="87" xfId="3" applyNumberFormat="1" applyFont="1" applyFill="1" applyBorder="1"/>
    <xf numFmtId="0" fontId="0" fillId="0" borderId="87" xfId="0" applyBorder="1"/>
    <xf numFmtId="0" fontId="0" fillId="0" borderId="106" xfId="0" applyBorder="1"/>
    <xf numFmtId="0" fontId="34" fillId="0" borderId="146" xfId="0" applyFont="1" applyBorder="1" applyAlignment="1">
      <alignment horizontal="center" vertical="center"/>
    </xf>
    <xf numFmtId="0" fontId="34" fillId="0" borderId="109" xfId="0" applyFont="1" applyBorder="1" applyAlignment="1">
      <alignment vertical="center"/>
    </xf>
    <xf numFmtId="0" fontId="34" fillId="0" borderId="112" xfId="0" applyFont="1" applyBorder="1" applyAlignment="1">
      <alignment vertical="center"/>
    </xf>
    <xf numFmtId="0" fontId="39" fillId="0" borderId="88" xfId="0" applyFont="1" applyBorder="1" applyAlignment="1">
      <alignment horizontal="center" vertical="center"/>
    </xf>
    <xf numFmtId="196" fontId="39" fillId="0" borderId="88" xfId="3" applyNumberFormat="1" applyFont="1" applyFill="1" applyBorder="1" applyAlignment="1" applyProtection="1">
      <alignment vertical="center"/>
    </xf>
    <xf numFmtId="196" fontId="52" fillId="0" borderId="88" xfId="3" applyNumberFormat="1" applyFont="1" applyFill="1" applyBorder="1" applyAlignment="1" applyProtection="1">
      <alignment vertical="center"/>
    </xf>
    <xf numFmtId="197" fontId="39" fillId="0" borderId="88" xfId="1" applyNumberFormat="1" applyFont="1" applyFill="1" applyBorder="1" applyAlignment="1" applyProtection="1">
      <alignment horizontal="right" vertical="center"/>
    </xf>
    <xf numFmtId="197" fontId="39" fillId="0" borderId="110" xfId="1" applyNumberFormat="1" applyFont="1" applyFill="1" applyBorder="1" applyAlignment="1" applyProtection="1">
      <alignment horizontal="right" vertical="center"/>
    </xf>
    <xf numFmtId="197" fontId="39" fillId="0" borderId="112" xfId="1" applyNumberFormat="1" applyFont="1" applyFill="1" applyBorder="1" applyAlignment="1" applyProtection="1">
      <alignment horizontal="right" vertical="center"/>
    </xf>
    <xf numFmtId="196" fontId="39" fillId="0" borderId="108" xfId="3" applyNumberFormat="1" applyFont="1" applyFill="1" applyBorder="1" applyAlignment="1" applyProtection="1">
      <alignment horizontal="right" vertical="center"/>
    </xf>
    <xf numFmtId="165" fontId="0" fillId="0" borderId="88" xfId="0" applyNumberFormat="1" applyBorder="1"/>
    <xf numFmtId="196" fontId="0" fillId="0" borderId="88" xfId="3" applyNumberFormat="1" applyFont="1" applyFill="1" applyBorder="1"/>
    <xf numFmtId="0" fontId="0" fillId="0" borderId="88" xfId="0" applyBorder="1"/>
    <xf numFmtId="0" fontId="0" fillId="0" borderId="109" xfId="0" applyBorder="1"/>
    <xf numFmtId="196" fontId="39" fillId="0" borderId="88" xfId="90" applyNumberFormat="1" applyFont="1" applyFill="1" applyBorder="1" applyAlignment="1" applyProtection="1">
      <alignment vertical="center"/>
    </xf>
    <xf numFmtId="196" fontId="52" fillId="0" borderId="88" xfId="90" applyNumberFormat="1" applyFont="1" applyFill="1" applyBorder="1" applyAlignment="1" applyProtection="1">
      <alignment vertical="center"/>
    </xf>
    <xf numFmtId="197" fontId="39" fillId="0" borderId="88" xfId="109" applyNumberFormat="1" applyFont="1" applyFill="1" applyBorder="1" applyAlignment="1" applyProtection="1">
      <alignment horizontal="right" vertical="center"/>
    </xf>
    <xf numFmtId="197" fontId="39" fillId="0" borderId="110" xfId="109" applyNumberFormat="1" applyFont="1" applyFill="1" applyBorder="1" applyAlignment="1" applyProtection="1">
      <alignment horizontal="right" vertical="center"/>
    </xf>
    <xf numFmtId="197" fontId="39" fillId="0" borderId="112" xfId="109" applyNumberFormat="1" applyFont="1" applyFill="1" applyBorder="1" applyAlignment="1" applyProtection="1">
      <alignment horizontal="right" vertical="center"/>
    </xf>
    <xf numFmtId="165" fontId="39" fillId="0" borderId="88" xfId="0" applyNumberFormat="1" applyFont="1" applyBorder="1" applyAlignment="1">
      <alignment vertical="center"/>
    </xf>
    <xf numFmtId="196" fontId="39" fillId="0" borderId="88" xfId="3" applyNumberFormat="1" applyFont="1" applyFill="1" applyBorder="1" applyAlignment="1">
      <alignment vertical="center"/>
    </xf>
    <xf numFmtId="0" fontId="39" fillId="0" borderId="88" xfId="0" applyFont="1" applyBorder="1" applyAlignment="1">
      <alignment vertical="center"/>
    </xf>
    <xf numFmtId="0" fontId="39" fillId="0" borderId="109" xfId="0" applyFont="1" applyBorder="1" applyAlignment="1">
      <alignment vertical="center"/>
    </xf>
    <xf numFmtId="0" fontId="39" fillId="0" borderId="108" xfId="0" applyFont="1" applyBorder="1" applyAlignment="1">
      <alignment horizontal="center" vertical="center"/>
    </xf>
    <xf numFmtId="0" fontId="39" fillId="0" borderId="112" xfId="0" applyFont="1" applyBorder="1" applyAlignment="1">
      <alignment vertical="center"/>
    </xf>
    <xf numFmtId="0" fontId="39" fillId="0" borderId="112" xfId="0" applyFont="1" applyBorder="1" applyAlignment="1">
      <alignment horizontal="right" vertical="center"/>
    </xf>
    <xf numFmtId="0" fontId="34" fillId="0" borderId="108" xfId="0" applyFont="1" applyBorder="1" applyAlignment="1">
      <alignment vertical="center"/>
    </xf>
    <xf numFmtId="0" fontId="34" fillId="0" borderId="88" xfId="0" applyFont="1" applyBorder="1" applyAlignment="1">
      <alignment vertical="center"/>
    </xf>
    <xf numFmtId="0" fontId="53" fillId="0" borderId="112" xfId="0" applyFont="1" applyBorder="1" applyAlignment="1">
      <alignment horizontal="left" vertical="center" wrapText="1"/>
    </xf>
    <xf numFmtId="196" fontId="52" fillId="0" borderId="88" xfId="3" applyNumberFormat="1" applyFont="1" applyFill="1" applyBorder="1" applyAlignment="1">
      <alignment vertical="center"/>
    </xf>
    <xf numFmtId="196" fontId="39" fillId="0" borderId="108" xfId="3" applyNumberFormat="1" applyFont="1" applyFill="1" applyBorder="1" applyAlignment="1">
      <alignment horizontal="right" vertical="center"/>
    </xf>
    <xf numFmtId="197" fontId="39" fillId="0" borderId="88" xfId="1" applyNumberFormat="1" applyFont="1" applyFill="1" applyBorder="1" applyAlignment="1">
      <alignment horizontal="right" vertical="center"/>
    </xf>
    <xf numFmtId="0" fontId="39" fillId="0" borderId="146" xfId="0" applyFont="1" applyBorder="1" applyAlignment="1">
      <alignment horizontal="center" vertical="center"/>
    </xf>
    <xf numFmtId="0" fontId="39" fillId="0" borderId="146" xfId="0" applyFont="1" applyBorder="1" applyAlignment="1">
      <alignment horizontal="right" vertical="center"/>
    </xf>
    <xf numFmtId="0" fontId="39" fillId="0" borderId="112" xfId="0" applyFont="1" applyBorder="1" applyAlignment="1">
      <alignment horizontal="left" vertical="top"/>
    </xf>
    <xf numFmtId="0" fontId="39" fillId="0" borderId="114" xfId="0" applyFont="1" applyBorder="1" applyAlignment="1">
      <alignment horizontal="right" vertical="center"/>
    </xf>
    <xf numFmtId="0" fontId="39" fillId="0" borderId="122" xfId="0" applyFont="1" applyBorder="1" applyAlignment="1">
      <alignment horizontal="center" vertical="center"/>
    </xf>
    <xf numFmtId="0" fontId="39" fillId="0" borderId="122" xfId="0" applyFont="1" applyBorder="1" applyAlignment="1">
      <alignment vertical="center"/>
    </xf>
    <xf numFmtId="0" fontId="39" fillId="0" borderId="75" xfId="0" applyFont="1" applyBorder="1" applyAlignment="1">
      <alignment horizontal="center" vertical="center"/>
    </xf>
    <xf numFmtId="196" fontId="39" fillId="0" borderId="75" xfId="3" applyNumberFormat="1" applyFont="1" applyFill="1" applyBorder="1" applyAlignment="1" applyProtection="1">
      <alignment vertical="center"/>
    </xf>
    <xf numFmtId="196" fontId="52" fillId="0" borderId="75" xfId="3" applyNumberFormat="1" applyFont="1" applyFill="1" applyBorder="1" applyAlignment="1" applyProtection="1">
      <alignment vertical="center"/>
    </xf>
    <xf numFmtId="197" fontId="39" fillId="0" borderId="75" xfId="1" applyNumberFormat="1" applyFont="1" applyFill="1" applyBorder="1" applyAlignment="1" applyProtection="1">
      <alignment horizontal="right" vertical="center"/>
    </xf>
    <xf numFmtId="197" fontId="39" fillId="0" borderId="147" xfId="1" applyNumberFormat="1" applyFont="1" applyFill="1" applyBorder="1" applyAlignment="1" applyProtection="1">
      <alignment horizontal="right" vertical="center"/>
    </xf>
    <xf numFmtId="197" fontId="39" fillId="0" borderId="122" xfId="1" applyNumberFormat="1" applyFont="1" applyFill="1" applyBorder="1" applyAlignment="1" applyProtection="1">
      <alignment horizontal="right" vertical="center"/>
    </xf>
    <xf numFmtId="196" fontId="39" fillId="0" borderId="114" xfId="3" applyNumberFormat="1" applyFont="1" applyFill="1" applyBorder="1" applyAlignment="1">
      <alignment horizontal="right" vertical="center"/>
    </xf>
    <xf numFmtId="196" fontId="39" fillId="0" borderId="75" xfId="3" applyNumberFormat="1" applyFont="1" applyFill="1" applyBorder="1" applyAlignment="1">
      <alignment horizontal="right" vertical="center"/>
    </xf>
    <xf numFmtId="196" fontId="39" fillId="0" borderId="115" xfId="3" applyNumberFormat="1" applyFont="1" applyFill="1" applyBorder="1" applyAlignment="1">
      <alignment horizontal="right" vertical="center"/>
    </xf>
    <xf numFmtId="0" fontId="39" fillId="0" borderId="24" xfId="0" applyFont="1" applyBorder="1" applyAlignment="1">
      <alignment horizontal="center" vertical="center"/>
    </xf>
    <xf numFmtId="0" fontId="39" fillId="0" borderId="137" xfId="0" applyFont="1" applyBorder="1" applyAlignment="1">
      <alignment vertical="center"/>
    </xf>
    <xf numFmtId="0" fontId="39" fillId="0" borderId="25" xfId="0" applyFont="1" applyBorder="1" applyAlignment="1">
      <alignment vertical="center"/>
    </xf>
    <xf numFmtId="0" fontId="34" fillId="0" borderId="25" xfId="0" applyFont="1" applyBorder="1" applyAlignment="1">
      <alignment horizontal="right" vertical="center"/>
    </xf>
    <xf numFmtId="0" fontId="39" fillId="0" borderId="26" xfId="0" applyFont="1" applyBorder="1" applyAlignment="1">
      <alignment horizontal="center" vertical="center"/>
    </xf>
    <xf numFmtId="196" fontId="39" fillId="0" borderId="26" xfId="3" applyNumberFormat="1" applyFont="1" applyFill="1" applyBorder="1" applyAlignment="1" applyProtection="1">
      <alignment vertical="center"/>
    </xf>
    <xf numFmtId="196" fontId="52" fillId="0" borderId="26" xfId="3" applyNumberFormat="1" applyFont="1" applyFill="1" applyBorder="1" applyAlignment="1" applyProtection="1">
      <alignment vertical="center"/>
    </xf>
    <xf numFmtId="197" fontId="39" fillId="0" borderId="26" xfId="1" applyNumberFormat="1" applyFont="1" applyFill="1" applyBorder="1" applyAlignment="1" applyProtection="1">
      <alignment horizontal="right" vertical="center"/>
    </xf>
    <xf numFmtId="197" fontId="34" fillId="0" borderId="27" xfId="1" applyNumberFormat="1" applyFont="1" applyFill="1" applyBorder="1" applyAlignment="1" applyProtection="1">
      <alignment horizontal="right" vertical="center"/>
    </xf>
    <xf numFmtId="196" fontId="39" fillId="0" borderId="117" xfId="3" applyNumberFormat="1" applyFont="1" applyFill="1" applyBorder="1" applyAlignment="1">
      <alignment horizontal="right" vertical="center"/>
    </xf>
    <xf numFmtId="196" fontId="39" fillId="0" borderId="26" xfId="3" applyNumberFormat="1" applyFont="1" applyFill="1" applyBorder="1" applyAlignment="1">
      <alignment horizontal="right" vertical="center"/>
    </xf>
    <xf numFmtId="196" fontId="39" fillId="0" borderId="27" xfId="3" applyNumberFormat="1" applyFont="1" applyFill="1" applyBorder="1" applyAlignment="1">
      <alignment horizontal="right" vertical="center"/>
    </xf>
    <xf numFmtId="0" fontId="39" fillId="0" borderId="105" xfId="0" applyFont="1" applyBorder="1" applyAlignment="1">
      <alignment horizontal="center" vertical="center"/>
    </xf>
    <xf numFmtId="0" fontId="34" fillId="0" borderId="125" xfId="0" applyFont="1" applyBorder="1" applyAlignment="1">
      <alignment horizontal="right" vertical="center"/>
    </xf>
    <xf numFmtId="197" fontId="34" fillId="0" borderId="145" xfId="1" applyNumberFormat="1" applyFont="1" applyFill="1" applyBorder="1" applyAlignment="1" applyProtection="1">
      <alignment horizontal="right" vertical="center"/>
    </xf>
    <xf numFmtId="197" fontId="34" fillId="0" borderId="125" xfId="1" applyNumberFormat="1" applyFont="1" applyFill="1" applyBorder="1" applyAlignment="1" applyProtection="1">
      <alignment horizontal="right" vertical="center"/>
    </xf>
    <xf numFmtId="196" fontId="39" fillId="0" borderId="105" xfId="3" applyNumberFormat="1" applyFont="1" applyFill="1" applyBorder="1" applyAlignment="1">
      <alignment horizontal="right" vertical="center"/>
    </xf>
    <xf numFmtId="196" fontId="39" fillId="0" borderId="87" xfId="3" applyNumberFormat="1" applyFont="1" applyFill="1" applyBorder="1" applyAlignment="1">
      <alignment horizontal="right" vertical="center"/>
    </xf>
    <xf numFmtId="196" fontId="39" fillId="0" borderId="106" xfId="3" applyNumberFormat="1" applyFont="1" applyFill="1" applyBorder="1" applyAlignment="1">
      <alignment horizontal="right" vertical="center"/>
    </xf>
    <xf numFmtId="196" fontId="39" fillId="0" borderId="88" xfId="3" applyNumberFormat="1" applyFont="1" applyFill="1" applyBorder="1" applyAlignment="1">
      <alignment horizontal="right" vertical="center"/>
    </xf>
    <xf numFmtId="196" fontId="39" fillId="0" borderId="109" xfId="3" applyNumberFormat="1" applyFont="1" applyFill="1" applyBorder="1" applyAlignment="1">
      <alignment horizontal="right" vertical="center"/>
    </xf>
    <xf numFmtId="0" fontId="39" fillId="0" borderId="108" xfId="0" applyFont="1" applyBorder="1" applyAlignment="1">
      <alignment vertical="center"/>
    </xf>
    <xf numFmtId="0" fontId="53" fillId="0" borderId="112" xfId="0" applyFont="1" applyBorder="1" applyAlignment="1">
      <alignment vertical="center"/>
    </xf>
    <xf numFmtId="164" fontId="39" fillId="0" borderId="88" xfId="1" applyFont="1" applyFill="1" applyBorder="1" applyAlignment="1">
      <alignment horizontal="right"/>
    </xf>
    <xf numFmtId="164" fontId="52" fillId="0" borderId="88" xfId="1" applyFont="1" applyFill="1" applyBorder="1" applyAlignment="1">
      <alignment horizontal="right"/>
    </xf>
    <xf numFmtId="0" fontId="34" fillId="0" borderId="108" xfId="0" applyFont="1" applyBorder="1" applyAlignment="1">
      <alignment horizontal="center" vertical="center"/>
    </xf>
    <xf numFmtId="0" fontId="36" fillId="0" borderId="108" xfId="0" applyFont="1" applyBorder="1" applyAlignment="1">
      <alignment horizontal="center" vertical="center"/>
    </xf>
    <xf numFmtId="0" fontId="36" fillId="0" borderId="112" xfId="0" applyFont="1" applyBorder="1" applyAlignment="1">
      <alignment vertical="center"/>
    </xf>
    <xf numFmtId="0" fontId="36" fillId="0" borderId="112" xfId="0" applyFont="1" applyBorder="1" applyAlignment="1">
      <alignment horizontal="center" vertical="center"/>
    </xf>
    <xf numFmtId="0" fontId="36" fillId="0" borderId="112" xfId="0" applyFont="1" applyBorder="1" applyAlignment="1">
      <alignment horizontal="left" vertical="center" wrapText="1"/>
    </xf>
    <xf numFmtId="0" fontId="36" fillId="0" borderId="88" xfId="0" applyFont="1" applyBorder="1" applyAlignment="1">
      <alignment horizontal="center" vertical="center"/>
    </xf>
    <xf numFmtId="196" fontId="36" fillId="0" borderId="88" xfId="3" applyNumberFormat="1" applyFont="1" applyFill="1" applyBorder="1" applyAlignment="1" applyProtection="1">
      <alignment vertical="center"/>
    </xf>
    <xf numFmtId="164" fontId="54" fillId="0" borderId="88" xfId="263" applyNumberFormat="1" applyFont="1" applyBorder="1" applyAlignment="1">
      <alignment vertical="center"/>
    </xf>
    <xf numFmtId="197" fontId="36" fillId="0" borderId="88" xfId="1" applyNumberFormat="1" applyFont="1" applyFill="1" applyBorder="1" applyAlignment="1">
      <alignment horizontal="right" vertical="center"/>
    </xf>
    <xf numFmtId="197" fontId="36" fillId="0" borderId="110" xfId="109" applyNumberFormat="1" applyFont="1" applyFill="1" applyBorder="1" applyAlignment="1" applyProtection="1">
      <alignment horizontal="right" vertical="center"/>
    </xf>
    <xf numFmtId="0" fontId="51" fillId="0" borderId="108" xfId="0" applyFont="1" applyBorder="1" applyAlignment="1">
      <alignment vertical="center"/>
    </xf>
    <xf numFmtId="0" fontId="51" fillId="0" borderId="88" xfId="0" applyFont="1" applyBorder="1" applyAlignment="1">
      <alignment vertical="center"/>
    </xf>
    <xf numFmtId="0" fontId="51" fillId="0" borderId="109" xfId="0" applyFont="1" applyBorder="1" applyAlignment="1">
      <alignment vertical="center"/>
    </xf>
    <xf numFmtId="0" fontId="36" fillId="0" borderId="112" xfId="0" applyFont="1" applyBorder="1" applyAlignment="1">
      <alignment vertical="center" wrapText="1"/>
    </xf>
    <xf numFmtId="197" fontId="36" fillId="0" borderId="88" xfId="1" applyNumberFormat="1" applyFont="1" applyFill="1" applyBorder="1" applyAlignment="1">
      <alignment horizontal="right"/>
    </xf>
    <xf numFmtId="0" fontId="51" fillId="0" borderId="108" xfId="0" applyFont="1" applyBorder="1"/>
    <xf numFmtId="0" fontId="51" fillId="0" borderId="88" xfId="0" applyFont="1" applyBorder="1"/>
    <xf numFmtId="0" fontId="51" fillId="0" borderId="109" xfId="0" applyFont="1" applyBorder="1"/>
    <xf numFmtId="0" fontId="36" fillId="0" borderId="108" xfId="0" applyFont="1" applyBorder="1" applyAlignment="1">
      <alignment horizontal="right" vertical="center"/>
    </xf>
    <xf numFmtId="0" fontId="36" fillId="11" borderId="108" xfId="0" applyFont="1" applyFill="1" applyBorder="1" applyAlignment="1">
      <alignment vertical="center"/>
    </xf>
    <xf numFmtId="0" fontId="36" fillId="11" borderId="112" xfId="0" applyFont="1" applyFill="1" applyBorder="1" applyAlignment="1">
      <alignment vertical="center"/>
    </xf>
    <xf numFmtId="0" fontId="36" fillId="11" borderId="112" xfId="0" applyFont="1" applyFill="1" applyBorder="1" applyAlignment="1">
      <alignment horizontal="left" vertical="top" wrapText="1"/>
    </xf>
    <xf numFmtId="0" fontId="36" fillId="11" borderId="88" xfId="0" applyFont="1" applyFill="1" applyBorder="1" applyAlignment="1">
      <alignment horizontal="center" vertical="center"/>
    </xf>
    <xf numFmtId="196" fontId="36" fillId="11" borderId="88" xfId="3" applyNumberFormat="1" applyFont="1" applyFill="1" applyBorder="1" applyAlignment="1" applyProtection="1">
      <alignment vertical="center"/>
    </xf>
    <xf numFmtId="164" fontId="54" fillId="11" borderId="88" xfId="263" applyNumberFormat="1" applyFont="1" applyFill="1" applyBorder="1" applyAlignment="1">
      <alignment vertical="center"/>
    </xf>
    <xf numFmtId="197" fontId="36" fillId="11" borderId="88" xfId="1" applyNumberFormat="1" applyFont="1" applyFill="1" applyBorder="1" applyAlignment="1">
      <alignment vertical="center"/>
    </xf>
    <xf numFmtId="0" fontId="36" fillId="0" borderId="112" xfId="0" applyFont="1" applyBorder="1" applyAlignment="1">
      <alignment horizontal="right" vertical="center"/>
    </xf>
    <xf numFmtId="197" fontId="36" fillId="0" borderId="112" xfId="109" applyNumberFormat="1" applyFont="1" applyFill="1" applyBorder="1" applyAlignment="1" applyProtection="1">
      <alignment horizontal="right" vertical="center"/>
    </xf>
    <xf numFmtId="0" fontId="36" fillId="0" borderId="148" xfId="0" applyFont="1" applyBorder="1" applyAlignment="1">
      <alignment horizontal="center" vertical="center"/>
    </xf>
    <xf numFmtId="0" fontId="36" fillId="0" borderId="149" xfId="0" applyFont="1" applyBorder="1" applyAlignment="1">
      <alignment vertical="center"/>
    </xf>
    <xf numFmtId="0" fontId="36" fillId="0" borderId="116" xfId="0" applyFont="1" applyBorder="1" applyAlignment="1">
      <alignment horizontal="center" vertical="center"/>
    </xf>
    <xf numFmtId="196" fontId="36" fillId="0" borderId="116" xfId="3" applyNumberFormat="1" applyFont="1" applyFill="1" applyBorder="1" applyAlignment="1" applyProtection="1">
      <alignment vertical="center"/>
    </xf>
    <xf numFmtId="196" fontId="54" fillId="0" borderId="116" xfId="3" applyNumberFormat="1" applyFont="1" applyFill="1" applyBorder="1" applyAlignment="1" applyProtection="1">
      <alignment vertical="center"/>
    </xf>
    <xf numFmtId="197" fontId="36" fillId="0" borderId="116" xfId="1" applyNumberFormat="1" applyFont="1" applyFill="1" applyBorder="1" applyAlignment="1" applyProtection="1">
      <alignment horizontal="right" vertical="center"/>
    </xf>
    <xf numFmtId="197" fontId="36" fillId="0" borderId="65" xfId="1" applyNumberFormat="1" applyFont="1" applyFill="1" applyBorder="1" applyAlignment="1" applyProtection="1">
      <alignment horizontal="right" vertical="center"/>
    </xf>
    <xf numFmtId="197" fontId="36" fillId="0" borderId="149" xfId="1" applyNumberFormat="1" applyFont="1" applyFill="1" applyBorder="1" applyAlignment="1" applyProtection="1">
      <alignment horizontal="right" vertical="center"/>
    </xf>
    <xf numFmtId="0" fontId="51" fillId="0" borderId="148" xfId="0" applyFont="1" applyBorder="1"/>
    <xf numFmtId="0" fontId="51" fillId="0" borderId="116" xfId="0" applyFont="1" applyBorder="1"/>
    <xf numFmtId="0" fontId="51" fillId="0" borderId="150" xfId="0" applyFont="1" applyBorder="1"/>
    <xf numFmtId="0" fontId="14" fillId="0" borderId="117" xfId="0" applyFont="1" applyBorder="1" applyAlignment="1">
      <alignment horizontal="center" vertical="center"/>
    </xf>
    <xf numFmtId="0" fontId="14" fillId="0" borderId="25" xfId="0" applyFont="1" applyBorder="1" applyAlignment="1">
      <alignment vertical="center"/>
    </xf>
    <xf numFmtId="0" fontId="14" fillId="0" borderId="25" xfId="0" applyFont="1" applyBorder="1" applyAlignment="1">
      <alignment horizontal="center" vertical="center"/>
    </xf>
    <xf numFmtId="0" fontId="36" fillId="0" borderId="26" xfId="0" applyFont="1" applyBorder="1" applyAlignment="1">
      <alignment horizontal="center" vertical="center"/>
    </xf>
    <xf numFmtId="196" fontId="36" fillId="0" borderId="26" xfId="3" applyNumberFormat="1" applyFont="1" applyFill="1" applyBorder="1" applyAlignment="1" applyProtection="1">
      <alignment vertical="center"/>
    </xf>
    <xf numFmtId="196" fontId="54" fillId="0" borderId="26" xfId="3" applyNumberFormat="1" applyFont="1" applyFill="1" applyBorder="1" applyAlignment="1" applyProtection="1">
      <alignment vertical="center"/>
    </xf>
    <xf numFmtId="197" fontId="14" fillId="0" borderId="26" xfId="1" applyNumberFormat="1" applyFont="1" applyFill="1" applyBorder="1" applyAlignment="1" applyProtection="1">
      <alignment horizontal="right" vertical="center"/>
    </xf>
    <xf numFmtId="197" fontId="14" fillId="0" borderId="27" xfId="1" applyNumberFormat="1" applyFont="1" applyFill="1" applyBorder="1" applyAlignment="1" applyProtection="1">
      <alignment horizontal="right" vertical="center"/>
    </xf>
    <xf numFmtId="0" fontId="51" fillId="0" borderId="117" xfId="0" applyFont="1" applyBorder="1"/>
    <xf numFmtId="0" fontId="51" fillId="0" borderId="26" xfId="0" applyFont="1" applyBorder="1"/>
    <xf numFmtId="0" fontId="51" fillId="0" borderId="137" xfId="0" applyFont="1" applyBorder="1"/>
    <xf numFmtId="198" fontId="34" fillId="4" borderId="82" xfId="110" applyNumberFormat="1" applyFont="1" applyFill="1" applyBorder="1" applyAlignment="1">
      <alignment vertical="center"/>
    </xf>
    <xf numFmtId="4" fontId="55" fillId="4" borderId="64" xfId="0" applyNumberFormat="1" applyFont="1" applyFill="1" applyBorder="1" applyAlignment="1">
      <alignment horizontal="center" vertical="center" wrapText="1"/>
    </xf>
    <xf numFmtId="197" fontId="34" fillId="4" borderId="64" xfId="1" applyNumberFormat="1" applyFont="1" applyFill="1" applyBorder="1" applyAlignment="1">
      <alignment horizontal="center" vertical="center"/>
    </xf>
    <xf numFmtId="199" fontId="34" fillId="4" borderId="83" xfId="110" applyNumberFormat="1" applyFont="1" applyFill="1" applyBorder="1" applyAlignment="1">
      <alignment horizontal="center" vertical="center"/>
    </xf>
    <xf numFmtId="0" fontId="0" fillId="0" borderId="145" xfId="0" applyBorder="1"/>
    <xf numFmtId="0" fontId="0" fillId="0" borderId="153" xfId="0" applyBorder="1"/>
    <xf numFmtId="0" fontId="0" fillId="0" borderId="110" xfId="0" applyBorder="1"/>
    <xf numFmtId="0" fontId="0" fillId="0" borderId="154" xfId="0" applyBorder="1"/>
    <xf numFmtId="0" fontId="39" fillId="0" borderId="110" xfId="0" applyFont="1" applyBorder="1" applyAlignment="1">
      <alignment vertical="center"/>
    </xf>
    <xf numFmtId="0" fontId="39" fillId="0" borderId="154" xfId="0" applyFont="1" applyBorder="1" applyAlignment="1">
      <alignment vertical="center"/>
    </xf>
    <xf numFmtId="0" fontId="34" fillId="0" borderId="110" xfId="0" applyFont="1" applyBorder="1" applyAlignment="1">
      <alignment vertical="center"/>
    </xf>
    <xf numFmtId="0" fontId="34" fillId="0" borderId="154" xfId="0" applyFont="1" applyBorder="1" applyAlignment="1">
      <alignment vertical="center"/>
    </xf>
    <xf numFmtId="0" fontId="39" fillId="0" borderId="108" xfId="0" applyFont="1" applyBorder="1" applyAlignment="1">
      <alignment horizontal="right" vertical="center"/>
    </xf>
    <xf numFmtId="0" fontId="39" fillId="0" borderId="111" xfId="0" applyFont="1" applyBorder="1" applyAlignment="1">
      <alignment horizontal="center" vertical="center"/>
    </xf>
    <xf numFmtId="0" fontId="39" fillId="0" borderId="112" xfId="0" applyFont="1" applyBorder="1" applyAlignment="1">
      <alignment horizontal="center" vertical="center"/>
    </xf>
    <xf numFmtId="197" fontId="39" fillId="0" borderId="75" xfId="1" applyNumberFormat="1" applyFont="1" applyFill="1" applyBorder="1" applyAlignment="1">
      <alignment horizontal="right" vertical="center"/>
    </xf>
    <xf numFmtId="165" fontId="0" fillId="0" borderId="75" xfId="0" applyNumberFormat="1" applyBorder="1"/>
    <xf numFmtId="196" fontId="0" fillId="0" borderId="75" xfId="3" applyNumberFormat="1" applyFont="1" applyFill="1" applyBorder="1"/>
    <xf numFmtId="0" fontId="0" fillId="0" borderId="75" xfId="0" applyBorder="1"/>
    <xf numFmtId="0" fontId="0" fillId="0" borderId="147" xfId="0" applyBorder="1"/>
    <xf numFmtId="0" fontId="0" fillId="0" borderId="155" xfId="0" applyBorder="1"/>
    <xf numFmtId="197" fontId="39" fillId="0" borderId="26" xfId="1" applyNumberFormat="1" applyFont="1" applyFill="1" applyBorder="1" applyAlignment="1">
      <alignment horizontal="right" vertical="center"/>
    </xf>
    <xf numFmtId="165" fontId="0" fillId="0" borderId="26" xfId="0" applyNumberFormat="1" applyBorder="1"/>
    <xf numFmtId="196" fontId="0" fillId="0" borderId="26" xfId="3" applyNumberFormat="1" applyFont="1" applyFill="1" applyBorder="1"/>
    <xf numFmtId="0" fontId="0" fillId="0" borderId="26" xfId="0" applyBorder="1"/>
    <xf numFmtId="0" fontId="0" fillId="0" borderId="27" xfId="0" applyBorder="1"/>
    <xf numFmtId="0" fontId="0" fillId="0" borderId="104" xfId="0" applyBorder="1"/>
    <xf numFmtId="197" fontId="39" fillId="0" borderId="87" xfId="1" applyNumberFormat="1" applyFont="1" applyFill="1" applyBorder="1" applyAlignment="1">
      <alignment horizontal="right" vertical="center"/>
    </xf>
    <xf numFmtId="0" fontId="14" fillId="0" borderId="146" xfId="0" applyFont="1" applyBorder="1" applyAlignment="1">
      <alignment horizontal="center" vertical="center"/>
    </xf>
    <xf numFmtId="0" fontId="14" fillId="0" borderId="111" xfId="0" applyFont="1" applyBorder="1" applyAlignment="1">
      <alignment vertical="center"/>
    </xf>
    <xf numFmtId="0" fontId="14" fillId="0" borderId="112" xfId="0" applyFont="1" applyBorder="1" applyAlignment="1">
      <alignment vertical="center"/>
    </xf>
    <xf numFmtId="196" fontId="54" fillId="0" borderId="88" xfId="3" applyNumberFormat="1" applyFont="1" applyFill="1" applyBorder="1" applyAlignment="1" applyProtection="1">
      <alignment vertical="center"/>
    </xf>
    <xf numFmtId="197" fontId="36" fillId="0" borderId="88" xfId="1" applyNumberFormat="1" applyFont="1" applyFill="1" applyBorder="1" applyAlignment="1" applyProtection="1">
      <alignment horizontal="right" vertical="center"/>
    </xf>
    <xf numFmtId="197" fontId="36" fillId="0" borderId="110" xfId="1" applyNumberFormat="1" applyFont="1" applyFill="1" applyBorder="1" applyAlignment="1" applyProtection="1">
      <alignment horizontal="right" vertical="center"/>
    </xf>
    <xf numFmtId="197" fontId="36" fillId="0" borderId="112" xfId="1" applyNumberFormat="1" applyFont="1" applyFill="1" applyBorder="1" applyAlignment="1" applyProtection="1">
      <alignment horizontal="right" vertical="center"/>
    </xf>
    <xf numFmtId="0" fontId="51" fillId="0" borderId="110" xfId="0" applyFont="1" applyBorder="1"/>
    <xf numFmtId="0" fontId="51" fillId="0" borderId="154" xfId="0" applyFont="1" applyBorder="1"/>
    <xf numFmtId="0" fontId="36" fillId="0" borderId="146" xfId="0" applyFont="1" applyBorder="1" applyAlignment="1">
      <alignment horizontal="center" vertical="center"/>
    </xf>
    <xf numFmtId="0" fontId="36" fillId="0" borderId="111" xfId="0" applyFont="1" applyBorder="1" applyAlignment="1">
      <alignment vertical="center"/>
    </xf>
    <xf numFmtId="0" fontId="36" fillId="11" borderId="112" xfId="0" applyFont="1" applyFill="1" applyBorder="1" applyAlignment="1">
      <alignment vertical="center" wrapText="1"/>
    </xf>
    <xf numFmtId="0" fontId="36" fillId="0" borderId="146" xfId="0" applyFont="1" applyBorder="1" applyAlignment="1">
      <alignment horizontal="right" vertical="center"/>
    </xf>
    <xf numFmtId="0" fontId="36" fillId="0" borderId="114" xfId="0" applyFont="1" applyBorder="1" applyAlignment="1">
      <alignment horizontal="center" vertical="center"/>
    </xf>
    <xf numFmtId="0" fontId="36" fillId="0" borderId="122" xfId="0" applyFont="1" applyBorder="1" applyAlignment="1">
      <alignment vertical="center"/>
    </xf>
    <xf numFmtId="0" fontId="36" fillId="0" borderId="75" xfId="0" applyFont="1" applyBorder="1" applyAlignment="1">
      <alignment horizontal="center" vertical="center"/>
    </xf>
    <xf numFmtId="196" fontId="36" fillId="0" borderId="75" xfId="3" applyNumberFormat="1" applyFont="1" applyFill="1" applyBorder="1" applyAlignment="1" applyProtection="1">
      <alignment vertical="center"/>
    </xf>
    <xf numFmtId="196" fontId="54" fillId="0" borderId="75" xfId="3" applyNumberFormat="1" applyFont="1" applyFill="1" applyBorder="1" applyAlignment="1" applyProtection="1">
      <alignment vertical="center"/>
    </xf>
    <xf numFmtId="197" fontId="36" fillId="0" borderId="75" xfId="1" applyNumberFormat="1" applyFont="1" applyFill="1" applyBorder="1" applyAlignment="1" applyProtection="1">
      <alignment horizontal="right" vertical="center"/>
    </xf>
    <xf numFmtId="197" fontId="36" fillId="0" borderId="147" xfId="1" applyNumberFormat="1" applyFont="1" applyFill="1" applyBorder="1" applyAlignment="1" applyProtection="1">
      <alignment horizontal="right" vertical="center"/>
    </xf>
    <xf numFmtId="197" fontId="36" fillId="0" borderId="122" xfId="1" applyNumberFormat="1" applyFont="1" applyFill="1" applyBorder="1" applyAlignment="1" applyProtection="1">
      <alignment horizontal="right" vertical="center"/>
    </xf>
    <xf numFmtId="0" fontId="51" fillId="0" borderId="114" xfId="0" applyFont="1" applyBorder="1"/>
    <xf numFmtId="0" fontId="51" fillId="0" borderId="75" xfId="0" applyFont="1" applyBorder="1"/>
    <xf numFmtId="0" fontId="51" fillId="0" borderId="147" xfId="0" applyFont="1" applyBorder="1"/>
    <xf numFmtId="0" fontId="51" fillId="0" borderId="155" xfId="0" applyFont="1" applyBorder="1"/>
    <xf numFmtId="0" fontId="51" fillId="0" borderId="27" xfId="0" applyFont="1" applyBorder="1"/>
    <xf numFmtId="0" fontId="51" fillId="0" borderId="104" xfId="0" applyFont="1" applyBorder="1"/>
    <xf numFmtId="0" fontId="14" fillId="0" borderId="144" xfId="0" applyFont="1" applyBorder="1" applyAlignment="1">
      <alignment horizontal="center" vertical="center"/>
    </xf>
    <xf numFmtId="0" fontId="14" fillId="0" borderId="156" xfId="0" applyFont="1" applyBorder="1" applyAlignment="1">
      <alignment vertical="center"/>
    </xf>
    <xf numFmtId="0" fontId="14" fillId="0" borderId="125" xfId="0" applyFont="1" applyBorder="1" applyAlignment="1">
      <alignment vertical="center"/>
    </xf>
    <xf numFmtId="0" fontId="36" fillId="0" borderId="87" xfId="0" applyFont="1" applyBorder="1" applyAlignment="1">
      <alignment horizontal="center" vertical="center"/>
    </xf>
    <xf numFmtId="196" fontId="36" fillId="0" borderId="87" xfId="3" applyNumberFormat="1" applyFont="1" applyFill="1" applyBorder="1" applyAlignment="1" applyProtection="1">
      <alignment vertical="center"/>
    </xf>
    <xf numFmtId="196" fontId="54" fillId="0" borderId="87" xfId="3" applyNumberFormat="1" applyFont="1" applyFill="1" applyBorder="1" applyAlignment="1" applyProtection="1">
      <alignment vertical="center"/>
    </xf>
    <xf numFmtId="197" fontId="36" fillId="0" borderId="87" xfId="1" applyNumberFormat="1" applyFont="1" applyFill="1" applyBorder="1" applyAlignment="1" applyProtection="1">
      <alignment horizontal="right" vertical="center"/>
    </xf>
    <xf numFmtId="197" fontId="36" fillId="0" borderId="145" xfId="1" applyNumberFormat="1" applyFont="1" applyFill="1" applyBorder="1" applyAlignment="1" applyProtection="1">
      <alignment horizontal="right" vertical="center"/>
    </xf>
    <xf numFmtId="197" fontId="36" fillId="0" borderId="125" xfId="1" applyNumberFormat="1" applyFont="1" applyFill="1" applyBorder="1" applyAlignment="1" applyProtection="1">
      <alignment horizontal="right" vertical="center"/>
    </xf>
    <xf numFmtId="0" fontId="51" fillId="0" borderId="105" xfId="0" applyFont="1" applyBorder="1"/>
    <xf numFmtId="0" fontId="51" fillId="0" borderId="87" xfId="0" applyFont="1" applyBorder="1"/>
    <xf numFmtId="0" fontId="51" fillId="0" borderId="145" xfId="0" applyFont="1" applyBorder="1"/>
    <xf numFmtId="0" fontId="51" fillId="0" borderId="153" xfId="0" applyFont="1" applyBorder="1"/>
    <xf numFmtId="0" fontId="36" fillId="0" borderId="146" xfId="0" applyFont="1" applyBorder="1" applyAlignment="1">
      <alignment horizontal="center" vertical="center" wrapText="1"/>
    </xf>
    <xf numFmtId="0" fontId="36" fillId="0" borderId="111" xfId="0" applyFont="1" applyBorder="1" applyAlignment="1">
      <alignment vertical="center" wrapText="1"/>
    </xf>
    <xf numFmtId="0" fontId="36" fillId="0" borderId="112" xfId="0" applyFont="1" applyBorder="1" applyAlignment="1">
      <alignment vertical="top" wrapText="1"/>
    </xf>
    <xf numFmtId="0" fontId="36" fillId="0" borderId="88" xfId="0" applyFont="1" applyBorder="1" applyAlignment="1">
      <alignment horizontal="center" vertical="center" wrapText="1"/>
    </xf>
    <xf numFmtId="196" fontId="36" fillId="0" borderId="88" xfId="3" applyNumberFormat="1" applyFont="1" applyFill="1" applyBorder="1" applyAlignment="1" applyProtection="1">
      <alignment vertical="center" wrapText="1"/>
    </xf>
    <xf numFmtId="196" fontId="54" fillId="0" borderId="88" xfId="3" applyNumberFormat="1" applyFont="1" applyFill="1" applyBorder="1" applyAlignment="1" applyProtection="1">
      <alignment vertical="center" wrapText="1"/>
    </xf>
    <xf numFmtId="197" fontId="36" fillId="0" borderId="88" xfId="1" applyNumberFormat="1" applyFont="1" applyFill="1" applyBorder="1" applyAlignment="1" applyProtection="1">
      <alignment horizontal="right" vertical="center" wrapText="1"/>
    </xf>
    <xf numFmtId="197" fontId="36" fillId="0" borderId="110" xfId="1" applyNumberFormat="1" applyFont="1" applyFill="1" applyBorder="1" applyAlignment="1" applyProtection="1">
      <alignment horizontal="right" vertical="center" wrapText="1"/>
    </xf>
    <xf numFmtId="197" fontId="36" fillId="0" borderId="112" xfId="1" applyNumberFormat="1" applyFont="1" applyFill="1" applyBorder="1" applyAlignment="1" applyProtection="1">
      <alignment horizontal="right" vertical="center" wrapText="1"/>
    </xf>
    <xf numFmtId="0" fontId="36" fillId="0" borderId="112" xfId="0" applyFont="1" applyBorder="1" applyAlignment="1">
      <alignment horizontal="left" vertical="center" indent="1"/>
    </xf>
    <xf numFmtId="0" fontId="36" fillId="0" borderId="157" xfId="0" applyFont="1" applyBorder="1" applyAlignment="1">
      <alignment horizontal="center" vertical="center"/>
    </xf>
    <xf numFmtId="0" fontId="36" fillId="0" borderId="158" xfId="0" applyFont="1" applyBorder="1" applyAlignment="1">
      <alignment vertical="center"/>
    </xf>
    <xf numFmtId="0" fontId="14" fillId="0" borderId="24" xfId="0" applyFont="1" applyBorder="1" applyAlignment="1">
      <alignment horizontal="center" vertical="center"/>
    </xf>
    <xf numFmtId="10" fontId="36" fillId="0" borderId="159" xfId="2" applyNumberFormat="1" applyFont="1" applyFill="1" applyBorder="1" applyAlignment="1">
      <alignment horizontal="center" vertical="center"/>
    </xf>
    <xf numFmtId="0" fontId="34" fillId="0" borderId="144" xfId="0" applyFont="1" applyBorder="1" applyAlignment="1">
      <alignment horizontal="center" vertical="center"/>
    </xf>
    <xf numFmtId="0" fontId="34" fillId="0" borderId="106" xfId="0" applyFont="1" applyBorder="1" applyAlignment="1">
      <alignment vertical="center"/>
    </xf>
    <xf numFmtId="0" fontId="34" fillId="0" borderId="125" xfId="0" applyFont="1" applyBorder="1" applyAlignment="1">
      <alignment vertical="center"/>
    </xf>
    <xf numFmtId="0" fontId="39" fillId="0" borderId="157" xfId="0" applyFont="1" applyBorder="1" applyAlignment="1">
      <alignment horizontal="center" vertical="center"/>
    </xf>
    <xf numFmtId="0" fontId="39" fillId="0" borderId="158" xfId="0" applyFont="1" applyBorder="1" applyAlignment="1">
      <alignment vertical="center"/>
    </xf>
    <xf numFmtId="164" fontId="52" fillId="0" borderId="75" xfId="109" applyFont="1" applyFill="1" applyBorder="1" applyAlignment="1">
      <alignment vertical="center"/>
    </xf>
    <xf numFmtId="0" fontId="34" fillId="0" borderId="24" xfId="0" applyFont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5" xfId="0" applyFont="1" applyBorder="1" applyAlignment="1">
      <alignment horizontal="center" vertical="center"/>
    </xf>
    <xf numFmtId="197" fontId="34" fillId="0" borderId="26" xfId="1" applyNumberFormat="1" applyFont="1" applyFill="1" applyBorder="1" applyAlignment="1" applyProtection="1">
      <alignment horizontal="right" vertical="center"/>
    </xf>
    <xf numFmtId="0" fontId="39" fillId="0" borderId="125" xfId="0" applyFont="1" applyBorder="1" applyAlignment="1">
      <alignment horizontal="center" vertical="center"/>
    </xf>
    <xf numFmtId="0" fontId="14" fillId="0" borderId="109" xfId="0" applyFont="1" applyBorder="1" applyAlignment="1">
      <alignment vertical="center"/>
    </xf>
    <xf numFmtId="0" fontId="36" fillId="0" borderId="109" xfId="0" applyFont="1" applyBorder="1" applyAlignment="1">
      <alignment vertical="center"/>
    </xf>
    <xf numFmtId="0" fontId="36" fillId="0" borderId="112" xfId="0" applyFont="1" applyBorder="1" applyAlignment="1">
      <alignment horizontal="left" vertical="center"/>
    </xf>
    <xf numFmtId="164" fontId="36" fillId="0" borderId="88" xfId="1" applyFont="1" applyFill="1" applyBorder="1"/>
    <xf numFmtId="164" fontId="54" fillId="0" borderId="88" xfId="1" applyFont="1" applyFill="1" applyBorder="1"/>
    <xf numFmtId="196" fontId="36" fillId="0" borderId="88" xfId="90" applyNumberFormat="1" applyFont="1" applyFill="1" applyBorder="1" applyAlignment="1" applyProtection="1">
      <alignment vertical="center"/>
    </xf>
    <xf numFmtId="0" fontId="14" fillId="0" borderId="112" xfId="0" applyFont="1" applyBorder="1" applyAlignment="1">
      <alignment horizontal="center" vertical="center"/>
    </xf>
    <xf numFmtId="197" fontId="14" fillId="0" borderId="88" xfId="1" applyNumberFormat="1" applyFont="1" applyFill="1" applyBorder="1" applyAlignment="1" applyProtection="1">
      <alignment horizontal="right" vertical="center"/>
    </xf>
    <xf numFmtId="197" fontId="14" fillId="0" borderId="110" xfId="1" applyNumberFormat="1" applyFont="1" applyFill="1" applyBorder="1" applyAlignment="1" applyProtection="1">
      <alignment horizontal="right" vertical="center"/>
    </xf>
    <xf numFmtId="0" fontId="34" fillId="0" borderId="114" xfId="0" applyFont="1" applyBorder="1" applyAlignment="1">
      <alignment horizontal="center" vertical="center"/>
    </xf>
    <xf numFmtId="0" fontId="34" fillId="0" borderId="158" xfId="0" applyFont="1" applyBorder="1" applyAlignment="1">
      <alignment horizontal="center" vertical="center"/>
    </xf>
    <xf numFmtId="0" fontId="34" fillId="0" borderId="122" xfId="0" applyFont="1" applyBorder="1" applyAlignment="1">
      <alignment horizontal="center" vertical="center"/>
    </xf>
    <xf numFmtId="0" fontId="34" fillId="0" borderId="122" xfId="0" applyFont="1" applyBorder="1" applyAlignment="1">
      <alignment vertical="center"/>
    </xf>
    <xf numFmtId="0" fontId="34" fillId="0" borderId="117" xfId="0" applyFont="1" applyBorder="1" applyAlignment="1">
      <alignment horizontal="center" vertical="center"/>
    </xf>
    <xf numFmtId="0" fontId="34" fillId="0" borderId="78" xfId="0" applyFont="1" applyBorder="1" applyAlignment="1">
      <alignment horizontal="center" vertical="center"/>
    </xf>
    <xf numFmtId="197" fontId="39" fillId="0" borderId="27" xfId="1" applyNumberFormat="1" applyFont="1" applyFill="1" applyBorder="1" applyAlignment="1" applyProtection="1">
      <alignment horizontal="right" vertical="center"/>
    </xf>
    <xf numFmtId="197" fontId="39" fillId="0" borderId="25" xfId="1" applyNumberFormat="1" applyFont="1" applyFill="1" applyBorder="1" applyAlignment="1" applyProtection="1">
      <alignment horizontal="right" vertical="center"/>
    </xf>
    <xf numFmtId="0" fontId="34" fillId="0" borderId="156" xfId="0" applyFont="1" applyBorder="1" applyAlignment="1">
      <alignment horizontal="center" vertical="center"/>
    </xf>
    <xf numFmtId="0" fontId="34" fillId="0" borderId="125" xfId="0" applyFont="1" applyBorder="1" applyAlignment="1">
      <alignment horizontal="center" vertical="center"/>
    </xf>
    <xf numFmtId="0" fontId="36" fillId="0" borderId="112" xfId="0" applyFont="1" applyBorder="1" applyAlignment="1">
      <alignment horizontal="left" vertical="center" wrapText="1" indent="1"/>
    </xf>
    <xf numFmtId="164" fontId="54" fillId="0" borderId="88" xfId="109" applyFont="1" applyFill="1" applyBorder="1" applyAlignment="1">
      <alignment vertical="center"/>
    </xf>
    <xf numFmtId="164" fontId="36" fillId="0" borderId="88" xfId="1" applyFont="1" applyFill="1" applyBorder="1" applyAlignment="1">
      <alignment vertical="center"/>
    </xf>
    <xf numFmtId="197" fontId="36" fillId="0" borderId="88" xfId="1" applyNumberFormat="1" applyFont="1" applyFill="1" applyBorder="1" applyAlignment="1" applyProtection="1">
      <alignment vertical="center"/>
    </xf>
    <xf numFmtId="0" fontId="39" fillId="0" borderId="122" xfId="0" applyFont="1" applyBorder="1" applyAlignment="1">
      <alignment horizontal="justify" vertical="center"/>
    </xf>
    <xf numFmtId="0" fontId="56" fillId="0" borderId="113" xfId="0" applyFont="1" applyBorder="1" applyAlignment="1">
      <alignment horizontal="left" vertical="center" indent="1"/>
    </xf>
    <xf numFmtId="0" fontId="51" fillId="0" borderId="146" xfId="0" applyFont="1" applyBorder="1" applyAlignment="1">
      <alignment horizontal="center" vertical="center"/>
    </xf>
    <xf numFmtId="0" fontId="51" fillId="0" borderId="111" xfId="0" applyFont="1" applyBorder="1" applyAlignment="1">
      <alignment vertical="center"/>
    </xf>
    <xf numFmtId="0" fontId="51" fillId="0" borderId="112" xfId="0" applyFont="1" applyBorder="1" applyAlignment="1">
      <alignment vertical="center"/>
    </xf>
    <xf numFmtId="0" fontId="36" fillId="0" borderId="113" xfId="0" applyFont="1" applyBorder="1" applyAlignment="1">
      <alignment horizontal="left" vertical="center" wrapText="1" indent="1"/>
    </xf>
    <xf numFmtId="0" fontId="51" fillId="0" borderId="88" xfId="0" applyFont="1" applyBorder="1" applyAlignment="1">
      <alignment horizontal="center" vertical="center"/>
    </xf>
    <xf numFmtId="196" fontId="51" fillId="0" borderId="88" xfId="3" applyNumberFormat="1" applyFont="1" applyFill="1" applyBorder="1" applyAlignment="1" applyProtection="1">
      <alignment vertical="center"/>
    </xf>
    <xf numFmtId="197" fontId="51" fillId="0" borderId="88" xfId="1" applyNumberFormat="1" applyFont="1" applyFill="1" applyBorder="1" applyAlignment="1">
      <alignment horizontal="right" vertical="center"/>
    </xf>
    <xf numFmtId="0" fontId="51" fillId="0" borderId="110" xfId="0" applyFont="1" applyBorder="1" applyAlignment="1">
      <alignment vertical="center"/>
    </xf>
    <xf numFmtId="0" fontId="51" fillId="0" borderId="154" xfId="0" applyFont="1" applyBorder="1" applyAlignment="1">
      <alignment vertical="center"/>
    </xf>
    <xf numFmtId="0" fontId="36" fillId="0" borderId="113" xfId="0" applyFont="1" applyBorder="1" applyAlignment="1">
      <alignment horizontal="left" vertical="center" wrapText="1"/>
    </xf>
    <xf numFmtId="0" fontId="51" fillId="0" borderId="157" xfId="0" applyFont="1" applyBorder="1" applyAlignment="1">
      <alignment horizontal="center" vertical="center"/>
    </xf>
    <xf numFmtId="0" fontId="51" fillId="0" borderId="158" xfId="0" applyFont="1" applyBorder="1" applyAlignment="1">
      <alignment vertical="center"/>
    </xf>
    <xf numFmtId="0" fontId="51" fillId="0" borderId="122" xfId="0" applyFont="1" applyBorder="1" applyAlignment="1">
      <alignment vertical="center"/>
    </xf>
    <xf numFmtId="0" fontId="36" fillId="0" borderId="122" xfId="0" applyFont="1" applyBorder="1" applyAlignment="1">
      <alignment horizontal="left" vertical="center" wrapText="1" indent="1"/>
    </xf>
    <xf numFmtId="196" fontId="51" fillId="0" borderId="75" xfId="3" applyNumberFormat="1" applyFont="1" applyFill="1" applyBorder="1" applyAlignment="1" applyProtection="1">
      <alignment vertical="center"/>
    </xf>
    <xf numFmtId="197" fontId="51" fillId="0" borderId="75" xfId="1" applyNumberFormat="1" applyFont="1" applyFill="1" applyBorder="1" applyAlignment="1">
      <alignment horizontal="right"/>
    </xf>
    <xf numFmtId="197" fontId="51" fillId="0" borderId="147" xfId="1" applyNumberFormat="1" applyFont="1" applyFill="1" applyBorder="1" applyAlignment="1" applyProtection="1">
      <alignment horizontal="right" vertical="center"/>
    </xf>
    <xf numFmtId="197" fontId="51" fillId="0" borderId="122" xfId="1" applyNumberFormat="1" applyFont="1" applyFill="1" applyBorder="1" applyAlignment="1" applyProtection="1">
      <alignment horizontal="right" vertical="center"/>
    </xf>
    <xf numFmtId="0" fontId="36" fillId="0" borderId="0" xfId="0" applyFont="1" applyAlignment="1">
      <alignment vertical="center"/>
    </xf>
    <xf numFmtId="0" fontId="36" fillId="10" borderId="0" xfId="0" applyFont="1" applyFill="1" applyAlignment="1">
      <alignment vertical="center"/>
    </xf>
    <xf numFmtId="0" fontId="57" fillId="0" borderId="0" xfId="0" applyFont="1"/>
    <xf numFmtId="0" fontId="14" fillId="0" borderId="0" xfId="0" applyFont="1" applyAlignment="1">
      <alignment vertical="center"/>
    </xf>
    <xf numFmtId="0" fontId="58" fillId="2" borderId="0" xfId="0" applyFont="1" applyFill="1"/>
    <xf numFmtId="198" fontId="34" fillId="4" borderId="163" xfId="110" applyNumberFormat="1" applyFont="1" applyFill="1" applyBorder="1" applyAlignment="1">
      <alignment horizontal="center" vertical="center"/>
    </xf>
    <xf numFmtId="198" fontId="34" fillId="4" borderId="164" xfId="110" applyNumberFormat="1" applyFont="1" applyFill="1" applyBorder="1" applyAlignment="1">
      <alignment horizontal="center" vertical="center"/>
    </xf>
    <xf numFmtId="10" fontId="34" fillId="4" borderId="164" xfId="2" applyNumberFormat="1" applyFont="1" applyFill="1" applyBorder="1" applyAlignment="1">
      <alignment horizontal="center" vertical="center"/>
    </xf>
    <xf numFmtId="43" fontId="34" fillId="4" borderId="164" xfId="142" applyFont="1" applyFill="1" applyBorder="1" applyAlignment="1">
      <alignment horizontal="center" vertical="center"/>
    </xf>
    <xf numFmtId="199" fontId="34" fillId="4" borderId="165" xfId="110" applyNumberFormat="1" applyFont="1" applyFill="1" applyBorder="1" applyAlignment="1">
      <alignment horizontal="center" vertical="center"/>
    </xf>
    <xf numFmtId="0" fontId="39" fillId="0" borderId="112" xfId="0" applyFont="1" applyBorder="1" applyAlignment="1">
      <alignment horizontal="justify" vertical="center" wrapText="1"/>
    </xf>
    <xf numFmtId="0" fontId="39" fillId="0" borderId="157" xfId="0" applyFont="1" applyBorder="1" applyAlignment="1">
      <alignment horizontal="right" vertical="center"/>
    </xf>
    <xf numFmtId="0" fontId="39" fillId="0" borderId="115" xfId="0" applyFont="1" applyBorder="1" applyAlignment="1">
      <alignment vertical="center"/>
    </xf>
    <xf numFmtId="0" fontId="0" fillId="0" borderId="115" xfId="0" applyBorder="1"/>
    <xf numFmtId="0" fontId="14" fillId="0" borderId="25" xfId="0" applyFont="1" applyBorder="1" applyAlignment="1">
      <alignment horizontal="right" vertical="center"/>
    </xf>
    <xf numFmtId="0" fontId="0" fillId="0" borderId="137" xfId="0" applyBorder="1"/>
    <xf numFmtId="0" fontId="14" fillId="0" borderId="125" xfId="0" applyFont="1" applyBorder="1" applyAlignment="1">
      <alignment horizontal="right" vertical="center"/>
    </xf>
    <xf numFmtId="0" fontId="34" fillId="0" borderId="112" xfId="0" applyFont="1" applyBorder="1" applyAlignment="1">
      <alignment horizontal="right" vertical="center"/>
    </xf>
    <xf numFmtId="197" fontId="34" fillId="0" borderId="110" xfId="1" applyNumberFormat="1" applyFont="1" applyFill="1" applyBorder="1" applyAlignment="1" applyProtection="1">
      <alignment horizontal="right" vertical="center"/>
    </xf>
    <xf numFmtId="197" fontId="34" fillId="0" borderId="112" xfId="1" applyNumberFormat="1" applyFont="1" applyFill="1" applyBorder="1" applyAlignment="1" applyProtection="1">
      <alignment horizontal="right" vertical="center"/>
    </xf>
    <xf numFmtId="196" fontId="39" fillId="0" borderId="75" xfId="3" applyNumberFormat="1" applyFont="1" applyFill="1" applyBorder="1" applyAlignment="1">
      <alignment vertical="center"/>
    </xf>
    <xf numFmtId="196" fontId="52" fillId="0" borderId="75" xfId="3" applyNumberFormat="1" applyFont="1" applyFill="1" applyBorder="1" applyAlignment="1">
      <alignment vertical="center"/>
    </xf>
    <xf numFmtId="0" fontId="14" fillId="0" borderId="108" xfId="0" applyFont="1" applyBorder="1" applyAlignment="1">
      <alignment horizontal="center" vertical="center"/>
    </xf>
    <xf numFmtId="196" fontId="54" fillId="0" borderId="88" xfId="90" applyNumberFormat="1" applyFont="1" applyFill="1" applyBorder="1" applyAlignment="1" applyProtection="1">
      <alignment vertical="center"/>
    </xf>
    <xf numFmtId="197" fontId="36" fillId="0" borderId="88" xfId="109" applyNumberFormat="1" applyFont="1" applyFill="1" applyBorder="1" applyAlignment="1" applyProtection="1">
      <alignment horizontal="right" vertical="center"/>
    </xf>
    <xf numFmtId="0" fontId="36" fillId="0" borderId="108" xfId="0" applyFont="1" applyBorder="1" applyAlignment="1">
      <alignment vertical="center"/>
    </xf>
    <xf numFmtId="0" fontId="36" fillId="0" borderId="88" xfId="0" applyFont="1" applyBorder="1" applyAlignment="1">
      <alignment vertical="center"/>
    </xf>
    <xf numFmtId="0" fontId="36" fillId="0" borderId="154" xfId="0" applyFont="1" applyBorder="1" applyAlignment="1">
      <alignment vertical="center"/>
    </xf>
    <xf numFmtId="0" fontId="36" fillId="0" borderId="112" xfId="0" applyFont="1" applyBorder="1"/>
    <xf numFmtId="39" fontId="36" fillId="0" borderId="88" xfId="90" applyNumberFormat="1" applyFont="1" applyFill="1" applyBorder="1" applyAlignment="1" applyProtection="1">
      <alignment vertical="center"/>
    </xf>
    <xf numFmtId="197" fontId="36" fillId="0" borderId="88" xfId="109" applyNumberFormat="1" applyFont="1" applyFill="1" applyBorder="1" applyAlignment="1">
      <alignment horizontal="right"/>
    </xf>
    <xf numFmtId="0" fontId="14" fillId="11" borderId="108" xfId="0" applyFont="1" applyFill="1" applyBorder="1" applyAlignment="1">
      <alignment horizontal="center" vertical="center"/>
    </xf>
    <xf numFmtId="0" fontId="14" fillId="11" borderId="112" xfId="0" applyFont="1" applyFill="1" applyBorder="1" applyAlignment="1">
      <alignment vertical="center"/>
    </xf>
    <xf numFmtId="196" fontId="36" fillId="11" borderId="88" xfId="90" applyNumberFormat="1" applyFont="1" applyFill="1" applyBorder="1" applyAlignment="1" applyProtection="1">
      <alignment vertical="center"/>
    </xf>
    <xf numFmtId="164" fontId="54" fillId="11" borderId="88" xfId="90" applyNumberFormat="1" applyFont="1" applyFill="1" applyBorder="1" applyAlignment="1" applyProtection="1">
      <alignment vertical="center"/>
    </xf>
    <xf numFmtId="197" fontId="36" fillId="11" borderId="88" xfId="109" applyNumberFormat="1" applyFont="1" applyFill="1" applyBorder="1" applyAlignment="1" applyProtection="1">
      <alignment horizontal="right" vertical="center"/>
    </xf>
    <xf numFmtId="0" fontId="36" fillId="11" borderId="108" xfId="0" applyFont="1" applyFill="1" applyBorder="1" applyAlignment="1">
      <alignment horizontal="center" vertical="center"/>
    </xf>
    <xf numFmtId="0" fontId="36" fillId="11" borderId="112" xfId="0" applyFont="1" applyFill="1" applyBorder="1" applyAlignment="1">
      <alignment horizontal="center" vertical="center"/>
    </xf>
    <xf numFmtId="0" fontId="36" fillId="11" borderId="112" xfId="0" applyFont="1" applyFill="1" applyBorder="1"/>
    <xf numFmtId="39" fontId="36" fillId="11" borderId="88" xfId="90" applyNumberFormat="1" applyFont="1" applyFill="1" applyBorder="1" applyAlignment="1" applyProtection="1">
      <alignment vertical="center"/>
    </xf>
    <xf numFmtId="197" fontId="36" fillId="11" borderId="88" xfId="109" applyNumberFormat="1" applyFont="1" applyFill="1" applyBorder="1" applyAlignment="1">
      <alignment horizontal="right"/>
    </xf>
    <xf numFmtId="0" fontId="36" fillId="0" borderId="114" xfId="0" applyFont="1" applyBorder="1" applyAlignment="1">
      <alignment horizontal="right" vertical="center"/>
    </xf>
    <xf numFmtId="0" fontId="36" fillId="0" borderId="122" xfId="0" applyFont="1" applyBorder="1" applyAlignment="1">
      <alignment horizontal="center" vertical="center"/>
    </xf>
    <xf numFmtId="196" fontId="36" fillId="0" borderId="75" xfId="90" applyNumberFormat="1" applyFont="1" applyFill="1" applyBorder="1" applyAlignment="1" applyProtection="1">
      <alignment vertical="center"/>
    </xf>
    <xf numFmtId="196" fontId="54" fillId="0" borderId="75" xfId="90" applyNumberFormat="1" applyFont="1" applyFill="1" applyBorder="1" applyAlignment="1" applyProtection="1">
      <alignment vertical="center"/>
    </xf>
    <xf numFmtId="197" fontId="36" fillId="0" borderId="75" xfId="109" applyNumberFormat="1" applyFont="1" applyFill="1" applyBorder="1" applyAlignment="1" applyProtection="1">
      <alignment horizontal="right" vertical="center"/>
    </xf>
    <xf numFmtId="197" fontId="36" fillId="0" borderId="147" xfId="109" applyNumberFormat="1" applyFont="1" applyFill="1" applyBorder="1" applyAlignment="1" applyProtection="1">
      <alignment horizontal="right" vertical="center"/>
    </xf>
    <xf numFmtId="197" fontId="36" fillId="0" borderId="122" xfId="109" applyNumberFormat="1" applyFont="1" applyFill="1" applyBorder="1" applyAlignment="1" applyProtection="1">
      <alignment horizontal="right" vertical="center"/>
    </xf>
    <xf numFmtId="0" fontId="36" fillId="0" borderId="114" xfId="0" applyFont="1" applyBorder="1" applyAlignment="1">
      <alignment vertical="center"/>
    </xf>
    <xf numFmtId="0" fontId="36" fillId="0" borderId="75" xfId="0" applyFont="1" applyBorder="1" applyAlignment="1">
      <alignment vertical="center"/>
    </xf>
    <xf numFmtId="0" fontId="36" fillId="0" borderId="115" xfId="0" applyFont="1" applyBorder="1" applyAlignment="1">
      <alignment vertical="center"/>
    </xf>
    <xf numFmtId="0" fontId="36" fillId="0" borderId="155" xfId="0" applyFont="1" applyBorder="1" applyAlignment="1">
      <alignment vertical="center"/>
    </xf>
    <xf numFmtId="196" fontId="36" fillId="0" borderId="26" xfId="90" applyNumberFormat="1" applyFont="1" applyFill="1" applyBorder="1" applyAlignment="1" applyProtection="1">
      <alignment vertical="center"/>
    </xf>
    <xf numFmtId="196" fontId="54" fillId="0" borderId="26" xfId="90" applyNumberFormat="1" applyFont="1" applyFill="1" applyBorder="1" applyAlignment="1" applyProtection="1">
      <alignment vertical="center"/>
    </xf>
    <xf numFmtId="197" fontId="14" fillId="0" borderId="26" xfId="109" applyNumberFormat="1" applyFont="1" applyFill="1" applyBorder="1" applyAlignment="1" applyProtection="1">
      <alignment horizontal="right" vertical="center"/>
    </xf>
    <xf numFmtId="197" fontId="14" fillId="0" borderId="27" xfId="109" applyNumberFormat="1" applyFont="1" applyFill="1" applyBorder="1" applyAlignment="1" applyProtection="1">
      <alignment horizontal="right" vertical="center"/>
    </xf>
    <xf numFmtId="0" fontId="36" fillId="0" borderId="117" xfId="0" applyFont="1" applyBorder="1" applyAlignment="1">
      <alignment vertical="center"/>
    </xf>
    <xf numFmtId="0" fontId="36" fillId="0" borderId="26" xfId="0" applyFont="1" applyBorder="1" applyAlignment="1">
      <alignment vertical="center"/>
    </xf>
    <xf numFmtId="0" fontId="36" fillId="0" borderId="137" xfId="0" applyFont="1" applyBorder="1" applyAlignment="1">
      <alignment vertical="center"/>
    </xf>
    <xf numFmtId="0" fontId="36" fillId="0" borderId="104" xfId="0" applyFont="1" applyBorder="1" applyAlignment="1">
      <alignment vertical="center"/>
    </xf>
    <xf numFmtId="0" fontId="14" fillId="0" borderId="105" xfId="0" applyFont="1" applyBorder="1" applyAlignment="1">
      <alignment horizontal="center" vertical="center"/>
    </xf>
    <xf numFmtId="0" fontId="14" fillId="0" borderId="125" xfId="0" applyFont="1" applyBorder="1" applyAlignment="1">
      <alignment horizontal="center" vertical="center"/>
    </xf>
    <xf numFmtId="196" fontId="36" fillId="0" borderId="87" xfId="90" applyNumberFormat="1" applyFont="1" applyFill="1" applyBorder="1" applyAlignment="1" applyProtection="1">
      <alignment vertical="center"/>
    </xf>
    <xf numFmtId="196" fontId="54" fillId="0" borderId="87" xfId="90" applyNumberFormat="1" applyFont="1" applyFill="1" applyBorder="1" applyAlignment="1" applyProtection="1">
      <alignment vertical="center"/>
    </xf>
    <xf numFmtId="197" fontId="14" fillId="0" borderId="87" xfId="109" applyNumberFormat="1" applyFont="1" applyFill="1" applyBorder="1" applyAlignment="1" applyProtection="1">
      <alignment horizontal="right" vertical="center"/>
    </xf>
    <xf numFmtId="197" fontId="14" fillId="0" borderId="145" xfId="109" applyNumberFormat="1" applyFont="1" applyFill="1" applyBorder="1" applyAlignment="1" applyProtection="1">
      <alignment horizontal="right" vertical="center"/>
    </xf>
    <xf numFmtId="197" fontId="14" fillId="0" borderId="125" xfId="109" applyNumberFormat="1" applyFont="1" applyFill="1" applyBorder="1" applyAlignment="1" applyProtection="1">
      <alignment horizontal="right" vertical="center"/>
    </xf>
    <xf numFmtId="0" fontId="36" fillId="0" borderId="105" xfId="0" applyFont="1" applyBorder="1" applyAlignment="1">
      <alignment vertical="center"/>
    </xf>
    <xf numFmtId="0" fontId="36" fillId="0" borderId="87" xfId="0" applyFont="1" applyBorder="1" applyAlignment="1">
      <alignment vertical="center"/>
    </xf>
    <xf numFmtId="0" fontId="36" fillId="0" borderId="106" xfId="0" applyFont="1" applyBorder="1" applyAlignment="1">
      <alignment vertical="center"/>
    </xf>
    <xf numFmtId="0" fontId="36" fillId="0" borderId="153" xfId="0" applyFont="1" applyBorder="1" applyAlignment="1">
      <alignment vertical="center"/>
    </xf>
    <xf numFmtId="0" fontId="14" fillId="0" borderId="119" xfId="0" applyFont="1" applyBorder="1" applyAlignment="1">
      <alignment horizontal="center" vertical="center"/>
    </xf>
    <xf numFmtId="0" fontId="51" fillId="0" borderId="115" xfId="0" applyFont="1" applyBorder="1"/>
    <xf numFmtId="0" fontId="34" fillId="0" borderId="105" xfId="0" applyFont="1" applyBorder="1" applyAlignment="1">
      <alignment horizontal="center" vertical="center"/>
    </xf>
    <xf numFmtId="0" fontId="36" fillId="0" borderId="113" xfId="0" applyFont="1" applyBorder="1" applyAlignment="1">
      <alignment horizontal="left"/>
    </xf>
    <xf numFmtId="0" fontId="36" fillId="0" borderId="113" xfId="0" applyFont="1" applyBorder="1" applyAlignment="1">
      <alignment horizontal="center" vertical="center"/>
    </xf>
    <xf numFmtId="39" fontId="36" fillId="0" borderId="88" xfId="1" applyNumberFormat="1" applyFont="1" applyFill="1" applyBorder="1" applyAlignment="1">
      <alignment horizontal="right" vertical="center"/>
    </xf>
    <xf numFmtId="197" fontId="36" fillId="0" borderId="88" xfId="109" applyNumberFormat="1" applyFont="1" applyFill="1" applyBorder="1" applyAlignment="1">
      <alignment horizontal="right" vertical="center"/>
    </xf>
    <xf numFmtId="0" fontId="36" fillId="0" borderId="112" xfId="0" applyFont="1" applyBorder="1" applyAlignment="1">
      <alignment horizontal="left"/>
    </xf>
    <xf numFmtId="164" fontId="39" fillId="0" borderId="88" xfId="1" applyFont="1" applyFill="1" applyBorder="1" applyAlignment="1">
      <alignment horizontal="right" vertical="center"/>
    </xf>
    <xf numFmtId="164" fontId="52" fillId="0" borderId="88" xfId="109" applyFont="1" applyFill="1" applyBorder="1" applyAlignment="1">
      <alignment vertical="center"/>
    </xf>
    <xf numFmtId="0" fontId="34" fillId="0" borderId="112" xfId="0" applyFont="1" applyBorder="1" applyAlignment="1">
      <alignment horizontal="center" vertical="center"/>
    </xf>
    <xf numFmtId="197" fontId="34" fillId="0" borderId="88" xfId="1" applyNumberFormat="1" applyFont="1" applyFill="1" applyBorder="1" applyAlignment="1" applyProtection="1">
      <alignment horizontal="right" vertical="center"/>
    </xf>
    <xf numFmtId="197" fontId="14" fillId="0" borderId="87" xfId="1" applyNumberFormat="1" applyFont="1" applyFill="1" applyBorder="1" applyAlignment="1" applyProtection="1">
      <alignment horizontal="right" vertical="center"/>
    </xf>
    <xf numFmtId="197" fontId="14" fillId="0" borderId="145" xfId="1" applyNumberFormat="1" applyFont="1" applyFill="1" applyBorder="1" applyAlignment="1" applyProtection="1">
      <alignment horizontal="right" vertical="center"/>
    </xf>
    <xf numFmtId="197" fontId="14" fillId="0" borderId="125" xfId="1" applyNumberFormat="1" applyFont="1" applyFill="1" applyBorder="1" applyAlignment="1" applyProtection="1">
      <alignment horizontal="right" vertical="center"/>
    </xf>
    <xf numFmtId="0" fontId="51" fillId="0" borderId="106" xfId="0" applyFont="1" applyBorder="1"/>
    <xf numFmtId="197" fontId="36" fillId="0" borderId="110" xfId="109" applyNumberFormat="1" applyFont="1" applyFill="1" applyBorder="1" applyAlignment="1" applyProtection="1">
      <alignment horizontal="right" vertical="top"/>
    </xf>
    <xf numFmtId="0" fontId="39" fillId="0" borderId="114" xfId="0" applyFont="1" applyBorder="1" applyAlignment="1">
      <alignment horizontal="center" vertical="center"/>
    </xf>
    <xf numFmtId="0" fontId="51" fillId="0" borderId="108" xfId="0" applyFont="1" applyBorder="1" applyAlignment="1">
      <alignment horizontal="center" vertical="center"/>
    </xf>
    <xf numFmtId="0" fontId="51" fillId="0" borderId="112" xfId="0" applyFont="1" applyBorder="1" applyAlignment="1">
      <alignment horizontal="center" vertical="center"/>
    </xf>
    <xf numFmtId="0" fontId="36" fillId="0" borderId="113" xfId="0" applyFont="1" applyBorder="1" applyAlignment="1">
      <alignment horizontal="left" vertical="center" indent="1"/>
    </xf>
    <xf numFmtId="0" fontId="51" fillId="0" borderId="114" xfId="0" applyFont="1" applyBorder="1" applyAlignment="1">
      <alignment horizontal="center" vertical="center"/>
    </xf>
    <xf numFmtId="0" fontId="36" fillId="0" borderId="122" xfId="0" applyFont="1" applyBorder="1" applyAlignment="1">
      <alignment horizontal="left" vertical="center" wrapText="1"/>
    </xf>
    <xf numFmtId="0" fontId="51" fillId="0" borderId="75" xfId="0" applyFont="1" applyBorder="1" applyAlignment="1">
      <alignment horizontal="center" vertical="center"/>
    </xf>
    <xf numFmtId="164" fontId="54" fillId="0" borderId="75" xfId="263" applyNumberFormat="1" applyFont="1" applyBorder="1" applyAlignment="1">
      <alignment vertical="center"/>
    </xf>
    <xf numFmtId="197" fontId="51" fillId="0" borderId="75" xfId="1" applyNumberFormat="1" applyFont="1" applyFill="1" applyBorder="1" applyAlignment="1">
      <alignment horizontal="right" vertical="center"/>
    </xf>
    <xf numFmtId="0" fontId="51" fillId="0" borderId="114" xfId="0" applyFont="1" applyBorder="1" applyAlignment="1">
      <alignment vertical="center"/>
    </xf>
    <xf numFmtId="0" fontId="51" fillId="0" borderId="75" xfId="0" applyFont="1" applyBorder="1" applyAlignment="1">
      <alignment vertical="center"/>
    </xf>
    <xf numFmtId="0" fontId="51" fillId="0" borderId="115" xfId="0" applyFont="1" applyBorder="1" applyAlignment="1">
      <alignment vertical="center"/>
    </xf>
    <xf numFmtId="0" fontId="51" fillId="0" borderId="155" xfId="0" applyFont="1" applyBorder="1" applyAlignment="1">
      <alignment vertical="center"/>
    </xf>
    <xf numFmtId="0" fontId="14" fillId="0" borderId="112" xfId="0" applyFont="1" applyBorder="1" applyAlignment="1">
      <alignment vertical="center" wrapText="1"/>
    </xf>
    <xf numFmtId="0" fontId="56" fillId="0" borderId="112" xfId="0" applyFont="1" applyBorder="1" applyAlignment="1">
      <alignment vertical="center" wrapText="1"/>
    </xf>
    <xf numFmtId="164" fontId="52" fillId="0" borderId="88" xfId="263" applyNumberFormat="1" applyFont="1" applyBorder="1" applyAlignment="1">
      <alignment vertical="center"/>
    </xf>
    <xf numFmtId="0" fontId="57" fillId="0" borderId="108" xfId="0" applyFont="1" applyBorder="1"/>
    <xf numFmtId="0" fontId="57" fillId="0" borderId="88" xfId="0" applyFont="1" applyBorder="1"/>
    <xf numFmtId="0" fontId="57" fillId="0" borderId="109" xfId="0" applyFont="1" applyBorder="1"/>
    <xf numFmtId="0" fontId="57" fillId="0" borderId="154" xfId="0" applyFont="1" applyBorder="1"/>
    <xf numFmtId="164" fontId="52" fillId="0" borderId="88" xfId="3" applyNumberFormat="1" applyFont="1" applyFill="1" applyBorder="1" applyAlignment="1" applyProtection="1">
      <alignment vertical="center"/>
    </xf>
    <xf numFmtId="0" fontId="59" fillId="0" borderId="112" xfId="0" applyFont="1" applyBorder="1" applyAlignment="1">
      <alignment vertical="center"/>
    </xf>
    <xf numFmtId="164" fontId="36" fillId="0" borderId="88" xfId="109" applyFont="1" applyFill="1" applyBorder="1"/>
    <xf numFmtId="0" fontId="36" fillId="0" borderId="109" xfId="0" applyFont="1" applyBorder="1" applyAlignment="1">
      <alignment horizontal="right" vertical="center"/>
    </xf>
    <xf numFmtId="197" fontId="36" fillId="0" borderId="88" xfId="109" applyNumberFormat="1" applyFont="1" applyFill="1" applyBorder="1" applyAlignment="1" applyProtection="1">
      <alignment vertical="center"/>
    </xf>
    <xf numFmtId="0" fontId="36" fillId="0" borderId="108" xfId="0" applyFont="1" applyBorder="1" applyAlignment="1">
      <alignment horizontal="center" vertical="top"/>
    </xf>
    <xf numFmtId="0" fontId="36" fillId="0" borderId="112" xfId="0" applyFont="1" applyBorder="1" applyAlignment="1">
      <alignment horizontal="center" vertical="top"/>
    </xf>
    <xf numFmtId="0" fontId="36" fillId="0" borderId="88" xfId="0" applyFont="1" applyBorder="1" applyAlignment="1">
      <alignment horizontal="center" vertical="top"/>
    </xf>
    <xf numFmtId="164" fontId="36" fillId="0" borderId="88" xfId="109" applyFont="1" applyFill="1" applyBorder="1" applyAlignment="1">
      <alignment vertical="top"/>
    </xf>
    <xf numFmtId="164" fontId="36" fillId="0" borderId="88" xfId="109" applyFont="1" applyFill="1" applyBorder="1" applyAlignment="1">
      <alignment vertical="center"/>
    </xf>
    <xf numFmtId="0" fontId="14" fillId="0" borderId="108" xfId="0" applyFont="1" applyBorder="1" applyAlignment="1">
      <alignment vertical="center"/>
    </xf>
    <xf numFmtId="0" fontId="14" fillId="0" borderId="88" xfId="0" applyFont="1" applyBorder="1" applyAlignment="1">
      <alignment vertical="center"/>
    </xf>
    <xf numFmtId="0" fontId="14" fillId="0" borderId="154" xfId="0" applyFont="1" applyBorder="1" applyAlignment="1">
      <alignment vertical="center"/>
    </xf>
    <xf numFmtId="197" fontId="36" fillId="0" borderId="88" xfId="109" applyNumberFormat="1" applyFont="1" applyFill="1" applyBorder="1" applyAlignment="1">
      <alignment vertical="center"/>
    </xf>
    <xf numFmtId="0" fontId="39" fillId="0" borderId="112" xfId="0" applyFont="1" applyBorder="1" applyAlignment="1">
      <alignment vertical="center" wrapText="1"/>
    </xf>
    <xf numFmtId="164" fontId="54" fillId="0" borderId="88" xfId="90" applyNumberFormat="1" applyFont="1" applyFill="1" applyBorder="1" applyAlignment="1" applyProtection="1">
      <alignment vertical="center"/>
    </xf>
    <xf numFmtId="0" fontId="36" fillId="0" borderId="146" xfId="0" applyFont="1" applyBorder="1" applyAlignment="1">
      <alignment horizontal="center" vertical="top"/>
    </xf>
    <xf numFmtId="0" fontId="36" fillId="0" borderId="111" xfId="0" applyFont="1" applyBorder="1" applyAlignment="1">
      <alignment horizontal="center" vertical="center"/>
    </xf>
    <xf numFmtId="0" fontId="36" fillId="11" borderId="113" xfId="284" applyFont="1" applyFill="1" applyBorder="1" applyAlignment="1">
      <alignment horizontal="left" vertical="center" wrapText="1"/>
    </xf>
    <xf numFmtId="0" fontId="54" fillId="7" borderId="146" xfId="0" applyFont="1" applyFill="1" applyBorder="1" applyAlignment="1">
      <alignment horizontal="center" vertical="top"/>
    </xf>
    <xf numFmtId="0" fontId="54" fillId="7" borderId="111" xfId="0" applyFont="1" applyFill="1" applyBorder="1" applyAlignment="1">
      <alignment horizontal="center" vertical="center"/>
    </xf>
    <xf numFmtId="0" fontId="54" fillId="7" borderId="112" xfId="0" applyFont="1" applyFill="1" applyBorder="1" applyAlignment="1">
      <alignment horizontal="center" vertical="center"/>
    </xf>
    <xf numFmtId="0" fontId="54" fillId="7" borderId="113" xfId="284" applyFont="1" applyFill="1" applyBorder="1" applyAlignment="1">
      <alignment horizontal="left" vertical="center"/>
    </xf>
    <xf numFmtId="0" fontId="54" fillId="7" borderId="88" xfId="0" applyFont="1" applyFill="1" applyBorder="1" applyAlignment="1">
      <alignment horizontal="center" vertical="center"/>
    </xf>
    <xf numFmtId="196" fontId="54" fillId="7" borderId="88" xfId="90" applyNumberFormat="1" applyFont="1" applyFill="1" applyBorder="1" applyAlignment="1" applyProtection="1">
      <alignment vertical="top"/>
    </xf>
    <xf numFmtId="0" fontId="54" fillId="7" borderId="88" xfId="263" applyFont="1" applyFill="1" applyBorder="1" applyAlignment="1">
      <alignment vertical="center"/>
    </xf>
    <xf numFmtId="0" fontId="54" fillId="7" borderId="88" xfId="109" applyNumberFormat="1" applyFont="1" applyFill="1" applyBorder="1" applyAlignment="1">
      <alignment horizontal="right" vertical="top"/>
    </xf>
    <xf numFmtId="197" fontId="54" fillId="7" borderId="110" xfId="109" applyNumberFormat="1" applyFont="1" applyFill="1" applyBorder="1" applyAlignment="1" applyProtection="1">
      <alignment horizontal="right" vertical="center"/>
    </xf>
    <xf numFmtId="197" fontId="54" fillId="7" borderId="112" xfId="109" applyNumberFormat="1" applyFont="1" applyFill="1" applyBorder="1" applyAlignment="1" applyProtection="1">
      <alignment horizontal="right" vertical="center"/>
    </xf>
    <xf numFmtId="0" fontId="58" fillId="0" borderId="108" xfId="0" applyFont="1" applyBorder="1"/>
    <xf numFmtId="0" fontId="58" fillId="0" borderId="88" xfId="0" applyFont="1" applyBorder="1"/>
    <xf numFmtId="0" fontId="58" fillId="0" borderId="109" xfId="0" applyFont="1" applyBorder="1"/>
    <xf numFmtId="0" fontId="58" fillId="0" borderId="154" xfId="0" applyFont="1" applyBorder="1"/>
    <xf numFmtId="0" fontId="36" fillId="0" borderId="113" xfId="284" applyFont="1" applyBorder="1" applyAlignment="1">
      <alignment horizontal="left" vertical="center" wrapText="1"/>
    </xf>
    <xf numFmtId="206" fontId="60" fillId="0" borderId="0" xfId="142" applyNumberFormat="1" applyFont="1"/>
    <xf numFmtId="0" fontId="36" fillId="0" borderId="0" xfId="0" applyFont="1"/>
    <xf numFmtId="0" fontId="61" fillId="0" borderId="0" xfId="0" applyFont="1"/>
    <xf numFmtId="0" fontId="54" fillId="10" borderId="0" xfId="0" applyFont="1" applyFill="1" applyAlignment="1">
      <alignment vertical="center"/>
    </xf>
    <xf numFmtId="0" fontId="36" fillId="2" borderId="0" xfId="0" applyFont="1" applyFill="1" applyAlignment="1">
      <alignment vertical="center"/>
    </xf>
    <xf numFmtId="0" fontId="36" fillId="0" borderId="0" xfId="0" applyFont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196" fontId="36" fillId="0" borderId="0" xfId="3" applyNumberFormat="1" applyFont="1" applyFill="1" applyAlignment="1">
      <alignment vertical="center"/>
    </xf>
    <xf numFmtId="196" fontId="54" fillId="0" borderId="0" xfId="3" applyNumberFormat="1" applyFont="1" applyFill="1" applyAlignment="1">
      <alignment vertical="center"/>
    </xf>
    <xf numFmtId="197" fontId="36" fillId="0" borderId="0" xfId="1" applyNumberFormat="1" applyFont="1" applyFill="1" applyAlignment="1">
      <alignment horizontal="right" vertical="center"/>
    </xf>
    <xf numFmtId="196" fontId="36" fillId="0" borderId="0" xfId="3" applyNumberFormat="1" applyFont="1" applyFill="1" applyAlignment="1">
      <alignment horizontal="right" vertical="center"/>
    </xf>
    <xf numFmtId="165" fontId="51" fillId="0" borderId="0" xfId="0" applyNumberFormat="1" applyFont="1"/>
    <xf numFmtId="196" fontId="51" fillId="0" borderId="0" xfId="3" applyNumberFormat="1" applyFont="1" applyFill="1"/>
    <xf numFmtId="198" fontId="62" fillId="0" borderId="0" xfId="142" applyNumberFormat="1" applyFont="1" applyAlignment="1">
      <alignment vertical="center"/>
    </xf>
    <xf numFmtId="206" fontId="60" fillId="0" borderId="0" xfId="142" applyNumberFormat="1" applyFont="1" applyFill="1" applyBorder="1"/>
    <xf numFmtId="207" fontId="60" fillId="0" borderId="0" xfId="142" applyNumberFormat="1" applyFont="1" applyFill="1" applyBorder="1" applyAlignment="1">
      <alignment horizontal="left"/>
    </xf>
    <xf numFmtId="206" fontId="63" fillId="0" borderId="0" xfId="142" applyNumberFormat="1" applyFont="1" applyBorder="1" applyAlignment="1">
      <alignment horizontal="center"/>
    </xf>
    <xf numFmtId="207" fontId="63" fillId="0" borderId="0" xfId="142" applyNumberFormat="1" applyFont="1" applyBorder="1" applyAlignment="1">
      <alignment horizontal="left"/>
    </xf>
    <xf numFmtId="0" fontId="36" fillId="0" borderId="0" xfId="0" applyFont="1" applyAlignment="1">
      <alignment horizontal="center"/>
    </xf>
    <xf numFmtId="4" fontId="36" fillId="0" borderId="0" xfId="0" applyNumberFormat="1" applyFont="1" applyAlignment="1">
      <alignment horizontal="center"/>
    </xf>
    <xf numFmtId="196" fontId="36" fillId="0" borderId="0" xfId="3" applyNumberFormat="1" applyFont="1" applyFill="1" applyBorder="1" applyAlignment="1">
      <alignment horizontal="center"/>
    </xf>
    <xf numFmtId="196" fontId="54" fillId="0" borderId="0" xfId="3" applyNumberFormat="1" applyFont="1" applyFill="1" applyBorder="1" applyAlignment="1">
      <alignment horizontal="center"/>
    </xf>
    <xf numFmtId="197" fontId="36" fillId="0" borderId="0" xfId="1" applyNumberFormat="1" applyFont="1" applyFill="1" applyBorder="1" applyAlignment="1">
      <alignment horizontal="right"/>
    </xf>
    <xf numFmtId="197" fontId="14" fillId="0" borderId="0" xfId="1" applyNumberFormat="1" applyFont="1" applyFill="1" applyBorder="1" applyAlignment="1">
      <alignment horizontal="right" vertical="center"/>
    </xf>
    <xf numFmtId="196" fontId="14" fillId="0" borderId="0" xfId="3" applyNumberFormat="1" applyFont="1" applyFill="1" applyBorder="1" applyAlignment="1">
      <alignment horizontal="right"/>
    </xf>
    <xf numFmtId="197" fontId="14" fillId="0" borderId="0" xfId="1" applyNumberFormat="1" applyFont="1" applyFill="1" applyBorder="1" applyAlignment="1">
      <alignment horizontal="right"/>
    </xf>
    <xf numFmtId="0" fontId="14" fillId="4" borderId="2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4" fontId="14" fillId="4" borderId="5" xfId="0" applyNumberFormat="1" applyFont="1" applyFill="1" applyBorder="1" applyAlignment="1">
      <alignment horizontal="center" vertical="center" wrapText="1"/>
    </xf>
    <xf numFmtId="0" fontId="14" fillId="4" borderId="17" xfId="0" applyFont="1" applyFill="1" applyBorder="1" applyAlignment="1">
      <alignment horizontal="center" vertical="center"/>
    </xf>
    <xf numFmtId="0" fontId="14" fillId="4" borderId="51" xfId="0" applyFont="1" applyFill="1" applyBorder="1" applyAlignment="1">
      <alignment horizontal="center" vertical="center"/>
    </xf>
    <xf numFmtId="4" fontId="64" fillId="4" borderId="19" xfId="0" applyNumberFormat="1" applyFont="1" applyFill="1" applyBorder="1" applyAlignment="1">
      <alignment horizontal="center" vertical="center" wrapText="1"/>
    </xf>
    <xf numFmtId="197" fontId="14" fillId="4" borderId="19" xfId="1" applyNumberFormat="1" applyFont="1" applyFill="1" applyBorder="1" applyAlignment="1">
      <alignment horizontal="center" vertical="center"/>
    </xf>
    <xf numFmtId="197" fontId="14" fillId="4" borderId="20" xfId="1" applyNumberFormat="1" applyFont="1" applyFill="1" applyBorder="1" applyAlignment="1">
      <alignment horizontal="center" vertical="center"/>
    </xf>
    <xf numFmtId="198" fontId="34" fillId="4" borderId="170" xfId="110" applyNumberFormat="1" applyFont="1" applyFill="1" applyBorder="1" applyAlignment="1">
      <alignment horizontal="center" vertical="center"/>
    </xf>
    <xf numFmtId="10" fontId="34" fillId="4" borderId="102" xfId="2" applyNumberFormat="1" applyFont="1" applyFill="1" applyBorder="1" applyAlignment="1">
      <alignment horizontal="center" vertical="center"/>
    </xf>
    <xf numFmtId="43" fontId="34" fillId="4" borderId="142" xfId="142" applyFont="1" applyFill="1" applyBorder="1" applyAlignment="1">
      <alignment horizontal="center" vertical="center"/>
    </xf>
    <xf numFmtId="0" fontId="36" fillId="0" borderId="105" xfId="0" applyFont="1" applyBorder="1" applyAlignment="1">
      <alignment horizontal="center" vertical="center"/>
    </xf>
    <xf numFmtId="0" fontId="36" fillId="0" borderId="87" xfId="0" applyFont="1" applyBorder="1" applyAlignment="1">
      <alignment horizontal="justify" vertical="center" wrapText="1"/>
    </xf>
    <xf numFmtId="196" fontId="36" fillId="0" borderId="87" xfId="3" applyNumberFormat="1" applyFont="1" applyFill="1" applyBorder="1" applyAlignment="1" applyProtection="1">
      <alignment horizontal="right" vertical="center"/>
    </xf>
    <xf numFmtId="197" fontId="36" fillId="0" borderId="106" xfId="1" applyNumberFormat="1" applyFont="1" applyFill="1" applyBorder="1" applyAlignment="1" applyProtection="1">
      <alignment horizontal="right" vertical="center"/>
    </xf>
    <xf numFmtId="165" fontId="51" fillId="0" borderId="172" xfId="0" applyNumberFormat="1" applyFont="1" applyBorder="1"/>
    <xf numFmtId="196" fontId="51" fillId="0" borderId="87" xfId="3" applyNumberFormat="1" applyFont="1" applyFill="1" applyBorder="1"/>
    <xf numFmtId="165" fontId="51" fillId="0" borderId="173" xfId="0" applyNumberFormat="1" applyFont="1" applyBorder="1"/>
    <xf numFmtId="0" fontId="51" fillId="0" borderId="119" xfId="0" applyFont="1" applyBorder="1"/>
    <xf numFmtId="196" fontId="36" fillId="0" borderId="88" xfId="3" applyNumberFormat="1" applyFont="1" applyFill="1" applyBorder="1" applyAlignment="1" applyProtection="1">
      <alignment horizontal="right" vertical="center"/>
    </xf>
    <xf numFmtId="197" fontId="36" fillId="0" borderId="109" xfId="1" applyNumberFormat="1" applyFont="1" applyFill="1" applyBorder="1" applyAlignment="1" applyProtection="1">
      <alignment horizontal="right" vertical="center"/>
    </xf>
    <xf numFmtId="165" fontId="51" fillId="0" borderId="174" xfId="0" applyNumberFormat="1" applyFont="1" applyBorder="1"/>
    <xf numFmtId="196" fontId="51" fillId="0" borderId="88" xfId="3" applyNumberFormat="1" applyFont="1" applyFill="1" applyBorder="1"/>
    <xf numFmtId="165" fontId="51" fillId="0" borderId="124" xfId="0" applyNumberFormat="1" applyFont="1" applyBorder="1"/>
    <xf numFmtId="0" fontId="51" fillId="0" borderId="113" xfId="0" applyFont="1" applyBorder="1"/>
    <xf numFmtId="197" fontId="36" fillId="0" borderId="109" xfId="109" applyNumberFormat="1" applyFont="1" applyFill="1" applyBorder="1" applyAlignment="1" applyProtection="1">
      <alignment horizontal="right" vertical="center"/>
    </xf>
    <xf numFmtId="165" fontId="36" fillId="0" borderId="174" xfId="0" applyNumberFormat="1" applyFont="1" applyBorder="1" applyAlignment="1">
      <alignment vertical="center"/>
    </xf>
    <xf numFmtId="196" fontId="36" fillId="0" borderId="88" xfId="3" applyNumberFormat="1" applyFont="1" applyFill="1" applyBorder="1" applyAlignment="1">
      <alignment vertical="center"/>
    </xf>
    <xf numFmtId="165" fontId="36" fillId="0" borderId="124" xfId="0" applyNumberFormat="1" applyFont="1" applyBorder="1" applyAlignment="1">
      <alignment vertical="center"/>
    </xf>
    <xf numFmtId="0" fontId="36" fillId="0" borderId="113" xfId="0" applyFont="1" applyBorder="1" applyAlignment="1">
      <alignment vertical="center"/>
    </xf>
    <xf numFmtId="0" fontId="36" fillId="0" borderId="110" xfId="0" applyFont="1" applyBorder="1" applyAlignment="1">
      <alignment vertical="center"/>
    </xf>
    <xf numFmtId="0" fontId="56" fillId="0" borderId="88" xfId="0" applyFont="1" applyBorder="1" applyAlignment="1">
      <alignment horizontal="left" vertical="center" wrapText="1"/>
    </xf>
    <xf numFmtId="0" fontId="36" fillId="0" borderId="88" xfId="0" applyFont="1" applyBorder="1" applyAlignment="1">
      <alignment horizontal="left" vertical="center" wrapText="1"/>
    </xf>
    <xf numFmtId="164" fontId="36" fillId="0" borderId="88" xfId="1" applyFont="1" applyFill="1" applyBorder="1" applyAlignment="1" applyProtection="1">
      <alignment horizontal="right" vertical="center"/>
    </xf>
    <xf numFmtId="10" fontId="36" fillId="0" borderId="88" xfId="2" applyNumberFormat="1" applyFont="1" applyFill="1" applyBorder="1" applyAlignment="1" applyProtection="1">
      <alignment horizontal="right" vertical="center"/>
    </xf>
    <xf numFmtId="10" fontId="36" fillId="0" borderId="109" xfId="2" applyNumberFormat="1" applyFont="1" applyFill="1" applyBorder="1" applyAlignment="1" applyProtection="1">
      <alignment horizontal="right" vertical="center"/>
    </xf>
    <xf numFmtId="164" fontId="36" fillId="0" borderId="174" xfId="1" applyFont="1" applyBorder="1" applyAlignment="1">
      <alignment vertical="center"/>
    </xf>
    <xf numFmtId="10" fontId="36" fillId="0" borderId="88" xfId="2" applyNumberFormat="1" applyFont="1" applyFill="1" applyBorder="1" applyAlignment="1">
      <alignment vertical="center"/>
    </xf>
    <xf numFmtId="10" fontId="36" fillId="0" borderId="124" xfId="2" applyNumberFormat="1" applyFont="1" applyBorder="1" applyAlignment="1">
      <alignment vertical="center"/>
    </xf>
    <xf numFmtId="164" fontId="36" fillId="0" borderId="113" xfId="1" applyFont="1" applyBorder="1" applyAlignment="1">
      <alignment vertical="center"/>
    </xf>
    <xf numFmtId="10" fontId="36" fillId="0" borderId="88" xfId="2" applyNumberFormat="1" applyFont="1" applyBorder="1" applyAlignment="1">
      <alignment vertical="center"/>
    </xf>
    <xf numFmtId="0" fontId="36" fillId="0" borderId="174" xfId="0" applyFont="1" applyBorder="1" applyAlignment="1">
      <alignment vertical="center"/>
    </xf>
    <xf numFmtId="0" fontId="36" fillId="0" borderId="124" xfId="0" applyFont="1" applyBorder="1" applyAlignment="1">
      <alignment vertical="center"/>
    </xf>
    <xf numFmtId="0" fontId="14" fillId="0" borderId="75" xfId="0" applyFont="1" applyBorder="1" applyAlignment="1">
      <alignment vertical="center"/>
    </xf>
    <xf numFmtId="0" fontId="14" fillId="0" borderId="115" xfId="0" applyFont="1" applyBorder="1" applyAlignment="1">
      <alignment vertical="center"/>
    </xf>
    <xf numFmtId="0" fontId="14" fillId="0" borderId="175" xfId="0" applyFont="1" applyBorder="1" applyAlignment="1">
      <alignment vertical="center"/>
    </xf>
    <xf numFmtId="0" fontId="14" fillId="0" borderId="176" xfId="0" applyFont="1" applyBorder="1" applyAlignment="1">
      <alignment vertical="center"/>
    </xf>
    <xf numFmtId="0" fontId="14" fillId="0" borderId="73" xfId="0" applyFont="1" applyBorder="1" applyAlignment="1">
      <alignment vertical="center"/>
    </xf>
    <xf numFmtId="0" fontId="14" fillId="0" borderId="147" xfId="0" applyFont="1" applyBorder="1" applyAlignment="1">
      <alignment vertical="center"/>
    </xf>
    <xf numFmtId="0" fontId="36" fillId="0" borderId="117" xfId="0" applyFont="1" applyBorder="1" applyAlignment="1">
      <alignment horizontal="center" vertical="center"/>
    </xf>
    <xf numFmtId="0" fontId="14" fillId="0" borderId="26" xfId="0" applyFont="1" applyBorder="1" applyAlignment="1">
      <alignment horizontal="right" vertical="center"/>
    </xf>
    <xf numFmtId="197" fontId="36" fillId="0" borderId="26" xfId="109" applyNumberFormat="1" applyFont="1" applyFill="1" applyBorder="1" applyAlignment="1" applyProtection="1">
      <alignment horizontal="right" vertical="center"/>
    </xf>
    <xf numFmtId="0" fontId="14" fillId="0" borderId="26" xfId="0" applyFont="1" applyBorder="1" applyAlignment="1">
      <alignment vertical="center"/>
    </xf>
    <xf numFmtId="0" fontId="14" fillId="0" borderId="137" xfId="0" applyFont="1" applyBorder="1" applyAlignment="1">
      <alignment vertical="center"/>
    </xf>
    <xf numFmtId="0" fontId="14" fillId="0" borderId="177" xfId="0" applyFont="1" applyBorder="1" applyAlignment="1">
      <alignment vertical="center"/>
    </xf>
    <xf numFmtId="0" fontId="14" fillId="0" borderId="178" xfId="0" applyFont="1" applyBorder="1" applyAlignment="1">
      <alignment vertical="center"/>
    </xf>
    <xf numFmtId="0" fontId="14" fillId="0" borderId="118" xfId="0" applyFont="1" applyBorder="1" applyAlignment="1">
      <alignment vertical="center"/>
    </xf>
    <xf numFmtId="0" fontId="14" fillId="0" borderId="27" xfId="0" applyFont="1" applyBorder="1" applyAlignment="1">
      <alignment vertical="center"/>
    </xf>
    <xf numFmtId="0" fontId="36" fillId="0" borderId="87" xfId="0" applyFont="1" applyBorder="1" applyAlignment="1">
      <alignment horizontal="right" vertical="center"/>
    </xf>
    <xf numFmtId="197" fontId="36" fillId="0" borderId="87" xfId="109" applyNumberFormat="1" applyFont="1" applyFill="1" applyBorder="1" applyAlignment="1" applyProtection="1">
      <alignment horizontal="right" vertical="center"/>
    </xf>
    <xf numFmtId="0" fontId="14" fillId="0" borderId="87" xfId="0" applyFont="1" applyBorder="1" applyAlignment="1">
      <alignment vertical="center"/>
    </xf>
    <xf numFmtId="0" fontId="14" fillId="0" borderId="106" xfId="0" applyFont="1" applyBorder="1" applyAlignment="1">
      <alignment vertical="center"/>
    </xf>
    <xf numFmtId="0" fontId="14" fillId="0" borderId="172" xfId="0" applyFont="1" applyBorder="1" applyAlignment="1">
      <alignment vertical="center"/>
    </xf>
    <xf numFmtId="0" fontId="14" fillId="0" borderId="173" xfId="0" applyFont="1" applyBorder="1" applyAlignment="1">
      <alignment vertical="center"/>
    </xf>
    <xf numFmtId="0" fontId="14" fillId="0" borderId="119" xfId="0" applyFont="1" applyBorder="1" applyAlignment="1">
      <alignment vertical="center"/>
    </xf>
    <xf numFmtId="0" fontId="14" fillId="0" borderId="145" xfId="0" applyFont="1" applyBorder="1" applyAlignment="1">
      <alignment vertical="center"/>
    </xf>
    <xf numFmtId="196" fontId="54" fillId="0" borderId="88" xfId="3" applyNumberFormat="1" applyFont="1" applyFill="1" applyBorder="1" applyAlignment="1">
      <alignment vertical="center"/>
    </xf>
    <xf numFmtId="196" fontId="36" fillId="0" borderId="88" xfId="3" applyNumberFormat="1" applyFont="1" applyFill="1" applyBorder="1" applyAlignment="1">
      <alignment horizontal="right" vertical="center"/>
    </xf>
    <xf numFmtId="197" fontId="36" fillId="0" borderId="109" xfId="1" applyNumberFormat="1" applyFont="1" applyFill="1" applyBorder="1" applyAlignment="1">
      <alignment horizontal="right" vertical="center"/>
    </xf>
    <xf numFmtId="196" fontId="36" fillId="0" borderId="75" xfId="3" applyNumberFormat="1" applyFont="1" applyFill="1" applyBorder="1" applyAlignment="1">
      <alignment vertical="center"/>
    </xf>
    <xf numFmtId="196" fontId="54" fillId="0" borderId="75" xfId="3" applyNumberFormat="1" applyFont="1" applyFill="1" applyBorder="1" applyAlignment="1">
      <alignment vertical="center"/>
    </xf>
    <xf numFmtId="196" fontId="36" fillId="0" borderId="75" xfId="3" applyNumberFormat="1" applyFont="1" applyFill="1" applyBorder="1" applyAlignment="1">
      <alignment horizontal="right" vertical="center"/>
    </xf>
    <xf numFmtId="197" fontId="36" fillId="0" borderId="75" xfId="1" applyNumberFormat="1" applyFont="1" applyFill="1" applyBorder="1" applyAlignment="1">
      <alignment horizontal="right" vertical="center"/>
    </xf>
    <xf numFmtId="197" fontId="36" fillId="0" borderId="115" xfId="1" applyNumberFormat="1" applyFont="1" applyFill="1" applyBorder="1" applyAlignment="1">
      <alignment horizontal="right" vertical="center"/>
    </xf>
    <xf numFmtId="165" fontId="51" fillId="0" borderId="175" xfId="0" applyNumberFormat="1" applyFont="1" applyBorder="1"/>
    <xf numFmtId="196" fontId="51" fillId="0" borderId="75" xfId="3" applyNumberFormat="1" applyFont="1" applyFill="1" applyBorder="1"/>
    <xf numFmtId="165" fontId="51" fillId="0" borderId="176" xfId="0" applyNumberFormat="1" applyFont="1" applyBorder="1"/>
    <xf numFmtId="0" fontId="51" fillId="0" borderId="73" xfId="0" applyFont="1" applyBorder="1"/>
    <xf numFmtId="197" fontId="36" fillId="0" borderId="26" xfId="1" applyNumberFormat="1" applyFont="1" applyFill="1" applyBorder="1" applyAlignment="1" applyProtection="1">
      <alignment horizontal="right" vertical="center"/>
    </xf>
    <xf numFmtId="196" fontId="36" fillId="0" borderId="26" xfId="3" applyNumberFormat="1" applyFont="1" applyFill="1" applyBorder="1" applyAlignment="1">
      <alignment horizontal="right" vertical="center"/>
    </xf>
    <xf numFmtId="197" fontId="36" fillId="0" borderId="26" xfId="1" applyNumberFormat="1" applyFont="1" applyFill="1" applyBorder="1" applyAlignment="1">
      <alignment horizontal="right" vertical="center"/>
    </xf>
    <xf numFmtId="197" fontId="36" fillId="0" borderId="137" xfId="1" applyNumberFormat="1" applyFont="1" applyFill="1" applyBorder="1" applyAlignment="1">
      <alignment horizontal="right" vertical="center"/>
    </xf>
    <xf numFmtId="165" fontId="51" fillId="0" borderId="177" xfId="0" applyNumberFormat="1" applyFont="1" applyBorder="1"/>
    <xf numFmtId="196" fontId="51" fillId="0" borderId="26" xfId="3" applyNumberFormat="1" applyFont="1" applyFill="1" applyBorder="1"/>
    <xf numFmtId="165" fontId="51" fillId="0" borderId="178" xfId="0" applyNumberFormat="1" applyFont="1" applyBorder="1"/>
    <xf numFmtId="0" fontId="51" fillId="0" borderId="118" xfId="0" applyFont="1" applyBorder="1"/>
    <xf numFmtId="0" fontId="14" fillId="0" borderId="87" xfId="0" applyFont="1" applyBorder="1" applyAlignment="1">
      <alignment horizontal="right" vertical="center"/>
    </xf>
    <xf numFmtId="196" fontId="36" fillId="0" borderId="87" xfId="3" applyNumberFormat="1" applyFont="1" applyFill="1" applyBorder="1" applyAlignment="1">
      <alignment horizontal="right" vertical="center"/>
    </xf>
    <xf numFmtId="197" fontId="36" fillId="0" borderId="87" xfId="1" applyNumberFormat="1" applyFont="1" applyFill="1" applyBorder="1" applyAlignment="1">
      <alignment horizontal="right" vertical="center"/>
    </xf>
    <xf numFmtId="197" fontId="36" fillId="0" borderId="106" xfId="1" applyNumberFormat="1" applyFont="1" applyFill="1" applyBorder="1" applyAlignment="1">
      <alignment horizontal="right" vertical="center"/>
    </xf>
    <xf numFmtId="0" fontId="36" fillId="0" borderId="88" xfId="0" applyFont="1" applyBorder="1" applyAlignment="1">
      <alignment horizontal="right" vertical="center"/>
    </xf>
    <xf numFmtId="0" fontId="14" fillId="0" borderId="108" xfId="0" applyFont="1" applyBorder="1" applyAlignment="1">
      <alignment horizontal="left" vertical="center"/>
    </xf>
    <xf numFmtId="0" fontId="56" fillId="0" borderId="88" xfId="0" applyFont="1" applyBorder="1" applyAlignment="1">
      <alignment vertical="center"/>
    </xf>
    <xf numFmtId="0" fontId="14" fillId="0" borderId="88" xfId="0" applyFont="1" applyBorder="1" applyAlignment="1">
      <alignment horizontal="center" vertical="center"/>
    </xf>
    <xf numFmtId="0" fontId="14" fillId="0" borderId="88" xfId="0" applyFont="1" applyBorder="1" applyAlignment="1">
      <alignment horizontal="center"/>
    </xf>
    <xf numFmtId="164" fontId="54" fillId="0" borderId="88" xfId="109" applyFont="1" applyFill="1" applyBorder="1"/>
    <xf numFmtId="0" fontId="36" fillId="0" borderId="88" xfId="0" applyFont="1" applyBorder="1"/>
    <xf numFmtId="0" fontId="36" fillId="0" borderId="109" xfId="0" applyFont="1" applyBorder="1"/>
    <xf numFmtId="0" fontId="36" fillId="0" borderId="174" xfId="0" applyFont="1" applyBorder="1"/>
    <xf numFmtId="0" fontId="36" fillId="0" borderId="124" xfId="0" applyFont="1" applyBorder="1"/>
    <xf numFmtId="0" fontId="36" fillId="0" borderId="113" xfId="0" applyFont="1" applyBorder="1"/>
    <xf numFmtId="0" fontId="36" fillId="0" borderId="110" xfId="0" applyFont="1" applyBorder="1"/>
    <xf numFmtId="0" fontId="14" fillId="0" borderId="88" xfId="0" applyFont="1" applyBorder="1"/>
    <xf numFmtId="0" fontId="36" fillId="0" borderId="88" xfId="0" applyFont="1" applyBorder="1" applyAlignment="1">
      <alignment vertical="top" wrapText="1"/>
    </xf>
    <xf numFmtId="164" fontId="54" fillId="0" borderId="88" xfId="263" applyNumberFormat="1" applyFont="1" applyBorder="1" applyAlignment="1">
      <alignment vertical="top"/>
    </xf>
    <xf numFmtId="197" fontId="36" fillId="0" borderId="88" xfId="109" applyNumberFormat="1" applyFont="1" applyFill="1" applyBorder="1" applyAlignment="1">
      <alignment horizontal="right" vertical="top"/>
    </xf>
    <xf numFmtId="197" fontId="36" fillId="0" borderId="88" xfId="109" applyNumberFormat="1" applyFont="1" applyFill="1" applyBorder="1" applyAlignment="1" applyProtection="1">
      <alignment horizontal="right" vertical="top"/>
    </xf>
    <xf numFmtId="0" fontId="36" fillId="0" borderId="88" xfId="0" applyFont="1" applyBorder="1" applyAlignment="1">
      <alignment horizontal="center"/>
    </xf>
    <xf numFmtId="0" fontId="61" fillId="0" borderId="108" xfId="0" applyFont="1" applyBorder="1" applyAlignment="1">
      <alignment horizontal="center" vertical="top"/>
    </xf>
    <xf numFmtId="0" fontId="61" fillId="0" borderId="88" xfId="0" applyFont="1" applyBorder="1" applyAlignment="1">
      <alignment vertical="top" wrapText="1"/>
    </xf>
    <xf numFmtId="0" fontId="61" fillId="0" borderId="88" xfId="0" applyFont="1" applyBorder="1" applyAlignment="1">
      <alignment horizontal="center" vertical="top"/>
    </xf>
    <xf numFmtId="164" fontId="61" fillId="0" borderId="88" xfId="109" applyFont="1" applyFill="1" applyBorder="1" applyAlignment="1">
      <alignment vertical="top"/>
    </xf>
    <xf numFmtId="164" fontId="65" fillId="0" borderId="88" xfId="263" applyNumberFormat="1" applyFont="1" applyBorder="1" applyAlignment="1">
      <alignment vertical="top"/>
    </xf>
    <xf numFmtId="197" fontId="61" fillId="0" borderId="88" xfId="109" applyNumberFormat="1" applyFont="1" applyFill="1" applyBorder="1" applyAlignment="1">
      <alignment horizontal="right" vertical="top"/>
    </xf>
    <xf numFmtId="0" fontId="61" fillId="0" borderId="110" xfId="0" applyFont="1" applyBorder="1"/>
    <xf numFmtId="0" fontId="14" fillId="0" borderId="114" xfId="0" applyFont="1" applyBorder="1" applyAlignment="1">
      <alignment horizontal="center" vertical="center"/>
    </xf>
    <xf numFmtId="0" fontId="14" fillId="0" borderId="75" xfId="0" applyFont="1" applyBorder="1" applyAlignment="1">
      <alignment horizontal="center" vertical="center"/>
    </xf>
    <xf numFmtId="0" fontId="14" fillId="0" borderId="75" xfId="0" applyFont="1" applyBorder="1" applyAlignment="1">
      <alignment horizontal="center"/>
    </xf>
    <xf numFmtId="164" fontId="36" fillId="0" borderId="75" xfId="109" applyFont="1" applyFill="1" applyBorder="1"/>
    <xf numFmtId="164" fontId="54" fillId="0" borderId="75" xfId="109" applyFont="1" applyFill="1" applyBorder="1" applyAlignment="1">
      <alignment vertical="top"/>
    </xf>
    <xf numFmtId="197" fontId="36" fillId="0" borderId="75" xfId="109" applyNumberFormat="1" applyFont="1" applyFill="1" applyBorder="1" applyAlignment="1">
      <alignment horizontal="right" vertical="top"/>
    </xf>
    <xf numFmtId="197" fontId="36" fillId="0" borderId="75" xfId="109" applyNumberFormat="1" applyFont="1" applyFill="1" applyBorder="1" applyAlignment="1">
      <alignment horizontal="right" vertical="center"/>
    </xf>
    <xf numFmtId="0" fontId="36" fillId="0" borderId="75" xfId="0" applyFont="1" applyBorder="1"/>
    <xf numFmtId="0" fontId="36" fillId="0" borderId="115" xfId="0" applyFont="1" applyBorder="1"/>
    <xf numFmtId="0" fontId="36" fillId="0" borderId="175" xfId="0" applyFont="1" applyBorder="1"/>
    <xf numFmtId="0" fontId="36" fillId="0" borderId="176" xfId="0" applyFont="1" applyBorder="1"/>
    <xf numFmtId="0" fontId="36" fillId="0" borderId="73" xfId="0" applyFont="1" applyBorder="1"/>
    <xf numFmtId="0" fontId="36" fillId="0" borderId="147" xfId="0" applyFont="1" applyBorder="1"/>
    <xf numFmtId="0" fontId="14" fillId="0" borderId="26" xfId="0" applyFont="1" applyBorder="1" applyAlignment="1">
      <alignment horizontal="center" vertical="center"/>
    </xf>
    <xf numFmtId="0" fontId="64" fillId="0" borderId="26" xfId="0" applyFont="1" applyBorder="1" applyAlignment="1">
      <alignment horizontal="center" vertical="top"/>
    </xf>
    <xf numFmtId="197" fontId="14" fillId="0" borderId="26" xfId="109" applyNumberFormat="1" applyFont="1" applyFill="1" applyBorder="1" applyAlignment="1" applyProtection="1">
      <alignment horizontal="right" vertical="top"/>
    </xf>
    <xf numFmtId="0" fontId="36" fillId="0" borderId="26" xfId="0" applyFont="1" applyBorder="1"/>
    <xf numFmtId="10" fontId="36" fillId="0" borderId="137" xfId="2" applyNumberFormat="1" applyFont="1" applyBorder="1"/>
    <xf numFmtId="0" fontId="36" fillId="0" borderId="177" xfId="0" applyFont="1" applyBorder="1"/>
    <xf numFmtId="0" fontId="36" fillId="0" borderId="118" xfId="0" applyFont="1" applyBorder="1"/>
    <xf numFmtId="0" fontId="36" fillId="0" borderId="27" xfId="0" applyFont="1" applyBorder="1"/>
    <xf numFmtId="0" fontId="14" fillId="0" borderId="87" xfId="0" applyFont="1" applyBorder="1" applyAlignment="1">
      <alignment horizontal="center" vertical="center"/>
    </xf>
    <xf numFmtId="0" fontId="14" fillId="0" borderId="87" xfId="0" applyFont="1" applyBorder="1" applyAlignment="1">
      <alignment horizontal="center"/>
    </xf>
    <xf numFmtId="164" fontId="36" fillId="0" borderId="87" xfId="109" applyFont="1" applyFill="1" applyBorder="1"/>
    <xf numFmtId="164" fontId="54" fillId="0" borderId="87" xfId="109" applyFont="1" applyFill="1" applyBorder="1" applyAlignment="1">
      <alignment vertical="top"/>
    </xf>
    <xf numFmtId="197" fontId="36" fillId="0" borderId="87" xfId="109" applyNumberFormat="1" applyFont="1" applyFill="1" applyBorder="1" applyAlignment="1">
      <alignment horizontal="right" vertical="top"/>
    </xf>
    <xf numFmtId="197" fontId="36" fillId="0" borderId="87" xfId="109" applyNumberFormat="1" applyFont="1" applyFill="1" applyBorder="1" applyAlignment="1">
      <alignment horizontal="right" vertical="center"/>
    </xf>
    <xf numFmtId="0" fontId="36" fillId="0" borderId="87" xfId="0" applyFont="1" applyBorder="1"/>
    <xf numFmtId="0" fontId="36" fillId="0" borderId="106" xfId="0" applyFont="1" applyBorder="1"/>
    <xf numFmtId="0" fontId="36" fillId="0" borderId="172" xfId="0" applyFont="1" applyBorder="1"/>
    <xf numFmtId="0" fontId="36" fillId="0" borderId="173" xfId="0" applyFont="1" applyBorder="1"/>
    <xf numFmtId="0" fontId="36" fillId="0" borderId="119" xfId="0" applyFont="1" applyBorder="1"/>
    <xf numFmtId="0" fontId="36" fillId="0" borderId="145" xfId="0" applyFont="1" applyBorder="1"/>
    <xf numFmtId="164" fontId="54" fillId="0" borderId="88" xfId="109" applyFont="1" applyFill="1" applyBorder="1" applyAlignment="1">
      <alignment vertical="top"/>
    </xf>
    <xf numFmtId="0" fontId="59" fillId="0" borderId="88" xfId="0" applyFont="1" applyBorder="1" applyAlignment="1">
      <alignment vertical="center"/>
    </xf>
    <xf numFmtId="197" fontId="36" fillId="0" borderId="88" xfId="109" applyNumberFormat="1" applyFont="1" applyFill="1" applyBorder="1" applyAlignment="1" applyProtection="1">
      <alignment vertical="top"/>
    </xf>
    <xf numFmtId="0" fontId="36" fillId="0" borderId="88" xfId="0" applyFont="1" applyBorder="1" applyAlignment="1">
      <alignment vertical="center" wrapText="1"/>
    </xf>
    <xf numFmtId="0" fontId="36" fillId="0" borderId="75" xfId="0" applyFont="1" applyBorder="1" applyAlignment="1">
      <alignment horizontal="right" vertical="center"/>
    </xf>
    <xf numFmtId="164" fontId="54" fillId="0" borderId="75" xfId="109" applyFont="1" applyFill="1" applyBorder="1" applyAlignment="1">
      <alignment vertical="center"/>
    </xf>
    <xf numFmtId="0" fontId="36" fillId="0" borderId="175" xfId="0" applyFont="1" applyBorder="1" applyAlignment="1">
      <alignment vertical="center"/>
    </xf>
    <xf numFmtId="0" fontId="36" fillId="0" borderId="176" xfId="0" applyFont="1" applyBorder="1" applyAlignment="1">
      <alignment vertical="center"/>
    </xf>
    <xf numFmtId="0" fontId="36" fillId="0" borderId="73" xfId="0" applyFont="1" applyBorder="1" applyAlignment="1">
      <alignment vertical="center"/>
    </xf>
    <xf numFmtId="0" fontId="36" fillId="0" borderId="147" xfId="0" applyFont="1" applyBorder="1" applyAlignment="1">
      <alignment vertical="center"/>
    </xf>
    <xf numFmtId="0" fontId="64" fillId="0" borderId="26" xfId="0" applyFont="1" applyBorder="1" applyAlignment="1">
      <alignment horizontal="center" vertical="center"/>
    </xf>
    <xf numFmtId="10" fontId="36" fillId="0" borderId="178" xfId="2" applyNumberFormat="1" applyFont="1" applyBorder="1"/>
    <xf numFmtId="0" fontId="14" fillId="0" borderId="104" xfId="0" applyFont="1" applyBorder="1" applyAlignment="1">
      <alignment vertical="center"/>
    </xf>
    <xf numFmtId="164" fontId="54" fillId="0" borderId="87" xfId="109" applyFont="1" applyFill="1" applyBorder="1" applyAlignment="1">
      <alignment vertical="center"/>
    </xf>
    <xf numFmtId="0" fontId="14" fillId="0" borderId="174" xfId="0" applyFont="1" applyBorder="1" applyAlignment="1">
      <alignment vertical="center"/>
    </xf>
    <xf numFmtId="0" fontId="14" fillId="0" borderId="124" xfId="0" applyFont="1" applyBorder="1" applyAlignment="1">
      <alignment vertical="center"/>
    </xf>
    <xf numFmtId="0" fontId="14" fillId="0" borderId="113" xfId="0" applyFont="1" applyBorder="1" applyAlignment="1">
      <alignment vertical="center"/>
    </xf>
    <xf numFmtId="0" fontId="14" fillId="0" borderId="110" xfId="0" applyFont="1" applyBorder="1" applyAlignment="1">
      <alignment vertical="center"/>
    </xf>
    <xf numFmtId="0" fontId="64" fillId="0" borderId="87" xfId="0" applyFont="1" applyBorder="1" applyAlignment="1">
      <alignment horizontal="center" vertical="center"/>
    </xf>
    <xf numFmtId="0" fontId="36" fillId="0" borderId="88" xfId="0" applyFont="1" applyBorder="1" applyAlignment="1">
      <alignment horizontal="left" vertical="center" indent="1"/>
    </xf>
    <xf numFmtId="0" fontId="36" fillId="0" borderId="88" xfId="0" applyFont="1" applyBorder="1" applyAlignment="1">
      <alignment horizontal="left" vertical="center"/>
    </xf>
    <xf numFmtId="0" fontId="54" fillId="0" borderId="26" xfId="0" applyFont="1" applyBorder="1" applyAlignment="1">
      <alignment horizontal="center" vertical="center"/>
    </xf>
    <xf numFmtId="10" fontId="14" fillId="0" borderId="137" xfId="2" applyNumberFormat="1" applyFont="1" applyBorder="1" applyAlignment="1">
      <alignment vertical="center"/>
    </xf>
    <xf numFmtId="43" fontId="36" fillId="0" borderId="88" xfId="0" applyNumberFormat="1" applyFont="1" applyBorder="1" applyAlignment="1">
      <alignment vertical="center"/>
    </xf>
    <xf numFmtId="0" fontId="39" fillId="0" borderId="88" xfId="0" applyFont="1" applyBorder="1" applyAlignment="1">
      <alignment vertical="center" wrapText="1"/>
    </xf>
    <xf numFmtId="0" fontId="39" fillId="0" borderId="75" xfId="0" applyFont="1" applyBorder="1" applyAlignment="1">
      <alignment vertical="center"/>
    </xf>
    <xf numFmtId="197" fontId="36" fillId="0" borderId="75" xfId="109" applyNumberFormat="1" applyFont="1" applyFill="1" applyBorder="1" applyAlignment="1" applyProtection="1">
      <alignment vertical="center"/>
    </xf>
    <xf numFmtId="0" fontId="36" fillId="0" borderId="88" xfId="0" applyFont="1" applyBorder="1" applyAlignment="1">
      <alignment horizontal="left" vertical="center" wrapText="1" indent="1"/>
    </xf>
    <xf numFmtId="0" fontId="36" fillId="0" borderId="75" xfId="0" applyFont="1" applyBorder="1" applyAlignment="1">
      <alignment horizontal="left" vertical="center" indent="1"/>
    </xf>
    <xf numFmtId="196" fontId="14" fillId="0" borderId="26" xfId="90" applyNumberFormat="1" applyFont="1" applyFill="1" applyBorder="1" applyAlignment="1" applyProtection="1">
      <alignment vertical="center"/>
    </xf>
    <xf numFmtId="196" fontId="64" fillId="0" borderId="26" xfId="90" applyNumberFormat="1" applyFont="1" applyFill="1" applyBorder="1" applyAlignment="1" applyProtection="1">
      <alignment vertical="center"/>
    </xf>
    <xf numFmtId="0" fontId="36" fillId="7" borderId="88" xfId="284" applyFont="1" applyFill="1" applyBorder="1" applyAlignment="1">
      <alignment horizontal="left" vertical="center" wrapText="1"/>
    </xf>
    <xf numFmtId="0" fontId="54" fillId="11" borderId="108" xfId="0" applyFont="1" applyFill="1" applyBorder="1" applyAlignment="1">
      <alignment horizontal="center" vertical="top"/>
    </xf>
    <xf numFmtId="0" fontId="54" fillId="11" borderId="88" xfId="284" applyFont="1" applyFill="1" applyBorder="1" applyAlignment="1">
      <alignment horizontal="left" vertical="center"/>
    </xf>
    <xf numFmtId="0" fontId="54" fillId="11" borderId="88" xfId="0" applyFont="1" applyFill="1" applyBorder="1" applyAlignment="1">
      <alignment horizontal="center" vertical="center"/>
    </xf>
    <xf numFmtId="196" fontId="54" fillId="11" borderId="88" xfId="90" applyNumberFormat="1" applyFont="1" applyFill="1" applyBorder="1" applyAlignment="1" applyProtection="1">
      <alignment vertical="top"/>
    </xf>
    <xf numFmtId="197" fontId="54" fillId="11" borderId="88" xfId="109" applyNumberFormat="1" applyFont="1" applyFill="1" applyBorder="1" applyAlignment="1">
      <alignment horizontal="right" vertical="center"/>
    </xf>
    <xf numFmtId="197" fontId="54" fillId="11" borderId="88" xfId="109" applyNumberFormat="1" applyFont="1" applyFill="1" applyBorder="1" applyAlignment="1" applyProtection="1">
      <alignment horizontal="right" vertical="center"/>
    </xf>
    <xf numFmtId="0" fontId="54" fillId="0" borderId="88" xfId="0" applyFont="1" applyBorder="1" applyAlignment="1">
      <alignment vertical="center"/>
    </xf>
    <xf numFmtId="0" fontId="54" fillId="0" borderId="109" xfId="0" applyFont="1" applyBorder="1" applyAlignment="1">
      <alignment vertical="center"/>
    </xf>
    <xf numFmtId="0" fontId="54" fillId="0" borderId="174" xfId="0" applyFont="1" applyBorder="1" applyAlignment="1">
      <alignment vertical="center"/>
    </xf>
    <xf numFmtId="0" fontId="54" fillId="0" borderId="124" xfId="0" applyFont="1" applyBorder="1" applyAlignment="1">
      <alignment vertical="center"/>
    </xf>
    <xf numFmtId="0" fontId="54" fillId="0" borderId="113" xfId="0" applyFont="1" applyBorder="1" applyAlignment="1">
      <alignment vertical="center"/>
    </xf>
    <xf numFmtId="0" fontId="54" fillId="0" borderId="110" xfId="0" applyFont="1" applyBorder="1" applyAlignment="1">
      <alignment vertical="center"/>
    </xf>
    <xf numFmtId="0" fontId="54" fillId="0" borderId="0" xfId="0" applyFont="1" applyAlignment="1">
      <alignment vertical="center"/>
    </xf>
    <xf numFmtId="0" fontId="36" fillId="0" borderId="88" xfId="284" applyFont="1" applyBorder="1" applyAlignment="1">
      <alignment horizontal="left" vertical="center" wrapText="1"/>
    </xf>
    <xf numFmtId="0" fontId="36" fillId="11" borderId="108" xfId="0" applyFont="1" applyFill="1" applyBorder="1" applyAlignment="1">
      <alignment horizontal="center" vertical="top"/>
    </xf>
    <xf numFmtId="0" fontId="36" fillId="11" borderId="88" xfId="284" applyFont="1" applyFill="1" applyBorder="1" applyAlignment="1">
      <alignment horizontal="left" vertical="center" wrapText="1"/>
    </xf>
    <xf numFmtId="197" fontId="36" fillId="11" borderId="88" xfId="109" applyNumberFormat="1" applyFont="1" applyFill="1" applyBorder="1" applyAlignment="1">
      <alignment horizontal="right" vertical="center"/>
    </xf>
    <xf numFmtId="0" fontId="36" fillId="7" borderId="108" xfId="0" applyFont="1" applyFill="1" applyBorder="1" applyAlignment="1">
      <alignment horizontal="center" vertical="center"/>
    </xf>
    <xf numFmtId="0" fontId="36" fillId="7" borderId="88" xfId="0" applyFont="1" applyFill="1" applyBorder="1" applyAlignment="1">
      <alignment vertical="center"/>
    </xf>
    <xf numFmtId="0" fontId="36" fillId="7" borderId="88" xfId="0" applyFont="1" applyFill="1" applyBorder="1" applyAlignment="1">
      <alignment horizontal="center" vertical="center"/>
    </xf>
    <xf numFmtId="196" fontId="54" fillId="7" borderId="88" xfId="90" applyNumberFormat="1" applyFont="1" applyFill="1" applyBorder="1" applyAlignment="1" applyProtection="1">
      <alignment vertical="center"/>
    </xf>
    <xf numFmtId="164" fontId="54" fillId="7" borderId="88" xfId="263" applyNumberFormat="1" applyFont="1" applyFill="1" applyBorder="1" applyAlignment="1">
      <alignment vertical="center"/>
    </xf>
    <xf numFmtId="197" fontId="36" fillId="7" borderId="88" xfId="109" applyNumberFormat="1" applyFont="1" applyFill="1" applyBorder="1" applyAlignment="1" applyProtection="1">
      <alignment horizontal="right" vertical="center"/>
    </xf>
    <xf numFmtId="196" fontId="36" fillId="7" borderId="88" xfId="90" applyNumberFormat="1" applyFont="1" applyFill="1" applyBorder="1" applyAlignment="1" applyProtection="1">
      <alignment vertical="center"/>
    </xf>
    <xf numFmtId="197" fontId="36" fillId="7" borderId="88" xfId="109" applyNumberFormat="1" applyFont="1" applyFill="1" applyBorder="1" applyAlignment="1" applyProtection="1">
      <alignment vertical="center"/>
    </xf>
    <xf numFmtId="0" fontId="36" fillId="0" borderId="114" xfId="0" applyFont="1" applyBorder="1" applyAlignment="1">
      <alignment horizontal="center" vertical="top"/>
    </xf>
    <xf numFmtId="0" fontId="36" fillId="0" borderId="75" xfId="0" applyFont="1" applyBorder="1" applyAlignment="1">
      <alignment horizontal="center" vertical="top"/>
    </xf>
    <xf numFmtId="196" fontId="36" fillId="0" borderId="75" xfId="90" applyNumberFormat="1" applyFont="1" applyFill="1" applyBorder="1" applyAlignment="1" applyProtection="1">
      <alignment vertical="top"/>
    </xf>
    <xf numFmtId="164" fontId="54" fillId="0" borderId="75" xfId="90" applyNumberFormat="1" applyFont="1" applyFill="1" applyBorder="1" applyAlignment="1" applyProtection="1">
      <alignment vertical="center"/>
    </xf>
    <xf numFmtId="0" fontId="36" fillId="0" borderId="172" xfId="0" applyFont="1" applyBorder="1" applyAlignment="1">
      <alignment vertical="center"/>
    </xf>
    <xf numFmtId="0" fontId="36" fillId="0" borderId="173" xfId="0" applyFont="1" applyBorder="1" applyAlignment="1">
      <alignment vertical="center"/>
    </xf>
    <xf numFmtId="0" fontId="36" fillId="0" borderId="119" xfId="0" applyFont="1" applyBorder="1" applyAlignment="1">
      <alignment vertical="center"/>
    </xf>
    <xf numFmtId="0" fontId="36" fillId="0" borderId="145" xfId="0" applyFont="1" applyBorder="1" applyAlignment="1">
      <alignment vertical="center"/>
    </xf>
    <xf numFmtId="10" fontId="36" fillId="0" borderId="137" xfId="2" applyNumberFormat="1" applyFont="1" applyFill="1" applyBorder="1" applyAlignment="1">
      <alignment horizontal="right" vertical="center"/>
    </xf>
    <xf numFmtId="10" fontId="36" fillId="0" borderId="137" xfId="1" applyNumberFormat="1" applyFont="1" applyFill="1" applyBorder="1" applyAlignment="1">
      <alignment horizontal="right" vertical="center"/>
    </xf>
    <xf numFmtId="197" fontId="14" fillId="0" borderId="88" xfId="109" applyNumberFormat="1" applyFont="1" applyFill="1" applyBorder="1" applyAlignment="1" applyProtection="1">
      <alignment horizontal="right" vertical="center"/>
    </xf>
    <xf numFmtId="164" fontId="36" fillId="0" borderId="88" xfId="1" applyFont="1" applyFill="1" applyBorder="1" applyAlignment="1">
      <alignment horizontal="right"/>
    </xf>
    <xf numFmtId="164" fontId="54" fillId="0" borderId="88" xfId="1" applyFont="1" applyFill="1" applyBorder="1" applyAlignment="1">
      <alignment horizontal="right" vertical="center"/>
    </xf>
    <xf numFmtId="0" fontId="36" fillId="7" borderId="88" xfId="0" applyFont="1" applyFill="1" applyBorder="1" applyAlignment="1">
      <alignment vertical="center" wrapText="1"/>
    </xf>
    <xf numFmtId="164" fontId="54" fillId="0" borderId="88" xfId="3" applyNumberFormat="1" applyFont="1" applyFill="1" applyBorder="1" applyAlignment="1" applyProtection="1">
      <alignment vertical="center"/>
    </xf>
    <xf numFmtId="164" fontId="54" fillId="0" borderId="75" xfId="3" applyNumberFormat="1" applyFont="1" applyFill="1" applyBorder="1" applyAlignment="1" applyProtection="1">
      <alignment vertical="center"/>
    </xf>
    <xf numFmtId="0" fontId="36" fillId="0" borderId="88" xfId="0" applyFont="1" applyBorder="1" applyAlignment="1">
      <alignment horizontal="left"/>
    </xf>
    <xf numFmtId="0" fontId="0" fillId="0" borderId="174" xfId="0" applyBorder="1"/>
    <xf numFmtId="0" fontId="0" fillId="0" borderId="124" xfId="0" applyBorder="1"/>
    <xf numFmtId="0" fontId="0" fillId="0" borderId="113" xfId="0" applyBorder="1"/>
    <xf numFmtId="197" fontId="39" fillId="0" borderId="88" xfId="109" applyNumberFormat="1" applyFont="1" applyFill="1" applyBorder="1" applyAlignment="1">
      <alignment horizontal="right" vertical="center"/>
    </xf>
    <xf numFmtId="164" fontId="39" fillId="0" borderId="88" xfId="1" applyFont="1" applyFill="1" applyBorder="1"/>
    <xf numFmtId="197" fontId="39" fillId="0" borderId="88" xfId="109" applyNumberFormat="1" applyFont="1" applyFill="1" applyBorder="1" applyAlignment="1" applyProtection="1">
      <alignment horizontal="right" vertical="top"/>
    </xf>
    <xf numFmtId="0" fontId="36" fillId="0" borderId="88" xfId="0" applyFont="1" applyBorder="1" applyAlignment="1">
      <alignment horizontal="left" wrapText="1"/>
    </xf>
    <xf numFmtId="164" fontId="54" fillId="0" borderId="88" xfId="1" applyFont="1" applyFill="1" applyBorder="1" applyAlignment="1">
      <alignment vertical="center"/>
    </xf>
    <xf numFmtId="196" fontId="54" fillId="0" borderId="88" xfId="1" applyNumberFormat="1" applyFont="1" applyFill="1" applyBorder="1" applyAlignment="1">
      <alignment vertical="center"/>
    </xf>
    <xf numFmtId="0" fontId="36" fillId="0" borderId="75" xfId="0" applyFont="1" applyBorder="1" applyAlignment="1">
      <alignment horizontal="justify" vertical="center"/>
    </xf>
    <xf numFmtId="0" fontId="56" fillId="0" borderId="88" xfId="0" applyFont="1" applyBorder="1" applyAlignment="1">
      <alignment horizontal="left" vertical="center" indent="1"/>
    </xf>
    <xf numFmtId="0" fontId="39" fillId="0" borderId="88" xfId="263" applyFont="1" applyBorder="1" applyAlignment="1">
      <alignment vertical="center" wrapText="1"/>
    </xf>
    <xf numFmtId="0" fontId="39" fillId="0" borderId="88" xfId="263" applyFont="1" applyBorder="1" applyAlignment="1">
      <alignment horizontal="center" vertical="center"/>
    </xf>
    <xf numFmtId="2" fontId="39" fillId="0" borderId="88" xfId="1" applyNumberFormat="1" applyFont="1" applyFill="1" applyBorder="1" applyAlignment="1">
      <alignment vertical="center"/>
    </xf>
    <xf numFmtId="2" fontId="52" fillId="0" borderId="88" xfId="1" applyNumberFormat="1" applyFont="1" applyFill="1" applyBorder="1" applyAlignment="1">
      <alignment vertical="center"/>
    </xf>
    <xf numFmtId="0" fontId="39" fillId="0" borderId="108" xfId="263" applyFont="1" applyBorder="1" applyAlignment="1">
      <alignment horizontal="center" vertical="center"/>
    </xf>
    <xf numFmtId="164" fontId="52" fillId="0" borderId="88" xfId="1" applyFont="1" applyFill="1" applyBorder="1" applyAlignment="1">
      <alignment vertical="center"/>
    </xf>
    <xf numFmtId="0" fontId="39" fillId="0" borderId="75" xfId="262" applyFont="1" applyBorder="1" applyAlignment="1">
      <alignment horizontal="left" vertical="center" indent="2"/>
    </xf>
    <xf numFmtId="0" fontId="36" fillId="10" borderId="0" xfId="263" applyFont="1" applyFill="1" applyAlignment="1">
      <alignment vertical="center"/>
    </xf>
    <xf numFmtId="0" fontId="36" fillId="0" borderId="0" xfId="263" applyFont="1"/>
    <xf numFmtId="0" fontId="54" fillId="2" borderId="0" xfId="263" applyFont="1" applyFill="1" applyAlignment="1">
      <alignment vertical="center"/>
    </xf>
    <xf numFmtId="0" fontId="36" fillId="0" borderId="0" xfId="297" applyFont="1"/>
    <xf numFmtId="0" fontId="36" fillId="10" borderId="0" xfId="284" applyFont="1" applyFill="1"/>
    <xf numFmtId="0" fontId="39" fillId="10" borderId="0" xfId="0" applyFont="1" applyFill="1" applyAlignment="1">
      <alignment vertical="center"/>
    </xf>
    <xf numFmtId="0" fontId="36" fillId="0" borderId="0" xfId="284" applyFont="1"/>
    <xf numFmtId="0" fontId="36" fillId="0" borderId="0" xfId="263" applyFont="1" applyAlignment="1">
      <alignment vertical="center"/>
    </xf>
    <xf numFmtId="165" fontId="36" fillId="0" borderId="0" xfId="263" applyNumberFormat="1" applyFont="1" applyAlignment="1">
      <alignment vertical="center"/>
    </xf>
    <xf numFmtId="0" fontId="36" fillId="0" borderId="0" xfId="263" applyFont="1" applyAlignment="1">
      <alignment horizontal="center" vertical="center"/>
    </xf>
    <xf numFmtId="164" fontId="36" fillId="0" borderId="0" xfId="263" applyNumberFormat="1" applyFont="1" applyAlignment="1">
      <alignment horizontal="center" vertical="center"/>
    </xf>
    <xf numFmtId="164" fontId="54" fillId="0" borderId="0" xfId="263" applyNumberFormat="1" applyFont="1" applyAlignment="1">
      <alignment vertical="center"/>
    </xf>
    <xf numFmtId="197" fontId="36" fillId="0" borderId="0" xfId="129" applyNumberFormat="1" applyFont="1" applyFill="1" applyAlignment="1">
      <alignment vertical="center"/>
    </xf>
    <xf numFmtId="0" fontId="36" fillId="2" borderId="0" xfId="263" applyFont="1" applyFill="1" applyAlignment="1">
      <alignment vertical="center"/>
    </xf>
    <xf numFmtId="206" fontId="60" fillId="0" borderId="0" xfId="142" applyNumberFormat="1" applyFont="1" applyFill="1"/>
    <xf numFmtId="207" fontId="60" fillId="0" borderId="0" xfId="142" applyNumberFormat="1" applyFont="1" applyFill="1" applyBorder="1" applyAlignment="1">
      <alignment horizontal="center" vertical="center"/>
    </xf>
    <xf numFmtId="206" fontId="60" fillId="2" borderId="0" xfId="142" applyNumberFormat="1" applyFont="1" applyFill="1"/>
    <xf numFmtId="207" fontId="63" fillId="0" borderId="0" xfId="142" applyNumberFormat="1" applyFont="1" applyBorder="1" applyAlignment="1">
      <alignment horizontal="center" vertical="center"/>
    </xf>
    <xf numFmtId="4" fontId="14" fillId="0" borderId="0" xfId="263" applyNumberFormat="1" applyFont="1" applyAlignment="1">
      <alignment vertical="center"/>
    </xf>
    <xf numFmtId="0" fontId="14" fillId="0" borderId="0" xfId="263" applyFont="1" applyAlignment="1">
      <alignment vertical="center"/>
    </xf>
    <xf numFmtId="0" fontId="14" fillId="0" borderId="0" xfId="263" applyFont="1" applyAlignment="1">
      <alignment horizontal="center" vertical="center"/>
    </xf>
    <xf numFmtId="0" fontId="64" fillId="0" borderId="0" xfId="263" applyFont="1" applyAlignment="1">
      <alignment vertical="center"/>
    </xf>
    <xf numFmtId="165" fontId="14" fillId="0" borderId="179" xfId="263" applyNumberFormat="1" applyFont="1" applyBorder="1" applyAlignment="1">
      <alignment horizontal="center" vertical="center" wrapText="1"/>
    </xf>
    <xf numFmtId="0" fontId="14" fillId="0" borderId="180" xfId="263" applyFont="1" applyBorder="1" applyAlignment="1">
      <alignment horizontal="center" vertical="center" wrapText="1"/>
    </xf>
    <xf numFmtId="0" fontId="14" fillId="0" borderId="181" xfId="263" applyFont="1" applyBorder="1" applyAlignment="1">
      <alignment horizontal="center" vertical="center" wrapText="1"/>
    </xf>
    <xf numFmtId="0" fontId="14" fillId="0" borderId="107" xfId="263" applyFont="1" applyBorder="1" applyAlignment="1">
      <alignment horizontal="center" vertical="center" wrapText="1"/>
    </xf>
    <xf numFmtId="164" fontId="14" fillId="0" borderId="107" xfId="263" applyNumberFormat="1" applyFont="1" applyBorder="1" applyAlignment="1">
      <alignment horizontal="center" vertical="center"/>
    </xf>
    <xf numFmtId="164" fontId="64" fillId="0" borderId="107" xfId="263" applyNumberFormat="1" applyFont="1" applyBorder="1" applyAlignment="1">
      <alignment horizontal="center" vertical="center"/>
    </xf>
    <xf numFmtId="197" fontId="14" fillId="0" borderId="107" xfId="129" applyNumberFormat="1" applyFont="1" applyFill="1" applyBorder="1" applyAlignment="1">
      <alignment horizontal="center" vertical="center" wrapText="1"/>
    </xf>
    <xf numFmtId="197" fontId="14" fillId="0" borderId="63" xfId="129" applyNumberFormat="1" applyFont="1" applyFill="1" applyBorder="1" applyAlignment="1">
      <alignment horizontal="center" vertical="center" wrapText="1"/>
    </xf>
    <xf numFmtId="0" fontId="36" fillId="0" borderId="182" xfId="263" applyFont="1" applyBorder="1" applyAlignment="1">
      <alignment vertical="center"/>
    </xf>
    <xf numFmtId="0" fontId="36" fillId="0" borderId="107" xfId="263" applyFont="1" applyBorder="1" applyAlignment="1">
      <alignment vertical="center"/>
    </xf>
    <xf numFmtId="0" fontId="36" fillId="0" borderId="180" xfId="263" applyFont="1" applyBorder="1" applyAlignment="1">
      <alignment vertical="center"/>
    </xf>
    <xf numFmtId="0" fontId="36" fillId="0" borderId="183" xfId="263" applyFont="1" applyBorder="1" applyAlignment="1">
      <alignment vertical="center"/>
    </xf>
    <xf numFmtId="0" fontId="36" fillId="0" borderId="184" xfId="263" applyFont="1" applyBorder="1" applyAlignment="1">
      <alignment vertical="center"/>
    </xf>
    <xf numFmtId="0" fontId="36" fillId="0" borderId="162" xfId="263" applyFont="1" applyBorder="1" applyAlignment="1">
      <alignment vertical="center"/>
    </xf>
    <xf numFmtId="165" fontId="14" fillId="0" borderId="108" xfId="263" applyNumberFormat="1" applyFont="1" applyBorder="1" applyAlignment="1">
      <alignment horizontal="center" vertical="center" wrapText="1"/>
    </xf>
    <xf numFmtId="0" fontId="14" fillId="0" borderId="109" xfId="263" applyFont="1" applyBorder="1" applyAlignment="1">
      <alignment horizontal="center" vertical="center" wrapText="1"/>
    </xf>
    <xf numFmtId="0" fontId="14" fillId="0" borderId="113" xfId="263" applyFont="1" applyBorder="1" applyAlignment="1">
      <alignment horizontal="left" vertical="center" wrapText="1"/>
    </xf>
    <xf numFmtId="0" fontId="14" fillId="0" borderId="88" xfId="263" applyFont="1" applyBorder="1" applyAlignment="1">
      <alignment horizontal="center" vertical="center" wrapText="1"/>
    </xf>
    <xf numFmtId="164" fontId="14" fillId="0" borderId="88" xfId="263" applyNumberFormat="1" applyFont="1" applyBorder="1" applyAlignment="1">
      <alignment horizontal="center" vertical="center"/>
    </xf>
    <xf numFmtId="164" fontId="64" fillId="0" borderId="88" xfId="263" applyNumberFormat="1" applyFont="1" applyBorder="1" applyAlignment="1">
      <alignment horizontal="center" vertical="center"/>
    </xf>
    <xf numFmtId="197" fontId="14" fillId="0" borderId="88" xfId="129" applyNumberFormat="1" applyFont="1" applyFill="1" applyBorder="1" applyAlignment="1">
      <alignment horizontal="center" vertical="center" wrapText="1"/>
    </xf>
    <xf numFmtId="197" fontId="14" fillId="0" borderId="110" xfId="129" applyNumberFormat="1" applyFont="1" applyFill="1" applyBorder="1" applyAlignment="1">
      <alignment horizontal="center" vertical="center" wrapText="1"/>
    </xf>
    <xf numFmtId="0" fontId="36" fillId="0" borderId="112" xfId="263" applyFont="1" applyBorder="1" applyAlignment="1">
      <alignment vertical="center"/>
    </xf>
    <xf numFmtId="0" fontId="36" fillId="0" borderId="88" xfId="263" applyFont="1" applyBorder="1" applyAlignment="1">
      <alignment vertical="center"/>
    </xf>
    <xf numFmtId="0" fontId="36" fillId="0" borderId="109" xfId="263" applyFont="1" applyBorder="1" applyAlignment="1">
      <alignment vertical="center"/>
    </xf>
    <xf numFmtId="0" fontId="36" fillId="0" borderId="174" xfId="263" applyFont="1" applyBorder="1" applyAlignment="1">
      <alignment vertical="center"/>
    </xf>
    <xf numFmtId="0" fontId="36" fillId="0" borderId="124" xfId="263" applyFont="1" applyBorder="1" applyAlignment="1">
      <alignment vertical="center"/>
    </xf>
    <xf numFmtId="0" fontId="36" fillId="0" borderId="154" xfId="263" applyFont="1" applyBorder="1" applyAlignment="1">
      <alignment vertical="center"/>
    </xf>
    <xf numFmtId="0" fontId="14" fillId="0" borderId="113" xfId="263" applyFont="1" applyBorder="1" applyAlignment="1">
      <alignment horizontal="center" vertical="center" wrapText="1"/>
    </xf>
    <xf numFmtId="165" fontId="14" fillId="0" borderId="108" xfId="263" applyNumberFormat="1" applyFont="1" applyBorder="1" applyAlignment="1">
      <alignment horizontal="center" vertical="center"/>
    </xf>
    <xf numFmtId="0" fontId="14" fillId="0" borderId="113" xfId="263" applyFont="1" applyBorder="1" applyAlignment="1">
      <alignment horizontal="left" vertical="center" indent="1"/>
    </xf>
    <xf numFmtId="0" fontId="14" fillId="0" borderId="88" xfId="263" applyFont="1" applyBorder="1" applyAlignment="1">
      <alignment horizontal="center" vertical="center"/>
    </xf>
    <xf numFmtId="197" fontId="14" fillId="0" borderId="88" xfId="129" applyNumberFormat="1" applyFont="1" applyFill="1" applyBorder="1" applyAlignment="1">
      <alignment horizontal="center" vertical="center"/>
    </xf>
    <xf numFmtId="197" fontId="14" fillId="0" borderId="110" xfId="129" applyNumberFormat="1" applyFont="1" applyFill="1" applyBorder="1" applyAlignment="1">
      <alignment horizontal="center" vertical="center"/>
    </xf>
    <xf numFmtId="0" fontId="14" fillId="0" borderId="108" xfId="263" applyFont="1" applyBorder="1" applyAlignment="1">
      <alignment vertical="center"/>
    </xf>
    <xf numFmtId="0" fontId="14" fillId="0" borderId="109" xfId="263" applyFont="1" applyBorder="1" applyAlignment="1">
      <alignment vertical="center"/>
    </xf>
    <xf numFmtId="0" fontId="14" fillId="0" borderId="113" xfId="263" applyFont="1" applyBorder="1" applyAlignment="1">
      <alignment vertical="center"/>
    </xf>
    <xf numFmtId="0" fontId="36" fillId="0" borderId="88" xfId="263" applyFont="1" applyBorder="1" applyAlignment="1">
      <alignment horizontal="center" vertical="center"/>
    </xf>
    <xf numFmtId="164" fontId="36" fillId="0" borderId="88" xfId="129" applyFont="1" applyFill="1" applyBorder="1" applyAlignment="1">
      <alignment horizontal="center" vertical="center"/>
    </xf>
    <xf numFmtId="164" fontId="54" fillId="0" borderId="88" xfId="129" applyFont="1" applyFill="1" applyBorder="1" applyAlignment="1">
      <alignment vertical="center"/>
    </xf>
    <xf numFmtId="197" fontId="36" fillId="0" borderId="88" xfId="129" applyNumberFormat="1" applyFont="1" applyFill="1" applyBorder="1" applyAlignment="1">
      <alignment vertical="center"/>
    </xf>
    <xf numFmtId="197" fontId="36" fillId="0" borderId="110" xfId="129" applyNumberFormat="1" applyFont="1" applyFill="1" applyBorder="1" applyAlignment="1">
      <alignment vertical="center"/>
    </xf>
    <xf numFmtId="0" fontId="14" fillId="0" borderId="108" xfId="263" applyFont="1" applyBorder="1" applyAlignment="1">
      <alignment horizontal="center" vertical="center"/>
    </xf>
    <xf numFmtId="165" fontId="36" fillId="0" borderId="108" xfId="263" applyNumberFormat="1" applyFont="1" applyBorder="1" applyAlignment="1">
      <alignment horizontal="center" vertical="center"/>
    </xf>
    <xf numFmtId="165" fontId="36" fillId="0" borderId="112" xfId="263" applyNumberFormat="1" applyFont="1" applyBorder="1" applyAlignment="1">
      <alignment vertical="center"/>
    </xf>
    <xf numFmtId="0" fontId="36" fillId="0" borderId="113" xfId="263" applyFont="1" applyBorder="1" applyAlignment="1">
      <alignment vertical="center"/>
    </xf>
    <xf numFmtId="164" fontId="36" fillId="0" borderId="88" xfId="263" applyNumberFormat="1" applyFont="1" applyBorder="1" applyAlignment="1">
      <alignment horizontal="center" vertical="center"/>
    </xf>
    <xf numFmtId="165" fontId="36" fillId="0" borderId="108" xfId="263" applyNumberFormat="1" applyFont="1" applyBorder="1" applyAlignment="1">
      <alignment horizontal="center" vertical="center" wrapText="1"/>
    </xf>
    <xf numFmtId="165" fontId="36" fillId="0" borderId="109" xfId="263" applyNumberFormat="1" applyFont="1" applyBorder="1" applyAlignment="1">
      <alignment vertical="center"/>
    </xf>
    <xf numFmtId="0" fontId="36" fillId="0" borderId="113" xfId="263" applyFont="1" applyBorder="1" applyAlignment="1">
      <alignment vertical="center" wrapText="1"/>
    </xf>
    <xf numFmtId="197" fontId="36" fillId="0" borderId="109" xfId="129" applyNumberFormat="1" applyFont="1" applyFill="1" applyBorder="1" applyAlignment="1">
      <alignment vertical="center"/>
    </xf>
    <xf numFmtId="164" fontId="6" fillId="0" borderId="174" xfId="1" applyFont="1" applyFill="1" applyBorder="1" applyAlignment="1">
      <alignment horizontal="center" vertical="center" wrapText="1"/>
    </xf>
    <xf numFmtId="10" fontId="6" fillId="0" borderId="88" xfId="2" applyNumberFormat="1" applyFont="1" applyBorder="1" applyAlignment="1">
      <alignment horizontal="center" vertical="center" wrapText="1"/>
    </xf>
    <xf numFmtId="10" fontId="60" fillId="0" borderId="109" xfId="2" applyNumberFormat="1" applyFont="1" applyBorder="1" applyAlignment="1">
      <alignment horizontal="center" vertical="center"/>
    </xf>
    <xf numFmtId="164" fontId="6" fillId="0" borderId="174" xfId="1" applyFont="1" applyBorder="1" applyAlignment="1">
      <alignment horizontal="center" vertical="center" wrapText="1"/>
    </xf>
    <xf numFmtId="10" fontId="6" fillId="0" borderId="124" xfId="2" applyNumberFormat="1" applyFont="1" applyBorder="1" applyAlignment="1">
      <alignment horizontal="center" vertical="center" wrapText="1"/>
    </xf>
    <xf numFmtId="164" fontId="6" fillId="0" borderId="113" xfId="1" applyFont="1" applyBorder="1" applyAlignment="1">
      <alignment vertical="top" wrapText="1"/>
    </xf>
    <xf numFmtId="10" fontId="6" fillId="0" borderId="88" xfId="2" applyNumberFormat="1" applyFont="1" applyBorder="1" applyAlignment="1">
      <alignment vertical="top" wrapText="1"/>
    </xf>
    <xf numFmtId="10" fontId="6" fillId="0" borderId="124" xfId="2" applyNumberFormat="1" applyFont="1" applyBorder="1" applyAlignment="1">
      <alignment vertical="top" wrapText="1"/>
    </xf>
    <xf numFmtId="10" fontId="60" fillId="0" borderId="124" xfId="2" applyNumberFormat="1" applyFont="1" applyBorder="1" applyAlignment="1">
      <alignment horizontal="center" vertical="center"/>
    </xf>
    <xf numFmtId="164" fontId="6" fillId="0" borderId="174" xfId="1" applyFont="1" applyBorder="1" applyAlignment="1">
      <alignment vertical="top" wrapText="1"/>
    </xf>
    <xf numFmtId="165" fontId="36" fillId="11" borderId="108" xfId="263" applyNumberFormat="1" applyFont="1" applyFill="1" applyBorder="1" applyAlignment="1">
      <alignment horizontal="center" vertical="center" wrapText="1"/>
    </xf>
    <xf numFmtId="165" fontId="36" fillId="11" borderId="109" xfId="263" applyNumberFormat="1" applyFont="1" applyFill="1" applyBorder="1" applyAlignment="1">
      <alignment vertical="center"/>
    </xf>
    <xf numFmtId="0" fontId="36" fillId="11" borderId="113" xfId="263" applyFont="1" applyFill="1" applyBorder="1" applyAlignment="1">
      <alignment vertical="center" wrapText="1"/>
    </xf>
    <xf numFmtId="0" fontId="36" fillId="11" borderId="88" xfId="263" applyFont="1" applyFill="1" applyBorder="1" applyAlignment="1">
      <alignment horizontal="center" vertical="center"/>
    </xf>
    <xf numFmtId="164" fontId="36" fillId="11" borderId="88" xfId="263" applyNumberFormat="1" applyFont="1" applyFill="1" applyBorder="1" applyAlignment="1">
      <alignment horizontal="center" vertical="center"/>
    </xf>
    <xf numFmtId="197" fontId="36" fillId="11" borderId="88" xfId="129" applyNumberFormat="1" applyFont="1" applyFill="1" applyBorder="1" applyAlignment="1">
      <alignment vertical="center"/>
    </xf>
    <xf numFmtId="164" fontId="36" fillId="0" borderId="26" xfId="129" applyFont="1" applyFill="1" applyBorder="1" applyAlignment="1">
      <alignment horizontal="center" vertical="center"/>
    </xf>
    <xf numFmtId="164" fontId="54" fillId="0" borderId="26" xfId="129" applyFont="1" applyFill="1" applyBorder="1" applyAlignment="1">
      <alignment vertical="center"/>
    </xf>
    <xf numFmtId="197" fontId="36" fillId="0" borderId="26" xfId="129" applyNumberFormat="1" applyFont="1" applyFill="1" applyBorder="1" applyAlignment="1">
      <alignment vertical="center"/>
    </xf>
    <xf numFmtId="197" fontId="14" fillId="0" borderId="137" xfId="263" applyNumberFormat="1" applyFont="1" applyBorder="1" applyAlignment="1">
      <alignment vertical="center"/>
    </xf>
    <xf numFmtId="10" fontId="14" fillId="0" borderId="26" xfId="2" applyNumberFormat="1" applyFont="1" applyBorder="1" applyAlignment="1">
      <alignment vertical="center"/>
    </xf>
    <xf numFmtId="0" fontId="36" fillId="0" borderId="118" xfId="263" applyFont="1" applyBorder="1" applyAlignment="1">
      <alignment vertical="center"/>
    </xf>
    <xf numFmtId="0" fontId="36" fillId="0" borderId="26" xfId="263" applyFont="1" applyBorder="1" applyAlignment="1">
      <alignment vertical="center"/>
    </xf>
    <xf numFmtId="10" fontId="36" fillId="0" borderId="137" xfId="284" applyNumberFormat="1" applyFont="1" applyBorder="1"/>
    <xf numFmtId="0" fontId="36" fillId="0" borderId="137" xfId="263" applyFont="1" applyBorder="1" applyAlignment="1">
      <alignment vertical="center"/>
    </xf>
    <xf numFmtId="0" fontId="36" fillId="0" borderId="104" xfId="263" applyFont="1" applyBorder="1" applyAlignment="1">
      <alignment vertical="center"/>
    </xf>
    <xf numFmtId="0" fontId="14" fillId="0" borderId="108" xfId="263" applyFont="1" applyBorder="1" applyAlignment="1">
      <alignment horizontal="center"/>
    </xf>
    <xf numFmtId="0" fontId="14" fillId="0" borderId="109" xfId="263" applyFont="1" applyBorder="1" applyAlignment="1">
      <alignment horizontal="left" indent="1"/>
    </xf>
    <xf numFmtId="0" fontId="14" fillId="0" borderId="113" xfId="263" applyFont="1" applyBorder="1" applyAlignment="1">
      <alignment horizontal="left" indent="1"/>
    </xf>
    <xf numFmtId="0" fontId="36" fillId="0" borderId="88" xfId="263" applyFont="1" applyBorder="1"/>
    <xf numFmtId="197" fontId="36" fillId="0" borderId="88" xfId="109" applyNumberFormat="1" applyFont="1" applyFill="1" applyBorder="1" applyAlignment="1">
      <alignment horizontal="center" vertical="center"/>
    </xf>
    <xf numFmtId="197" fontId="54" fillId="0" borderId="88" xfId="109" applyNumberFormat="1" applyFont="1" applyFill="1" applyBorder="1"/>
    <xf numFmtId="197" fontId="36" fillId="0" borderId="113" xfId="109" applyNumberFormat="1" applyFont="1" applyFill="1" applyBorder="1"/>
    <xf numFmtId="0" fontId="36" fillId="0" borderId="112" xfId="263" applyFont="1" applyBorder="1"/>
    <xf numFmtId="0" fontId="36" fillId="0" borderId="109" xfId="263" applyFont="1" applyBorder="1"/>
    <xf numFmtId="0" fontId="36" fillId="0" borderId="154" xfId="263" applyFont="1" applyBorder="1"/>
    <xf numFmtId="0" fontId="36" fillId="2" borderId="0" xfId="263" applyFont="1" applyFill="1"/>
    <xf numFmtId="0" fontId="36" fillId="0" borderId="113" xfId="262" applyFont="1" applyBorder="1" applyAlignment="1">
      <alignment horizontal="left" vertical="center"/>
    </xf>
    <xf numFmtId="197" fontId="36" fillId="0" borderId="113" xfId="109" applyNumberFormat="1" applyFont="1" applyFill="1" applyBorder="1" applyAlignment="1">
      <alignment horizontal="center" vertical="center"/>
    </xf>
    <xf numFmtId="197" fontId="54" fillId="0" borderId="113" xfId="109" applyNumberFormat="1" applyFont="1" applyFill="1" applyBorder="1"/>
    <xf numFmtId="0" fontId="64" fillId="0" borderId="113" xfId="262" applyFont="1" applyBorder="1" applyAlignment="1">
      <alignment horizontal="left" vertical="center" wrapText="1"/>
    </xf>
    <xf numFmtId="164" fontId="36" fillId="0" borderId="113" xfId="109" applyFont="1" applyFill="1" applyBorder="1"/>
    <xf numFmtId="165" fontId="36" fillId="0" borderId="108" xfId="263" applyNumberFormat="1" applyFont="1" applyBorder="1" applyAlignment="1">
      <alignment vertical="center"/>
    </xf>
    <xf numFmtId="0" fontId="36" fillId="0" borderId="113" xfId="263" applyFont="1" applyBorder="1" applyAlignment="1">
      <alignment horizontal="left" vertical="center" indent="1"/>
    </xf>
    <xf numFmtId="164" fontId="36" fillId="0" borderId="113" xfId="263" applyNumberFormat="1" applyFont="1" applyBorder="1" applyAlignment="1">
      <alignment horizontal="center" vertical="center"/>
    </xf>
    <xf numFmtId="164" fontId="54" fillId="0" borderId="113" xfId="263" applyNumberFormat="1" applyFont="1" applyBorder="1" applyAlignment="1">
      <alignment vertical="center"/>
    </xf>
    <xf numFmtId="197" fontId="36" fillId="0" borderId="113" xfId="129" applyNumberFormat="1" applyFont="1" applyFill="1" applyBorder="1" applyAlignment="1">
      <alignment vertical="center"/>
    </xf>
    <xf numFmtId="197" fontId="36" fillId="0" borderId="112" xfId="129" applyNumberFormat="1" applyFont="1" applyFill="1" applyBorder="1" applyAlignment="1">
      <alignment vertical="center"/>
    </xf>
    <xf numFmtId="0" fontId="36" fillId="0" borderId="88" xfId="263" applyFont="1" applyBorder="1" applyAlignment="1">
      <alignment horizontal="center"/>
    </xf>
    <xf numFmtId="197" fontId="36" fillId="0" borderId="88" xfId="109" applyNumberFormat="1" applyFont="1" applyFill="1" applyBorder="1"/>
    <xf numFmtId="0" fontId="36" fillId="0" borderId="88" xfId="284" applyFont="1" applyBorder="1" applyAlignment="1">
      <alignment horizontal="center"/>
    </xf>
    <xf numFmtId="164" fontId="36" fillId="0" borderId="88" xfId="109" applyFont="1" applyFill="1" applyBorder="1" applyAlignment="1">
      <alignment horizontal="center" vertical="center"/>
    </xf>
    <xf numFmtId="165" fontId="36" fillId="0" borderId="114" xfId="263" applyNumberFormat="1" applyFont="1" applyBorder="1" applyAlignment="1">
      <alignment vertical="center"/>
    </xf>
    <xf numFmtId="165" fontId="36" fillId="0" borderId="122" xfId="263" applyNumberFormat="1" applyFont="1" applyBorder="1" applyAlignment="1">
      <alignment vertical="center"/>
    </xf>
    <xf numFmtId="0" fontId="36" fillId="0" borderId="73" xfId="263" applyFont="1" applyBorder="1" applyAlignment="1">
      <alignment horizontal="left" vertical="center" indent="1"/>
    </xf>
    <xf numFmtId="0" fontId="36" fillId="0" borderId="75" xfId="311" applyFont="1" applyBorder="1" applyAlignment="1">
      <alignment horizontal="center" vertical="center"/>
    </xf>
    <xf numFmtId="164" fontId="36" fillId="0" borderId="75" xfId="109" applyFont="1" applyFill="1" applyBorder="1" applyAlignment="1">
      <alignment horizontal="center" vertical="center"/>
    </xf>
    <xf numFmtId="197" fontId="36" fillId="0" borderId="75" xfId="109" applyNumberFormat="1" applyFont="1" applyFill="1" applyBorder="1"/>
    <xf numFmtId="197" fontId="36" fillId="0" borderId="115" xfId="109" applyNumberFormat="1" applyFont="1" applyFill="1" applyBorder="1"/>
    <xf numFmtId="10" fontId="36" fillId="0" borderId="75" xfId="2" applyNumberFormat="1" applyFont="1" applyFill="1" applyBorder="1" applyAlignment="1">
      <alignment vertical="center"/>
    </xf>
    <xf numFmtId="0" fontId="36" fillId="0" borderId="115" xfId="263" applyFont="1" applyBorder="1" applyAlignment="1">
      <alignment vertical="center"/>
    </xf>
    <xf numFmtId="0" fontId="36" fillId="0" borderId="155" xfId="263" applyFont="1" applyBorder="1" applyAlignment="1">
      <alignment vertical="center"/>
    </xf>
    <xf numFmtId="0" fontId="14" fillId="0" borderId="118" xfId="263" applyFont="1" applyBorder="1" applyAlignment="1">
      <alignment vertical="center"/>
    </xf>
    <xf numFmtId="164" fontId="36" fillId="0" borderId="26" xfId="109" applyFont="1" applyFill="1" applyBorder="1" applyAlignment="1">
      <alignment horizontal="center" vertical="center"/>
    </xf>
    <xf numFmtId="164" fontId="54" fillId="0" borderId="26" xfId="109" applyFont="1" applyFill="1" applyBorder="1"/>
    <xf numFmtId="197" fontId="36" fillId="0" borderId="26" xfId="109" applyNumberFormat="1" applyFont="1" applyFill="1" applyBorder="1"/>
    <xf numFmtId="197" fontId="14" fillId="0" borderId="137" xfId="109" applyNumberFormat="1" applyFont="1" applyFill="1" applyBorder="1" applyAlignment="1">
      <alignment vertical="center"/>
    </xf>
    <xf numFmtId="10" fontId="14" fillId="0" borderId="26" xfId="2" applyNumberFormat="1" applyFont="1" applyFill="1" applyBorder="1" applyAlignment="1">
      <alignment vertical="center"/>
    </xf>
    <xf numFmtId="0" fontId="14" fillId="0" borderId="144" xfId="263" applyFont="1" applyBorder="1" applyAlignment="1">
      <alignment horizontal="center" vertical="center"/>
    </xf>
    <xf numFmtId="0" fontId="14" fillId="0" borderId="106" xfId="263" applyFont="1" applyBorder="1" applyAlignment="1">
      <alignment horizontal="center" vertical="center"/>
    </xf>
    <xf numFmtId="0" fontId="14" fillId="0" borderId="119" xfId="263" applyFont="1" applyBorder="1" applyAlignment="1">
      <alignment horizontal="center" vertical="center"/>
    </xf>
    <xf numFmtId="0" fontId="14" fillId="0" borderId="119" xfId="263" applyFont="1" applyBorder="1" applyAlignment="1">
      <alignment vertical="center"/>
    </xf>
    <xf numFmtId="164" fontId="36" fillId="0" borderId="87" xfId="109" applyFont="1" applyFill="1" applyBorder="1" applyAlignment="1">
      <alignment horizontal="center" vertical="center"/>
    </xf>
    <xf numFmtId="164" fontId="54" fillId="0" borderId="87" xfId="109" applyFont="1" applyFill="1" applyBorder="1"/>
    <xf numFmtId="197" fontId="36" fillId="0" borderId="119" xfId="109" applyNumberFormat="1" applyFont="1" applyFill="1" applyBorder="1"/>
    <xf numFmtId="197" fontId="14" fillId="0" borderId="125" xfId="109" applyNumberFormat="1" applyFont="1" applyFill="1" applyBorder="1" applyAlignment="1">
      <alignment vertical="center"/>
    </xf>
    <xf numFmtId="10" fontId="36" fillId="0" borderId="87" xfId="2" applyNumberFormat="1" applyFont="1" applyFill="1" applyBorder="1" applyAlignment="1">
      <alignment vertical="center"/>
    </xf>
    <xf numFmtId="0" fontId="36" fillId="0" borderId="106" xfId="263" applyFont="1" applyBorder="1" applyAlignment="1">
      <alignment vertical="center"/>
    </xf>
    <xf numFmtId="0" fontId="36" fillId="0" borderId="153" xfId="263" applyFont="1" applyBorder="1" applyAlignment="1">
      <alignment vertical="center"/>
    </xf>
    <xf numFmtId="0" fontId="36" fillId="0" borderId="88" xfId="262" applyFont="1" applyBorder="1" applyAlignment="1">
      <alignment horizontal="center" vertical="center"/>
    </xf>
    <xf numFmtId="196" fontId="36" fillId="0" borderId="88" xfId="90" applyNumberFormat="1" applyFont="1" applyFill="1" applyBorder="1" applyAlignment="1">
      <alignment horizontal="center" vertical="center"/>
    </xf>
    <xf numFmtId="164" fontId="54" fillId="0" borderId="88" xfId="262" applyNumberFormat="1" applyFont="1" applyBorder="1" applyAlignment="1">
      <alignment vertical="top"/>
    </xf>
    <xf numFmtId="197" fontId="36" fillId="0" borderId="109" xfId="309" applyNumberFormat="1" applyFont="1" applyBorder="1" applyAlignment="1">
      <alignment horizontal="right" vertical="center"/>
    </xf>
    <xf numFmtId="197" fontId="36" fillId="0" borderId="109" xfId="309" applyNumberFormat="1" applyFont="1" applyBorder="1" applyAlignment="1">
      <alignment horizontal="right" vertical="top"/>
    </xf>
    <xf numFmtId="0" fontId="54" fillId="0" borderId="0" xfId="263" applyFont="1" applyAlignment="1">
      <alignment vertical="center"/>
    </xf>
    <xf numFmtId="165" fontId="54" fillId="7" borderId="108" xfId="263" applyNumberFormat="1" applyFont="1" applyFill="1" applyBorder="1" applyAlignment="1">
      <alignment vertical="center"/>
    </xf>
    <xf numFmtId="165" fontId="54" fillId="7" borderId="109" xfId="263" applyNumberFormat="1" applyFont="1" applyFill="1" applyBorder="1" applyAlignment="1">
      <alignment vertical="center"/>
    </xf>
    <xf numFmtId="0" fontId="67" fillId="7" borderId="112" xfId="309" applyFont="1" applyFill="1" applyBorder="1" applyAlignment="1">
      <alignment vertical="center"/>
    </xf>
    <xf numFmtId="0" fontId="54" fillId="7" borderId="88" xfId="309" applyFont="1" applyFill="1" applyBorder="1" applyAlignment="1">
      <alignment horizontal="center" vertical="center"/>
    </xf>
    <xf numFmtId="196" fontId="54" fillId="7" borderId="88" xfId="90" applyNumberFormat="1" applyFont="1" applyFill="1" applyBorder="1" applyAlignment="1">
      <alignment horizontal="center" vertical="center"/>
    </xf>
    <xf numFmtId="164" fontId="54" fillId="7" borderId="88" xfId="262" applyNumberFormat="1" applyFont="1" applyFill="1" applyBorder="1" applyAlignment="1">
      <alignment vertical="top"/>
    </xf>
    <xf numFmtId="197" fontId="54" fillId="7" borderId="113" xfId="90" applyNumberFormat="1" applyFont="1" applyFill="1" applyBorder="1" applyAlignment="1">
      <alignment horizontal="right" vertical="top"/>
    </xf>
    <xf numFmtId="197" fontId="54" fillId="7" borderId="109" xfId="129" applyNumberFormat="1" applyFont="1" applyFill="1" applyBorder="1" applyAlignment="1">
      <alignment horizontal="right" vertical="center"/>
    </xf>
    <xf numFmtId="0" fontId="54" fillId="0" borderId="109" xfId="263" applyFont="1" applyBorder="1" applyAlignment="1">
      <alignment vertical="center"/>
    </xf>
    <xf numFmtId="0" fontId="54" fillId="0" borderId="154" xfId="263" applyFont="1" applyBorder="1" applyAlignment="1">
      <alignment vertical="center"/>
    </xf>
    <xf numFmtId="196" fontId="36" fillId="0" borderId="112" xfId="90" applyNumberFormat="1" applyFont="1" applyFill="1" applyBorder="1" applyAlignment="1">
      <alignment horizontal="center" vertical="center"/>
    </xf>
    <xf numFmtId="164" fontId="54" fillId="0" borderId="88" xfId="262" applyNumberFormat="1" applyFont="1" applyBorder="1" applyAlignment="1">
      <alignment vertical="center"/>
    </xf>
    <xf numFmtId="0" fontId="68" fillId="0" borderId="122" xfId="0" applyFont="1" applyBorder="1" applyAlignment="1">
      <alignment horizontal="left" vertical="center" indent="1"/>
    </xf>
    <xf numFmtId="197" fontId="36" fillId="0" borderId="115" xfId="129" applyNumberFormat="1" applyFont="1" applyFill="1" applyBorder="1" applyAlignment="1">
      <alignment vertical="center"/>
    </xf>
    <xf numFmtId="0" fontId="36" fillId="0" borderId="177" xfId="284" applyFont="1" applyBorder="1"/>
    <xf numFmtId="0" fontId="36" fillId="0" borderId="26" xfId="284" applyFont="1" applyBorder="1"/>
    <xf numFmtId="0" fontId="36" fillId="0" borderId="118" xfId="284" applyFont="1" applyBorder="1"/>
    <xf numFmtId="165" fontId="36" fillId="0" borderId="105" xfId="0" applyNumberFormat="1" applyFont="1" applyBorder="1" applyAlignment="1">
      <alignment horizontal="center" vertical="center"/>
    </xf>
    <xf numFmtId="0" fontId="36" fillId="0" borderId="125" xfId="0" applyFont="1" applyBorder="1" applyAlignment="1">
      <alignment vertical="center"/>
    </xf>
    <xf numFmtId="196" fontId="14" fillId="0" borderId="87" xfId="90" applyNumberFormat="1" applyFont="1" applyFill="1" applyBorder="1" applyAlignment="1">
      <alignment horizontal="center" vertical="center"/>
    </xf>
    <xf numFmtId="196" fontId="64" fillId="0" borderId="87" xfId="90" applyNumberFormat="1" applyFont="1" applyFill="1" applyBorder="1" applyAlignment="1">
      <alignment horizontal="center" vertical="center"/>
    </xf>
    <xf numFmtId="197" fontId="64" fillId="0" borderId="87" xfId="90" applyNumberFormat="1" applyFont="1" applyFill="1" applyBorder="1" applyAlignment="1">
      <alignment vertical="center"/>
    </xf>
    <xf numFmtId="197" fontId="14" fillId="0" borderId="106" xfId="0" applyNumberFormat="1" applyFont="1" applyBorder="1" applyAlignment="1">
      <alignment vertical="center"/>
    </xf>
    <xf numFmtId="0" fontId="36" fillId="0" borderId="106" xfId="297" applyFont="1" applyBorder="1"/>
    <xf numFmtId="0" fontId="36" fillId="0" borderId="153" xfId="297" applyFont="1" applyBorder="1"/>
    <xf numFmtId="0" fontId="36" fillId="2" borderId="0" xfId="297" applyFont="1" applyFill="1"/>
    <xf numFmtId="0" fontId="14" fillId="0" borderId="108" xfId="284" applyFont="1" applyBorder="1" applyAlignment="1">
      <alignment horizontal="center"/>
    </xf>
    <xf numFmtId="0" fontId="14" fillId="0" borderId="109" xfId="284" applyFont="1" applyBorder="1"/>
    <xf numFmtId="0" fontId="14" fillId="0" borderId="112" xfId="284" applyFont="1" applyBorder="1"/>
    <xf numFmtId="197" fontId="36" fillId="0" borderId="109" xfId="109" applyNumberFormat="1" applyFont="1" applyFill="1" applyBorder="1"/>
    <xf numFmtId="0" fontId="36" fillId="0" borderId="108" xfId="284" applyFont="1" applyBorder="1" applyAlignment="1">
      <alignment horizontal="center" vertical="center"/>
    </xf>
    <xf numFmtId="0" fontId="36" fillId="0" borderId="88" xfId="284" applyFont="1" applyBorder="1" applyAlignment="1">
      <alignment horizontal="center" vertical="center"/>
    </xf>
    <xf numFmtId="197" fontId="36" fillId="0" borderId="109" xfId="129" applyNumberFormat="1" applyFont="1" applyFill="1" applyBorder="1" applyAlignment="1">
      <alignment horizontal="right" vertical="center"/>
    </xf>
    <xf numFmtId="0" fontId="36" fillId="0" borderId="108" xfId="284" applyFont="1" applyBorder="1" applyAlignment="1">
      <alignment horizontal="center"/>
    </xf>
    <xf numFmtId="0" fontId="39" fillId="7" borderId="108" xfId="284" applyFont="1" applyFill="1" applyBorder="1" applyAlignment="1">
      <alignment horizontal="center"/>
    </xf>
    <xf numFmtId="0" fontId="39" fillId="7" borderId="112" xfId="284" applyFont="1" applyFill="1" applyBorder="1"/>
    <xf numFmtId="0" fontId="39" fillId="7" borderId="88" xfId="263" applyFont="1" applyFill="1" applyBorder="1" applyAlignment="1">
      <alignment horizontal="center" vertical="center"/>
    </xf>
    <xf numFmtId="164" fontId="39" fillId="7" borderId="88" xfId="109" applyFont="1" applyFill="1" applyBorder="1" applyAlignment="1">
      <alignment horizontal="center" vertical="center"/>
    </xf>
    <xf numFmtId="164" fontId="52" fillId="7" borderId="88" xfId="263" applyNumberFormat="1" applyFont="1" applyFill="1" applyBorder="1" applyAlignment="1">
      <alignment vertical="center"/>
    </xf>
    <xf numFmtId="197" fontId="39" fillId="7" borderId="88" xfId="109" applyNumberFormat="1" applyFont="1" applyFill="1" applyBorder="1"/>
    <xf numFmtId="0" fontId="36" fillId="0" borderId="109" xfId="284" applyFont="1" applyBorder="1"/>
    <xf numFmtId="0" fontId="36" fillId="0" borderId="154" xfId="284" applyFont="1" applyBorder="1"/>
    <xf numFmtId="0" fontId="36" fillId="2" borderId="0" xfId="284" applyFont="1" applyFill="1"/>
    <xf numFmtId="0" fontId="39" fillId="7" borderId="146" xfId="0" applyFont="1" applyFill="1" applyBorder="1" applyAlignment="1">
      <alignment horizontal="center" vertical="center"/>
    </xf>
    <xf numFmtId="0" fontId="39" fillId="7" borderId="111" xfId="0" applyFont="1" applyFill="1" applyBorder="1" applyAlignment="1">
      <alignment vertical="center"/>
    </xf>
    <xf numFmtId="0" fontId="39" fillId="7" borderId="112" xfId="0" applyFont="1" applyFill="1" applyBorder="1" applyAlignment="1">
      <alignment vertical="center"/>
    </xf>
    <xf numFmtId="0" fontId="39" fillId="7" borderId="88" xfId="0" applyFont="1" applyFill="1" applyBorder="1" applyAlignment="1">
      <alignment horizontal="center" vertical="center"/>
    </xf>
    <xf numFmtId="197" fontId="39" fillId="7" borderId="88" xfId="109" applyNumberFormat="1" applyFont="1" applyFill="1" applyBorder="1" applyAlignment="1">
      <alignment horizontal="right"/>
    </xf>
    <xf numFmtId="0" fontId="39" fillId="2" borderId="0" xfId="0" applyFont="1" applyFill="1" applyAlignment="1">
      <alignment vertical="center"/>
    </xf>
    <xf numFmtId="165" fontId="66" fillId="7" borderId="108" xfId="263" applyNumberFormat="1" applyFont="1" applyFill="1" applyBorder="1" applyAlignment="1">
      <alignment horizontal="center" vertical="center"/>
    </xf>
    <xf numFmtId="197" fontId="39" fillId="7" borderId="88" xfId="109" applyNumberFormat="1" applyFont="1" applyFill="1" applyBorder="1" applyAlignment="1" applyProtection="1">
      <alignment horizontal="right" vertical="center"/>
    </xf>
    <xf numFmtId="0" fontId="39" fillId="7" borderId="146" xfId="0" applyFont="1" applyFill="1" applyBorder="1" applyAlignment="1">
      <alignment horizontal="right" vertical="center"/>
    </xf>
    <xf numFmtId="0" fontId="1" fillId="7" borderId="112" xfId="0" applyFont="1" applyFill="1" applyBorder="1" applyAlignment="1">
      <alignment vertical="center"/>
    </xf>
    <xf numFmtId="0" fontId="36" fillId="0" borderId="114" xfId="284" applyFont="1" applyBorder="1" applyAlignment="1">
      <alignment horizontal="center" vertical="center"/>
    </xf>
    <xf numFmtId="0" fontId="14" fillId="0" borderId="122" xfId="284" applyFont="1" applyBorder="1"/>
    <xf numFmtId="0" fontId="36" fillId="0" borderId="122" xfId="0" applyFont="1" applyBorder="1" applyAlignment="1">
      <alignment vertical="center" wrapText="1"/>
    </xf>
    <xf numFmtId="0" fontId="36" fillId="0" borderId="75" xfId="284" applyFont="1" applyBorder="1" applyAlignment="1">
      <alignment horizontal="center" vertical="center"/>
    </xf>
    <xf numFmtId="197" fontId="36" fillId="0" borderId="115" xfId="129" applyNumberFormat="1" applyFont="1" applyFill="1" applyBorder="1" applyAlignment="1">
      <alignment horizontal="right" vertical="center"/>
    </xf>
    <xf numFmtId="0" fontId="36" fillId="0" borderId="115" xfId="263" applyFont="1" applyBorder="1"/>
    <xf numFmtId="0" fontId="36" fillId="0" borderId="155" xfId="263" applyFont="1" applyBorder="1"/>
    <xf numFmtId="0" fontId="36" fillId="0" borderId="26" xfId="284" applyFont="1" applyBorder="1" applyAlignment="1">
      <alignment horizontal="center"/>
    </xf>
    <xf numFmtId="197" fontId="14" fillId="0" borderId="137" xfId="109" applyNumberFormat="1" applyFont="1" applyFill="1" applyBorder="1"/>
    <xf numFmtId="197" fontId="36" fillId="0" borderId="118" xfId="284" applyNumberFormat="1" applyFont="1" applyBorder="1"/>
    <xf numFmtId="10" fontId="36" fillId="0" borderId="178" xfId="284" applyNumberFormat="1" applyFont="1" applyBorder="1"/>
    <xf numFmtId="0" fontId="36" fillId="0" borderId="137" xfId="284" applyFont="1" applyBorder="1"/>
    <xf numFmtId="0" fontId="36" fillId="0" borderId="104" xfId="284" applyFont="1" applyBorder="1"/>
    <xf numFmtId="197" fontId="36" fillId="0" borderId="0" xfId="263" applyNumberFormat="1" applyFont="1" applyAlignment="1">
      <alignment vertical="center"/>
    </xf>
    <xf numFmtId="0" fontId="36" fillId="0" borderId="0" xfId="283" applyFont="1" applyAlignment="1">
      <alignment horizontal="center"/>
    </xf>
    <xf numFmtId="0" fontId="14" fillId="0" borderId="0" xfId="283" applyFont="1" applyAlignment="1">
      <alignment horizontal="center" vertical="center"/>
    </xf>
    <xf numFmtId="0" fontId="14" fillId="0" borderId="0" xfId="283" applyFont="1" applyAlignment="1">
      <alignment vertical="center"/>
    </xf>
    <xf numFmtId="0" fontId="36" fillId="10" borderId="0" xfId="283" applyFont="1" applyFill="1" applyAlignment="1">
      <alignment vertical="center"/>
    </xf>
    <xf numFmtId="0" fontId="36" fillId="0" borderId="0" xfId="283" applyFont="1" applyAlignment="1">
      <alignment vertical="center"/>
    </xf>
    <xf numFmtId="0" fontId="36" fillId="0" borderId="0" xfId="283" applyFont="1" applyAlignment="1">
      <alignment horizontal="center" vertical="center"/>
    </xf>
    <xf numFmtId="0" fontId="36" fillId="0" borderId="1" xfId="283" applyFont="1" applyBorder="1" applyAlignment="1">
      <alignment horizontal="center" vertical="center"/>
    </xf>
    <xf numFmtId="196" fontId="36" fillId="0" borderId="0" xfId="90" applyNumberFormat="1" applyFont="1" applyFill="1" applyAlignment="1">
      <alignment horizontal="center" vertical="center"/>
    </xf>
    <xf numFmtId="196" fontId="54" fillId="0" borderId="0" xfId="90" applyNumberFormat="1" applyFont="1" applyFill="1" applyAlignment="1">
      <alignment vertical="center"/>
    </xf>
    <xf numFmtId="197" fontId="36" fillId="0" borderId="0" xfId="121" applyNumberFormat="1" applyFont="1" applyFill="1" applyAlignment="1">
      <alignment vertical="center"/>
    </xf>
    <xf numFmtId="197" fontId="36" fillId="0" borderId="0" xfId="121" applyNumberFormat="1" applyFont="1" applyFill="1" applyAlignment="1">
      <alignment horizontal="center" vertical="center"/>
    </xf>
    <xf numFmtId="208" fontId="36" fillId="0" borderId="0" xfId="283" applyNumberFormat="1" applyFont="1" applyAlignment="1">
      <alignment vertical="center"/>
    </xf>
    <xf numFmtId="199" fontId="36" fillId="0" borderId="0" xfId="283" applyNumberFormat="1" applyFont="1" applyAlignment="1">
      <alignment vertical="center"/>
    </xf>
    <xf numFmtId="208" fontId="60" fillId="0" borderId="0" xfId="142" applyNumberFormat="1" applyFont="1" applyFill="1" applyBorder="1" applyAlignment="1">
      <alignment horizontal="left"/>
    </xf>
    <xf numFmtId="199" fontId="60" fillId="0" borderId="0" xfId="142" applyNumberFormat="1" applyFont="1"/>
    <xf numFmtId="198" fontId="69" fillId="0" borderId="0" xfId="142" applyNumberFormat="1" applyFont="1" applyAlignment="1">
      <alignment vertical="center"/>
    </xf>
    <xf numFmtId="208" fontId="63" fillId="0" borderId="0" xfId="142" applyNumberFormat="1" applyFont="1" applyBorder="1" applyAlignment="1">
      <alignment horizontal="left"/>
    </xf>
    <xf numFmtId="0" fontId="36" fillId="0" borderId="18" xfId="283" applyFont="1" applyBorder="1" applyAlignment="1">
      <alignment horizontal="center"/>
    </xf>
    <xf numFmtId="4" fontId="36" fillId="0" borderId="18" xfId="283" applyNumberFormat="1" applyFont="1" applyBorder="1" applyAlignment="1">
      <alignment horizontal="center"/>
    </xf>
    <xf numFmtId="196" fontId="36" fillId="0" borderId="18" xfId="90" applyNumberFormat="1" applyFont="1" applyFill="1" applyBorder="1" applyAlignment="1">
      <alignment horizontal="center"/>
    </xf>
    <xf numFmtId="196" fontId="54" fillId="0" borderId="18" xfId="90" applyNumberFormat="1" applyFont="1" applyFill="1" applyBorder="1" applyAlignment="1">
      <alignment horizontal="center"/>
    </xf>
    <xf numFmtId="4" fontId="14" fillId="0" borderId="18" xfId="283" applyNumberFormat="1" applyFont="1" applyBorder="1" applyAlignment="1">
      <alignment horizontal="right"/>
    </xf>
    <xf numFmtId="4" fontId="14" fillId="0" borderId="0" xfId="283" applyNumberFormat="1" applyFont="1" applyAlignment="1">
      <alignment horizontal="center"/>
    </xf>
    <xf numFmtId="208" fontId="36" fillId="0" borderId="0" xfId="283" applyNumberFormat="1" applyFont="1" applyAlignment="1">
      <alignment horizontal="center"/>
    </xf>
    <xf numFmtId="199" fontId="36" fillId="0" borderId="0" xfId="283" applyNumberFormat="1" applyFont="1" applyAlignment="1">
      <alignment horizontal="center"/>
    </xf>
    <xf numFmtId="0" fontId="14" fillId="4" borderId="3" xfId="283" applyFont="1" applyFill="1" applyBorder="1" applyAlignment="1">
      <alignment horizontal="center" vertical="center"/>
    </xf>
    <xf numFmtId="197" fontId="14" fillId="4" borderId="62" xfId="121" applyNumberFormat="1" applyFont="1" applyFill="1" applyBorder="1" applyAlignment="1" applyProtection="1">
      <alignment horizontal="center" vertical="center"/>
    </xf>
    <xf numFmtId="0" fontId="14" fillId="4" borderId="1" xfId="283" applyFont="1" applyFill="1" applyBorder="1" applyAlignment="1">
      <alignment horizontal="center" vertical="center"/>
    </xf>
    <xf numFmtId="197" fontId="14" fillId="4" borderId="64" xfId="121" applyNumberFormat="1" applyFont="1" applyFill="1" applyBorder="1" applyAlignment="1">
      <alignment horizontal="center" vertical="center"/>
    </xf>
    <xf numFmtId="208" fontId="34" fillId="4" borderId="170" xfId="110" applyNumberFormat="1" applyFont="1" applyFill="1" applyBorder="1" applyAlignment="1">
      <alignment horizontal="center" vertical="center"/>
    </xf>
    <xf numFmtId="43" fontId="34" fillId="4" borderId="170" xfId="142" applyFont="1" applyFill="1" applyBorder="1" applyAlignment="1">
      <alignment horizontal="center" vertical="center"/>
    </xf>
    <xf numFmtId="0" fontId="36" fillId="0" borderId="186" xfId="283" applyFont="1" applyBorder="1" applyAlignment="1">
      <alignment horizontal="center" vertical="center"/>
    </xf>
    <xf numFmtId="0" fontId="36" fillId="0" borderId="180" xfId="283" applyFont="1" applyBorder="1" applyAlignment="1">
      <alignment vertical="center"/>
    </xf>
    <xf numFmtId="0" fontId="36" fillId="0" borderId="181" xfId="283" applyFont="1" applyBorder="1" applyAlignment="1">
      <alignment horizontal="justify" vertical="center" wrapText="1"/>
    </xf>
    <xf numFmtId="0" fontId="36" fillId="0" borderId="107" xfId="283" applyFont="1" applyBorder="1" applyAlignment="1">
      <alignment horizontal="center" vertical="center"/>
    </xf>
    <xf numFmtId="196" fontId="36" fillId="0" borderId="107" xfId="90" applyNumberFormat="1" applyFont="1" applyFill="1" applyBorder="1" applyAlignment="1" applyProtection="1">
      <alignment horizontal="center" vertical="center"/>
    </xf>
    <xf numFmtId="196" fontId="54" fillId="0" borderId="107" xfId="90" applyNumberFormat="1" applyFont="1" applyFill="1" applyBorder="1" applyAlignment="1" applyProtection="1">
      <alignment vertical="center"/>
    </xf>
    <xf numFmtId="197" fontId="36" fillId="0" borderId="107" xfId="121" applyNumberFormat="1" applyFont="1" applyFill="1" applyBorder="1" applyAlignment="1" applyProtection="1">
      <alignment vertical="center"/>
    </xf>
    <xf numFmtId="197" fontId="36" fillId="0" borderId="180" xfId="121" applyNumberFormat="1" applyFont="1" applyFill="1" applyBorder="1" applyAlignment="1" applyProtection="1">
      <alignment horizontal="center" vertical="center"/>
    </xf>
    <xf numFmtId="0" fontId="36" fillId="0" borderId="183" xfId="283" applyFont="1" applyBorder="1" applyAlignment="1">
      <alignment vertical="center"/>
    </xf>
    <xf numFmtId="0" fontId="36" fillId="0" borderId="107" xfId="283" applyFont="1" applyBorder="1" applyAlignment="1">
      <alignment vertical="center"/>
    </xf>
    <xf numFmtId="0" fontId="36" fillId="0" borderId="184" xfId="283" applyFont="1" applyBorder="1" applyAlignment="1">
      <alignment vertical="center"/>
    </xf>
    <xf numFmtId="208" fontId="36" fillId="0" borderId="183" xfId="283" applyNumberFormat="1" applyFont="1" applyBorder="1" applyAlignment="1">
      <alignment vertical="center"/>
    </xf>
    <xf numFmtId="199" fontId="36" fillId="0" borderId="184" xfId="283" applyNumberFormat="1" applyFont="1" applyBorder="1" applyAlignment="1">
      <alignment vertical="center"/>
    </xf>
    <xf numFmtId="0" fontId="36" fillId="0" borderId="162" xfId="283" applyFont="1" applyBorder="1" applyAlignment="1">
      <alignment vertical="center"/>
    </xf>
    <xf numFmtId="0" fontId="36" fillId="0" borderId="9" xfId="283" applyFont="1" applyBorder="1" applyAlignment="1">
      <alignment vertical="center"/>
    </xf>
    <xf numFmtId="0" fontId="36" fillId="0" borderId="146" xfId="283" applyFont="1" applyBorder="1" applyAlignment="1">
      <alignment horizontal="center" vertical="center"/>
    </xf>
    <xf numFmtId="0" fontId="36" fillId="0" borderId="109" xfId="283" applyFont="1" applyBorder="1" applyAlignment="1">
      <alignment vertical="center"/>
    </xf>
    <xf numFmtId="0" fontId="14" fillId="0" borderId="113" xfId="283" applyFont="1" applyBorder="1" applyAlignment="1">
      <alignment horizontal="center" vertical="center" wrapText="1"/>
    </xf>
    <xf numFmtId="0" fontId="36" fillId="0" borderId="88" xfId="283" applyFont="1" applyBorder="1" applyAlignment="1">
      <alignment horizontal="center" vertical="center"/>
    </xf>
    <xf numFmtId="196" fontId="36" fillId="0" borderId="88" xfId="90" applyNumberFormat="1" applyFont="1" applyFill="1" applyBorder="1" applyAlignment="1" applyProtection="1">
      <alignment horizontal="center" vertical="center"/>
    </xf>
    <xf numFmtId="197" fontId="36" fillId="0" borderId="88" xfId="121" applyNumberFormat="1" applyFont="1" applyFill="1" applyBorder="1" applyAlignment="1" applyProtection="1">
      <alignment vertical="center"/>
    </xf>
    <xf numFmtId="197" fontId="36" fillId="0" borderId="109" xfId="121" applyNumberFormat="1" applyFont="1" applyFill="1" applyBorder="1" applyAlignment="1" applyProtection="1">
      <alignment horizontal="center" vertical="center"/>
    </xf>
    <xf numFmtId="0" fontId="36" fillId="0" borderId="174" xfId="283" applyFont="1" applyBorder="1" applyAlignment="1">
      <alignment vertical="center"/>
    </xf>
    <xf numFmtId="0" fontId="36" fillId="0" borderId="88" xfId="283" applyFont="1" applyBorder="1" applyAlignment="1">
      <alignment vertical="center"/>
    </xf>
    <xf numFmtId="0" fontId="36" fillId="0" borderId="124" xfId="283" applyFont="1" applyBorder="1" applyAlignment="1">
      <alignment vertical="center"/>
    </xf>
    <xf numFmtId="2" fontId="36" fillId="0" borderId="174" xfId="283" applyNumberFormat="1" applyFont="1" applyBorder="1" applyAlignment="1">
      <alignment vertical="center"/>
    </xf>
    <xf numFmtId="43" fontId="36" fillId="0" borderId="124" xfId="283" applyNumberFormat="1" applyFont="1" applyBorder="1" applyAlignment="1">
      <alignment vertical="center"/>
    </xf>
    <xf numFmtId="0" fontId="36" fillId="0" borderId="154" xfId="283" applyFont="1" applyBorder="1" applyAlignment="1">
      <alignment vertical="center"/>
    </xf>
    <xf numFmtId="0" fontId="36" fillId="0" borderId="113" xfId="283" applyFont="1" applyBorder="1" applyAlignment="1">
      <alignment horizontal="center" vertical="center" wrapText="1"/>
    </xf>
    <xf numFmtId="0" fontId="14" fillId="0" borderId="146" xfId="283" applyFont="1" applyBorder="1" applyAlignment="1">
      <alignment horizontal="center" vertical="center"/>
    </xf>
    <xf numFmtId="0" fontId="14" fillId="0" borderId="109" xfId="283" applyFont="1" applyBorder="1" applyAlignment="1">
      <alignment vertical="center"/>
    </xf>
    <xf numFmtId="0" fontId="14" fillId="0" borderId="113" xfId="283" applyFont="1" applyBorder="1" applyAlignment="1">
      <alignment horizontal="left" vertical="center" wrapText="1"/>
    </xf>
    <xf numFmtId="0" fontId="14" fillId="0" borderId="88" xfId="283" applyFont="1" applyBorder="1" applyAlignment="1">
      <alignment horizontal="center" vertical="center"/>
    </xf>
    <xf numFmtId="196" fontId="14" fillId="0" borderId="88" xfId="90" applyNumberFormat="1" applyFont="1" applyFill="1" applyBorder="1" applyAlignment="1" applyProtection="1">
      <alignment horizontal="center" vertical="center"/>
    </xf>
    <xf numFmtId="196" fontId="64" fillId="0" borderId="88" xfId="90" applyNumberFormat="1" applyFont="1" applyFill="1" applyBorder="1" applyAlignment="1" applyProtection="1">
      <alignment vertical="center"/>
    </xf>
    <xf numFmtId="197" fontId="14" fillId="0" borderId="88" xfId="121" applyNumberFormat="1" applyFont="1" applyFill="1" applyBorder="1" applyAlignment="1" applyProtection="1">
      <alignment vertical="center"/>
    </xf>
    <xf numFmtId="10" fontId="36" fillId="0" borderId="115" xfId="2" applyNumberFormat="1" applyFont="1" applyFill="1" applyBorder="1" applyAlignment="1">
      <alignment horizontal="center" vertical="center"/>
    </xf>
    <xf numFmtId="0" fontId="14" fillId="0" borderId="113" xfId="283" applyFont="1" applyBorder="1" applyAlignment="1">
      <alignment vertical="center"/>
    </xf>
    <xf numFmtId="0" fontId="36" fillId="0" borderId="108" xfId="283" applyFont="1" applyBorder="1" applyAlignment="1">
      <alignment horizontal="center" vertical="center"/>
    </xf>
    <xf numFmtId="0" fontId="36" fillId="0" borderId="112" xfId="283" applyFont="1" applyBorder="1" applyAlignment="1">
      <alignment vertical="center"/>
    </xf>
    <xf numFmtId="0" fontId="36" fillId="0" borderId="113" xfId="283" applyFont="1" applyBorder="1" applyAlignment="1">
      <alignment horizontal="right" vertical="center"/>
    </xf>
    <xf numFmtId="0" fontId="14" fillId="0" borderId="174" xfId="283" applyFont="1" applyBorder="1" applyAlignment="1">
      <alignment vertical="center"/>
    </xf>
    <xf numFmtId="0" fontId="14" fillId="0" borderId="88" xfId="283" applyFont="1" applyBorder="1" applyAlignment="1">
      <alignment vertical="center"/>
    </xf>
    <xf numFmtId="0" fontId="14" fillId="0" borderId="124" xfId="283" applyFont="1" applyBorder="1" applyAlignment="1">
      <alignment vertical="center"/>
    </xf>
    <xf numFmtId="2" fontId="14" fillId="0" borderId="174" xfId="283" applyNumberFormat="1" applyFont="1" applyBorder="1" applyAlignment="1">
      <alignment vertical="center"/>
    </xf>
    <xf numFmtId="43" fontId="14" fillId="0" borderId="124" xfId="283" applyNumberFormat="1" applyFont="1" applyBorder="1" applyAlignment="1">
      <alignment vertical="center"/>
    </xf>
    <xf numFmtId="0" fontId="14" fillId="0" borderId="154" xfId="283" applyFont="1" applyBorder="1" applyAlignment="1">
      <alignment vertical="center"/>
    </xf>
    <xf numFmtId="0" fontId="14" fillId="0" borderId="9" xfId="283" applyFont="1" applyBorder="1" applyAlignment="1">
      <alignment vertical="center"/>
    </xf>
    <xf numFmtId="201" fontId="36" fillId="0" borderId="187" xfId="2" applyNumberFormat="1" applyFont="1" applyBorder="1" applyAlignment="1">
      <alignment vertical="center"/>
    </xf>
    <xf numFmtId="10" fontId="1" fillId="0" borderId="88" xfId="2" applyNumberFormat="1" applyFont="1" applyBorder="1" applyAlignment="1">
      <alignment vertical="center"/>
    </xf>
    <xf numFmtId="43" fontId="1" fillId="0" borderId="154" xfId="0" applyNumberFormat="1" applyFont="1" applyBorder="1" applyAlignment="1">
      <alignment vertical="center"/>
    </xf>
    <xf numFmtId="0" fontId="36" fillId="0" borderId="109" xfId="317" applyFont="1" applyBorder="1" applyAlignment="1">
      <alignment vertical="center"/>
    </xf>
    <xf numFmtId="10" fontId="36" fillId="0" borderId="154" xfId="283" applyNumberFormat="1" applyFont="1" applyBorder="1" applyAlignment="1">
      <alignment vertical="center"/>
    </xf>
    <xf numFmtId="4" fontId="36" fillId="0" borderId="9" xfId="1" applyNumberFormat="1" applyFont="1" applyBorder="1" applyAlignment="1">
      <alignment vertical="center"/>
    </xf>
    <xf numFmtId="10" fontId="36" fillId="0" borderId="109" xfId="2" applyNumberFormat="1" applyFont="1" applyFill="1" applyBorder="1" applyAlignment="1">
      <alignment horizontal="center" vertical="center"/>
    </xf>
    <xf numFmtId="207" fontId="6" fillId="0" borderId="174" xfId="142" applyNumberFormat="1" applyFont="1" applyFill="1" applyBorder="1" applyAlignment="1">
      <alignment horizontal="center" vertical="center" wrapText="1"/>
    </xf>
    <xf numFmtId="10" fontId="1" fillId="0" borderId="88" xfId="2" applyNumberFormat="1" applyFont="1" applyBorder="1" applyAlignment="1">
      <alignment horizontal="center" vertical="center"/>
    </xf>
    <xf numFmtId="209" fontId="36" fillId="0" borderId="9" xfId="1" applyNumberFormat="1" applyFont="1" applyBorder="1" applyAlignment="1">
      <alignment vertical="center"/>
    </xf>
    <xf numFmtId="0" fontId="36" fillId="0" borderId="113" xfId="0" applyFont="1" applyBorder="1" applyAlignment="1">
      <alignment horizontal="left" vertical="top" wrapText="1" indent="1"/>
    </xf>
    <xf numFmtId="0" fontId="36" fillId="0" borderId="109" xfId="317" applyFont="1" applyBorder="1" applyAlignment="1">
      <alignment vertical="top"/>
    </xf>
    <xf numFmtId="0" fontId="36" fillId="0" borderId="88" xfId="283" applyFont="1" applyBorder="1" applyAlignment="1">
      <alignment horizontal="center" vertical="top"/>
    </xf>
    <xf numFmtId="196" fontId="36" fillId="0" borderId="88" xfId="90" applyNumberFormat="1" applyFont="1" applyFill="1" applyBorder="1" applyAlignment="1" applyProtection="1">
      <alignment horizontal="center" vertical="top"/>
    </xf>
    <xf numFmtId="196" fontId="54" fillId="12" borderId="88" xfId="90" applyNumberFormat="1" applyFont="1" applyFill="1" applyBorder="1" applyAlignment="1" applyProtection="1">
      <alignment vertical="top"/>
    </xf>
    <xf numFmtId="197" fontId="36" fillId="12" borderId="88" xfId="121" applyNumberFormat="1" applyFont="1" applyFill="1" applyBorder="1" applyAlignment="1" applyProtection="1">
      <alignment vertical="top"/>
    </xf>
    <xf numFmtId="0" fontId="36" fillId="0" borderId="188" xfId="283" applyFont="1" applyBorder="1" applyAlignment="1">
      <alignment horizontal="center" vertical="center"/>
    </xf>
    <xf numFmtId="0" fontId="36" fillId="0" borderId="150" xfId="283" applyFont="1" applyBorder="1" applyAlignment="1">
      <alignment vertical="center"/>
    </xf>
    <xf numFmtId="0" fontId="36" fillId="0" borderId="189" xfId="283" applyFont="1" applyBorder="1" applyAlignment="1">
      <alignment vertical="center"/>
    </xf>
    <xf numFmtId="0" fontId="36" fillId="0" borderId="116" xfId="283" applyFont="1" applyBorder="1" applyAlignment="1">
      <alignment horizontal="center" vertical="center"/>
    </xf>
    <xf numFmtId="196" fontId="36" fillId="0" borderId="116" xfId="90" applyNumberFormat="1" applyFont="1" applyFill="1" applyBorder="1" applyAlignment="1" applyProtection="1">
      <alignment horizontal="center" vertical="center"/>
    </xf>
    <xf numFmtId="196" fontId="54" fillId="0" borderId="116" xfId="90" applyNumberFormat="1" applyFont="1" applyFill="1" applyBorder="1" applyAlignment="1" applyProtection="1">
      <alignment vertical="center"/>
    </xf>
    <xf numFmtId="197" fontId="36" fillId="0" borderId="116" xfId="121" applyNumberFormat="1" applyFont="1" applyFill="1" applyBorder="1" applyAlignment="1" applyProtection="1">
      <alignment vertical="center"/>
    </xf>
    <xf numFmtId="197" fontId="36" fillId="0" borderId="150" xfId="121" applyNumberFormat="1" applyFont="1" applyFill="1" applyBorder="1" applyAlignment="1" applyProtection="1">
      <alignment horizontal="center" vertical="center"/>
    </xf>
    <xf numFmtId="0" fontId="36" fillId="0" borderId="190" xfId="283" applyFont="1" applyBorder="1" applyAlignment="1">
      <alignment vertical="center"/>
    </xf>
    <xf numFmtId="10" fontId="36" fillId="0" borderId="116" xfId="2" applyNumberFormat="1" applyFont="1" applyBorder="1" applyAlignment="1">
      <alignment vertical="center"/>
    </xf>
    <xf numFmtId="10" fontId="36" fillId="0" borderId="191" xfId="2" applyNumberFormat="1" applyFont="1" applyBorder="1" applyAlignment="1">
      <alignment vertical="center"/>
    </xf>
    <xf numFmtId="2" fontId="36" fillId="0" borderId="190" xfId="283" applyNumberFormat="1" applyFont="1" applyBorder="1" applyAlignment="1">
      <alignment vertical="center"/>
    </xf>
    <xf numFmtId="0" fontId="36" fillId="0" borderId="116" xfId="283" applyFont="1" applyBorder="1" applyAlignment="1">
      <alignment vertical="center"/>
    </xf>
    <xf numFmtId="0" fontId="36" fillId="0" borderId="171" xfId="283" applyFont="1" applyBorder="1" applyAlignment="1">
      <alignment vertical="center"/>
    </xf>
    <xf numFmtId="0" fontId="14" fillId="0" borderId="24" xfId="283" applyFont="1" applyBorder="1" applyAlignment="1">
      <alignment horizontal="center" vertical="center"/>
    </xf>
    <xf numFmtId="0" fontId="14" fillId="0" borderId="25" xfId="283" applyFont="1" applyBorder="1" applyAlignment="1">
      <alignment vertical="center"/>
    </xf>
    <xf numFmtId="0" fontId="14" fillId="0" borderId="118" xfId="283" applyFont="1" applyBorder="1" applyAlignment="1">
      <alignment horizontal="center" vertical="center"/>
    </xf>
    <xf numFmtId="0" fontId="14" fillId="0" borderId="26" xfId="283" applyFont="1" applyBorder="1" applyAlignment="1">
      <alignment horizontal="center" vertical="center"/>
    </xf>
    <xf numFmtId="196" fontId="14" fillId="0" borderId="26" xfId="90" applyNumberFormat="1" applyFont="1" applyFill="1" applyBorder="1" applyAlignment="1" applyProtection="1">
      <alignment horizontal="center" vertical="center"/>
    </xf>
    <xf numFmtId="197" fontId="14" fillId="0" borderId="26" xfId="121" applyNumberFormat="1" applyFont="1" applyFill="1" applyBorder="1" applyAlignment="1" applyProtection="1">
      <alignment vertical="center"/>
    </xf>
    <xf numFmtId="10" fontId="36" fillId="0" borderId="150" xfId="2" applyNumberFormat="1" applyFont="1" applyFill="1" applyBorder="1" applyAlignment="1">
      <alignment horizontal="center" vertical="center"/>
    </xf>
    <xf numFmtId="0" fontId="14" fillId="0" borderId="177" xfId="283" applyFont="1" applyBorder="1" applyAlignment="1">
      <alignment vertical="center"/>
    </xf>
    <xf numFmtId="10" fontId="14" fillId="0" borderId="26" xfId="2" applyNumberFormat="1" applyFont="1" applyBorder="1" applyAlignment="1">
      <alignment horizontal="center" vertical="center"/>
    </xf>
    <xf numFmtId="10" fontId="14" fillId="0" borderId="178" xfId="2" applyNumberFormat="1" applyFont="1" applyBorder="1" applyAlignment="1">
      <alignment horizontal="center" vertical="center"/>
    </xf>
    <xf numFmtId="2" fontId="14" fillId="0" borderId="177" xfId="283" applyNumberFormat="1" applyFont="1" applyBorder="1" applyAlignment="1">
      <alignment vertical="center"/>
    </xf>
    <xf numFmtId="10" fontId="14" fillId="0" borderId="177" xfId="283" applyNumberFormat="1" applyFont="1" applyBorder="1" applyAlignment="1">
      <alignment vertical="center"/>
    </xf>
    <xf numFmtId="10" fontId="14" fillId="0" borderId="26" xfId="283" applyNumberFormat="1" applyFont="1" applyBorder="1" applyAlignment="1">
      <alignment vertical="center"/>
    </xf>
    <xf numFmtId="10" fontId="14" fillId="0" borderId="178" xfId="2" applyNumberFormat="1" applyFont="1" applyBorder="1" applyAlignment="1">
      <alignment vertical="center"/>
    </xf>
    <xf numFmtId="0" fontId="14" fillId="0" borderId="104" xfId="283" applyFont="1" applyBorder="1" applyAlignment="1">
      <alignment vertical="center"/>
    </xf>
    <xf numFmtId="0" fontId="36" fillId="0" borderId="61" xfId="283" applyFont="1" applyBorder="1" applyAlignment="1">
      <alignment vertical="center"/>
    </xf>
    <xf numFmtId="197" fontId="70" fillId="0" borderId="0" xfId="121" applyNumberFormat="1" applyFont="1" applyAlignment="1">
      <alignment horizontal="center"/>
    </xf>
    <xf numFmtId="197" fontId="71" fillId="0" borderId="0" xfId="121" applyNumberFormat="1" applyFont="1" applyAlignment="1">
      <alignment horizontal="center" vertical="center"/>
    </xf>
    <xf numFmtId="197" fontId="72" fillId="0" borderId="0" xfId="121" applyNumberFormat="1" applyFont="1" applyBorder="1" applyAlignment="1"/>
    <xf numFmtId="197" fontId="72" fillId="0" borderId="0" xfId="121" applyNumberFormat="1" applyFont="1" applyFill="1" applyAlignment="1"/>
    <xf numFmtId="197" fontId="72" fillId="0" borderId="0" xfId="121" applyNumberFormat="1" applyFont="1" applyAlignment="1"/>
    <xf numFmtId="197" fontId="1" fillId="0" borderId="0" xfId="121" applyNumberFormat="1" applyFont="1" applyFill="1" applyAlignment="1"/>
    <xf numFmtId="197" fontId="72" fillId="0" borderId="0" xfId="121" applyNumberFormat="1" applyFont="1" applyAlignment="1">
      <alignment horizontal="center" vertical="center"/>
    </xf>
    <xf numFmtId="197" fontId="2" fillId="0" borderId="0" xfId="121" applyNumberFormat="1" applyFont="1" applyFill="1" applyBorder="1" applyAlignment="1" applyProtection="1">
      <protection locked="0"/>
    </xf>
    <xf numFmtId="4" fontId="36" fillId="0" borderId="0" xfId="283" applyNumberFormat="1" applyFont="1" applyAlignment="1">
      <alignment horizontal="center"/>
    </xf>
    <xf numFmtId="196" fontId="36" fillId="0" borderId="0" xfId="90" applyNumberFormat="1" applyFont="1" applyFill="1" applyBorder="1" applyAlignment="1">
      <alignment horizontal="center"/>
    </xf>
    <xf numFmtId="196" fontId="54" fillId="0" borderId="0" xfId="90" applyNumberFormat="1" applyFont="1" applyFill="1" applyBorder="1" applyAlignment="1">
      <alignment horizontal="center"/>
    </xf>
    <xf numFmtId="4" fontId="14" fillId="0" borderId="0" xfId="283" applyNumberFormat="1" applyFont="1" applyAlignment="1">
      <alignment horizontal="right"/>
    </xf>
    <xf numFmtId="197" fontId="1" fillId="0" borderId="18" xfId="121" applyNumberFormat="1" applyFont="1" applyFill="1" applyBorder="1" applyAlignment="1">
      <alignment horizontal="center"/>
    </xf>
    <xf numFmtId="197" fontId="4" fillId="0" borderId="18" xfId="121" applyNumberFormat="1" applyFont="1" applyFill="1" applyBorder="1" applyAlignment="1">
      <alignment horizontal="right"/>
    </xf>
    <xf numFmtId="197" fontId="70" fillId="0" borderId="18" xfId="121" applyNumberFormat="1" applyFont="1" applyBorder="1" applyAlignment="1">
      <alignment horizontal="center" vertical="center"/>
    </xf>
    <xf numFmtId="197" fontId="70" fillId="0" borderId="18" xfId="121" applyNumberFormat="1" applyFont="1" applyBorder="1" applyAlignment="1">
      <alignment horizontal="center"/>
    </xf>
    <xf numFmtId="197" fontId="4" fillId="4" borderId="181" xfId="121" applyNumberFormat="1" applyFont="1" applyFill="1" applyBorder="1" applyAlignment="1" applyProtection="1">
      <alignment horizontal="center" vertical="center"/>
    </xf>
    <xf numFmtId="198" fontId="34" fillId="4" borderId="168" xfId="110" applyNumberFormat="1" applyFont="1" applyFill="1" applyBorder="1" applyAlignment="1">
      <alignment vertical="center"/>
    </xf>
    <xf numFmtId="197" fontId="4" fillId="4" borderId="189" xfId="121" applyNumberFormat="1" applyFont="1" applyFill="1" applyBorder="1" applyAlignment="1">
      <alignment horizontal="center" vertical="center"/>
    </xf>
    <xf numFmtId="9" fontId="34" fillId="4" borderId="64" xfId="2" applyFont="1" applyFill="1" applyBorder="1" applyAlignment="1">
      <alignment horizontal="center" vertical="center" wrapText="1"/>
    </xf>
    <xf numFmtId="198" fontId="34" fillId="4" borderId="198" xfId="110" applyNumberFormat="1" applyFont="1" applyFill="1" applyBorder="1" applyAlignment="1">
      <alignment horizontal="center" vertical="center"/>
    </xf>
    <xf numFmtId="9" fontId="34" fillId="4" borderId="170" xfId="2" applyFont="1" applyFill="1" applyBorder="1" applyAlignment="1">
      <alignment horizontal="center" vertical="center" wrapText="1"/>
    </xf>
    <xf numFmtId="197" fontId="1" fillId="0" borderId="160" xfId="121" applyNumberFormat="1" applyFont="1" applyFill="1" applyBorder="1" applyAlignment="1"/>
    <xf numFmtId="197" fontId="1" fillId="0" borderId="130" xfId="121" applyNumberFormat="1" applyFont="1" applyFill="1" applyBorder="1" applyAlignment="1"/>
    <xf numFmtId="197" fontId="1" fillId="0" borderId="139" xfId="121" applyNumberFormat="1" applyFont="1" applyFill="1" applyBorder="1" applyAlignment="1"/>
    <xf numFmtId="197" fontId="1" fillId="0" borderId="62" xfId="121" applyNumberFormat="1" applyFont="1" applyFill="1" applyBorder="1" applyAlignment="1" applyProtection="1"/>
    <xf numFmtId="197" fontId="70" fillId="0" borderId="62" xfId="121" applyNumberFormat="1" applyFont="1" applyBorder="1" applyAlignment="1">
      <alignment horizontal="center" vertical="center"/>
    </xf>
    <xf numFmtId="197" fontId="70" fillId="0" borderId="62" xfId="121" applyNumberFormat="1" applyFont="1" applyBorder="1" applyAlignment="1"/>
    <xf numFmtId="197" fontId="70" fillId="0" borderId="130" xfId="121" applyNumberFormat="1" applyFont="1" applyBorder="1" applyAlignment="1"/>
    <xf numFmtId="197" fontId="70" fillId="0" borderId="168" xfId="121" applyNumberFormat="1" applyFont="1" applyBorder="1" applyAlignment="1"/>
    <xf numFmtId="197" fontId="70" fillId="0" borderId="167" xfId="121" applyNumberFormat="1" applyFont="1" applyBorder="1" applyAlignment="1"/>
    <xf numFmtId="197" fontId="70" fillId="0" borderId="95" xfId="121" applyNumberFormat="1" applyFont="1" applyBorder="1" applyAlignment="1"/>
    <xf numFmtId="197" fontId="70" fillId="0" borderId="151" xfId="121" applyNumberFormat="1" applyFont="1" applyBorder="1" applyAlignment="1"/>
    <xf numFmtId="197" fontId="4" fillId="0" borderId="199" xfId="121" applyNumberFormat="1" applyFont="1" applyFill="1" applyBorder="1" applyAlignment="1">
      <alignment horizontal="center"/>
    </xf>
    <xf numFmtId="197" fontId="4" fillId="0" borderId="58" xfId="121" applyNumberFormat="1" applyFont="1" applyFill="1" applyBorder="1" applyAlignment="1"/>
    <xf numFmtId="197" fontId="4" fillId="0" borderId="60" xfId="121" applyNumberFormat="1" applyFont="1" applyFill="1" applyBorder="1" applyAlignment="1"/>
    <xf numFmtId="197" fontId="4" fillId="0" borderId="57" xfId="121" applyNumberFormat="1" applyFont="1" applyFill="1" applyBorder="1" applyAlignment="1" applyProtection="1"/>
    <xf numFmtId="10" fontId="4" fillId="0" borderId="57" xfId="2" applyNumberFormat="1" applyFont="1" applyBorder="1" applyAlignment="1">
      <alignment horizontal="center" vertical="center"/>
    </xf>
    <xf numFmtId="197" fontId="70" fillId="0" borderId="57" xfId="121" applyNumberFormat="1" applyFont="1" applyBorder="1" applyAlignment="1"/>
    <xf numFmtId="10" fontId="70" fillId="0" borderId="57" xfId="2" applyNumberFormat="1" applyFont="1" applyBorder="1" applyAlignment="1"/>
    <xf numFmtId="10" fontId="70" fillId="0" borderId="58" xfId="2" applyNumberFormat="1" applyFont="1" applyBorder="1" applyAlignment="1"/>
    <xf numFmtId="197" fontId="70" fillId="0" borderId="200" xfId="121" applyNumberFormat="1" applyFont="1" applyBorder="1" applyAlignment="1"/>
    <xf numFmtId="10" fontId="70" fillId="0" borderId="201" xfId="121" applyNumberFormat="1" applyFont="1" applyBorder="1" applyAlignment="1"/>
    <xf numFmtId="10" fontId="70" fillId="0" borderId="202" xfId="121" applyNumberFormat="1" applyFont="1" applyBorder="1" applyAlignment="1"/>
    <xf numFmtId="197" fontId="70" fillId="0" borderId="201" xfId="121" applyNumberFormat="1" applyFont="1" applyBorder="1" applyAlignment="1"/>
    <xf numFmtId="10" fontId="70" fillId="0" borderId="57" xfId="121" applyNumberFormat="1" applyFont="1" applyBorder="1" applyAlignment="1"/>
    <xf numFmtId="197" fontId="70" fillId="0" borderId="203" xfId="121" applyNumberFormat="1" applyFont="1" applyBorder="1" applyAlignment="1"/>
    <xf numFmtId="10" fontId="1" fillId="0" borderId="57" xfId="2" applyNumberFormat="1" applyFont="1" applyBorder="1" applyAlignment="1">
      <alignment horizontal="center" vertical="center"/>
    </xf>
    <xf numFmtId="197" fontId="70" fillId="0" borderId="202" xfId="121" applyNumberFormat="1" applyFont="1" applyBorder="1" applyAlignment="1"/>
    <xf numFmtId="197" fontId="1" fillId="0" borderId="58" xfId="121" applyNumberFormat="1" applyFont="1" applyFill="1" applyBorder="1" applyAlignment="1"/>
    <xf numFmtId="197" fontId="1" fillId="0" borderId="60" xfId="121" applyNumberFormat="1" applyFont="1" applyFill="1" applyBorder="1" applyAlignment="1">
      <alignment horizontal="left" indent="1"/>
    </xf>
    <xf numFmtId="197" fontId="1" fillId="0" borderId="57" xfId="121" applyNumberFormat="1" applyFont="1" applyFill="1" applyBorder="1" applyAlignment="1" applyProtection="1"/>
    <xf numFmtId="197" fontId="4" fillId="0" borderId="60" xfId="121" applyNumberFormat="1" applyFont="1" applyFill="1" applyBorder="1" applyAlignment="1">
      <alignment horizontal="left" indent="1"/>
    </xf>
    <xf numFmtId="197" fontId="4" fillId="0" borderId="57" xfId="121" applyNumberFormat="1" applyFont="1" applyFill="1" applyBorder="1" applyAlignment="1"/>
    <xf numFmtId="197" fontId="1" fillId="0" borderId="57" xfId="121" applyNumberFormat="1" applyFont="1" applyFill="1" applyBorder="1" applyAlignment="1"/>
    <xf numFmtId="197" fontId="70" fillId="0" borderId="57" xfId="121" applyNumberFormat="1" applyFont="1" applyFill="1" applyBorder="1" applyAlignment="1"/>
    <xf numFmtId="10" fontId="70" fillId="0" borderId="57" xfId="2" applyNumberFormat="1" applyFont="1" applyFill="1" applyBorder="1" applyAlignment="1"/>
    <xf numFmtId="10" fontId="70" fillId="0" borderId="58" xfId="2" applyNumberFormat="1" applyFont="1" applyFill="1" applyBorder="1" applyAlignment="1"/>
    <xf numFmtId="197" fontId="70" fillId="0" borderId="200" xfId="121" applyNumberFormat="1" applyFont="1" applyFill="1" applyBorder="1" applyAlignment="1"/>
    <xf numFmtId="197" fontId="70" fillId="0" borderId="201" xfId="121" applyNumberFormat="1" applyFont="1" applyFill="1" applyBorder="1" applyAlignment="1"/>
    <xf numFmtId="197" fontId="70" fillId="0" borderId="202" xfId="121" applyNumberFormat="1" applyFont="1" applyFill="1" applyBorder="1" applyAlignment="1"/>
    <xf numFmtId="197" fontId="70" fillId="0" borderId="203" xfId="121" applyNumberFormat="1" applyFont="1" applyFill="1" applyBorder="1" applyAlignment="1"/>
    <xf numFmtId="197" fontId="4" fillId="0" borderId="163" xfId="121" applyNumberFormat="1" applyFont="1" applyFill="1" applyBorder="1" applyAlignment="1">
      <alignment horizontal="center"/>
    </xf>
    <xf numFmtId="197" fontId="1" fillId="0" borderId="131" xfId="121" applyNumberFormat="1" applyFont="1" applyFill="1" applyBorder="1" applyAlignment="1"/>
    <xf numFmtId="197" fontId="1" fillId="0" borderId="142" xfId="121" applyNumberFormat="1" applyFont="1" applyFill="1" applyBorder="1" applyAlignment="1">
      <alignment horizontal="left" indent="1"/>
    </xf>
    <xf numFmtId="197" fontId="1" fillId="0" borderId="64" xfId="121" applyNumberFormat="1" applyFont="1" applyFill="1" applyBorder="1" applyAlignment="1"/>
    <xf numFmtId="197" fontId="4" fillId="0" borderId="64" xfId="121" applyNumberFormat="1" applyFont="1" applyFill="1" applyBorder="1" applyAlignment="1" applyProtection="1"/>
    <xf numFmtId="197" fontId="70" fillId="0" borderId="64" xfId="121" applyNumberFormat="1" applyFont="1" applyBorder="1" applyAlignment="1">
      <alignment horizontal="center" vertical="center"/>
    </xf>
    <xf numFmtId="197" fontId="70" fillId="0" borderId="64" xfId="121" applyNumberFormat="1" applyFont="1" applyFill="1" applyBorder="1" applyAlignment="1"/>
    <xf numFmtId="10" fontId="70" fillId="0" borderId="64" xfId="2" applyNumberFormat="1" applyFont="1" applyFill="1" applyBorder="1" applyAlignment="1"/>
    <xf numFmtId="10" fontId="70" fillId="0" borderId="131" xfId="2" applyNumberFormat="1" applyFont="1" applyFill="1" applyBorder="1" applyAlignment="1"/>
    <xf numFmtId="197" fontId="70" fillId="0" borderId="198" xfId="121" applyNumberFormat="1" applyFont="1" applyFill="1" applyBorder="1" applyAlignment="1"/>
    <xf numFmtId="197" fontId="70" fillId="0" borderId="170" xfId="121" applyNumberFormat="1" applyFont="1" applyFill="1" applyBorder="1" applyAlignment="1"/>
    <xf numFmtId="197" fontId="70" fillId="0" borderId="102" xfId="121" applyNumberFormat="1" applyFont="1" applyBorder="1" applyAlignment="1"/>
    <xf numFmtId="197" fontId="70" fillId="0" borderId="102" xfId="121" applyNumberFormat="1" applyFont="1" applyFill="1" applyBorder="1" applyAlignment="1"/>
    <xf numFmtId="197" fontId="70" fillId="0" borderId="152" xfId="121" applyNumberFormat="1" applyFont="1" applyFill="1" applyBorder="1" applyAlignment="1"/>
    <xf numFmtId="10" fontId="4" fillId="0" borderId="25" xfId="2" applyNumberFormat="1" applyFont="1" applyFill="1" applyBorder="1" applyAlignment="1" applyProtection="1">
      <alignment vertical="center"/>
    </xf>
    <xf numFmtId="9" fontId="4" fillId="0" borderId="24" xfId="2" applyFont="1" applyFill="1" applyBorder="1" applyAlignment="1" applyProtection="1">
      <alignment horizontal="center" vertical="center"/>
    </xf>
    <xf numFmtId="197" fontId="70" fillId="0" borderId="177" xfId="121" applyNumberFormat="1" applyFont="1" applyFill="1" applyBorder="1" applyAlignment="1"/>
    <xf numFmtId="10" fontId="71" fillId="0" borderId="137" xfId="2" applyNumberFormat="1" applyFont="1" applyFill="1" applyBorder="1" applyAlignment="1">
      <alignment horizontal="center" vertical="center"/>
    </xf>
    <xf numFmtId="10" fontId="71" fillId="0" borderId="204" xfId="2" applyNumberFormat="1" applyFont="1" applyFill="1" applyBorder="1" applyAlignment="1">
      <alignment horizontal="center" vertical="center"/>
    </xf>
    <xf numFmtId="10" fontId="71" fillId="0" borderId="177" xfId="2" applyNumberFormat="1" applyFont="1" applyFill="1" applyBorder="1" applyAlignment="1">
      <alignment horizontal="center" vertical="center"/>
    </xf>
    <xf numFmtId="10" fontId="71" fillId="0" borderId="178" xfId="2" applyNumberFormat="1" applyFont="1" applyFill="1" applyBorder="1" applyAlignment="1">
      <alignment horizontal="center" vertical="center"/>
    </xf>
    <xf numFmtId="197" fontId="70" fillId="0" borderId="104" xfId="121" applyNumberFormat="1" applyFont="1" applyFill="1" applyBorder="1" applyAlignment="1"/>
    <xf numFmtId="197" fontId="4" fillId="0" borderId="205" xfId="121" applyNumberFormat="1" applyFont="1" applyFill="1" applyBorder="1" applyAlignment="1">
      <alignment horizontal="center"/>
    </xf>
    <xf numFmtId="197" fontId="4" fillId="0" borderId="1" xfId="121" applyNumberFormat="1" applyFont="1" applyFill="1" applyBorder="1" applyAlignment="1"/>
    <xf numFmtId="197" fontId="4" fillId="0" borderId="40" xfId="121" applyNumberFormat="1" applyFont="1" applyFill="1" applyBorder="1" applyAlignment="1"/>
    <xf numFmtId="197" fontId="4" fillId="0" borderId="35" xfId="121" applyNumberFormat="1" applyFont="1" applyFill="1" applyBorder="1" applyAlignment="1"/>
    <xf numFmtId="197" fontId="4" fillId="0" borderId="36" xfId="121" applyNumberFormat="1" applyFont="1" applyFill="1" applyBorder="1" applyAlignment="1"/>
    <xf numFmtId="197" fontId="72" fillId="0" borderId="36" xfId="121" applyNumberFormat="1" applyFont="1" applyBorder="1" applyAlignment="1">
      <alignment horizontal="center" vertical="center"/>
    </xf>
    <xf numFmtId="197" fontId="1" fillId="0" borderId="206" xfId="121" applyNumberFormat="1" applyFont="1" applyFill="1" applyBorder="1" applyAlignment="1"/>
    <xf numFmtId="197" fontId="1" fillId="0" borderId="1" xfId="121" applyNumberFormat="1" applyFont="1" applyFill="1" applyBorder="1" applyAlignment="1"/>
    <xf numFmtId="197" fontId="4" fillId="0" borderId="40" xfId="121" applyNumberFormat="1" applyFont="1" applyFill="1" applyBorder="1" applyAlignment="1">
      <alignment horizontal="center"/>
    </xf>
    <xf numFmtId="197" fontId="4" fillId="0" borderId="35" xfId="121" applyNumberFormat="1" applyFont="1" applyFill="1" applyBorder="1" applyAlignment="1" applyProtection="1"/>
    <xf numFmtId="197" fontId="4" fillId="0" borderId="36" xfId="121" applyNumberFormat="1" applyFont="1" applyFill="1" applyBorder="1" applyAlignment="1" applyProtection="1"/>
    <xf numFmtId="9" fontId="4" fillId="0" borderId="35" xfId="338" applyFont="1" applyFill="1" applyBorder="1" applyAlignment="1" applyProtection="1">
      <alignment horizontal="center"/>
    </xf>
    <xf numFmtId="9" fontId="4" fillId="0" borderId="207" xfId="338" applyFont="1" applyFill="1" applyBorder="1" applyAlignment="1" applyProtection="1">
      <alignment horizontal="center"/>
    </xf>
    <xf numFmtId="197" fontId="4" fillId="0" borderId="208" xfId="121" applyNumberFormat="1" applyFont="1" applyFill="1" applyBorder="1" applyAlignment="1" applyProtection="1"/>
    <xf numFmtId="197" fontId="4" fillId="0" borderId="207" xfId="121" applyNumberFormat="1" applyFont="1" applyFill="1" applyBorder="1" applyAlignment="1" applyProtection="1"/>
    <xf numFmtId="197" fontId="4" fillId="0" borderId="209" xfId="121" applyNumberFormat="1" applyFont="1" applyFill="1" applyBorder="1" applyAlignment="1" applyProtection="1"/>
    <xf numFmtId="197" fontId="1" fillId="0" borderId="34" xfId="121" applyNumberFormat="1" applyFont="1" applyFill="1" applyBorder="1" applyAlignment="1"/>
    <xf numFmtId="197" fontId="1" fillId="0" borderId="0" xfId="121" applyNumberFormat="1" applyFont="1" applyFill="1" applyBorder="1" applyAlignment="1"/>
    <xf numFmtId="197" fontId="4" fillId="0" borderId="36" xfId="121" applyNumberFormat="1" applyFont="1" applyFill="1" applyBorder="1" applyAlignment="1" applyProtection="1">
      <alignment horizontal="center"/>
    </xf>
    <xf numFmtId="197" fontId="1" fillId="0" borderId="210" xfId="121" applyNumberFormat="1" applyFont="1" applyFill="1" applyBorder="1" applyAlignment="1"/>
    <xf numFmtId="197" fontId="1" fillId="0" borderId="211" xfId="121" applyNumberFormat="1" applyFont="1" applyFill="1" applyBorder="1" applyAlignment="1"/>
    <xf numFmtId="197" fontId="1" fillId="0" borderId="212" xfId="121" applyNumberFormat="1" applyFont="1" applyFill="1" applyBorder="1" applyAlignment="1"/>
    <xf numFmtId="197" fontId="1" fillId="0" borderId="213" xfId="121" applyNumberFormat="1" applyFont="1" applyFill="1" applyBorder="1" applyAlignment="1"/>
    <xf numFmtId="197" fontId="1" fillId="0" borderId="214" xfId="121" applyNumberFormat="1" applyFont="1" applyFill="1" applyBorder="1" applyAlignment="1"/>
    <xf numFmtId="0" fontId="73" fillId="0" borderId="0" xfId="0" applyFont="1"/>
    <xf numFmtId="0" fontId="74" fillId="0" borderId="0" xfId="0" applyFont="1" applyAlignment="1">
      <alignment horizontal="right"/>
    </xf>
    <xf numFmtId="199" fontId="73" fillId="0" borderId="0" xfId="142" applyNumberFormat="1" applyFont="1" applyBorder="1"/>
    <xf numFmtId="199" fontId="73" fillId="0" borderId="0" xfId="0" applyNumberFormat="1" applyFont="1"/>
    <xf numFmtId="199" fontId="73" fillId="0" borderId="0" xfId="142" applyNumberFormat="1" applyFont="1"/>
    <xf numFmtId="199" fontId="73" fillId="0" borderId="0" xfId="0" applyNumberFormat="1" applyFont="1" applyAlignment="1">
      <alignment horizontal="right"/>
    </xf>
    <xf numFmtId="0" fontId="73" fillId="0" borderId="0" xfId="0" applyFont="1" applyAlignment="1">
      <alignment vertical="center"/>
    </xf>
    <xf numFmtId="199" fontId="73" fillId="0" borderId="0" xfId="0" applyNumberFormat="1" applyFont="1" applyAlignment="1">
      <alignment vertical="center"/>
    </xf>
    <xf numFmtId="199" fontId="73" fillId="0" borderId="0" xfId="0" applyNumberFormat="1" applyFont="1" applyAlignment="1">
      <alignment horizontal="right" vertical="center"/>
    </xf>
    <xf numFmtId="0" fontId="74" fillId="0" borderId="0" xfId="0" applyFont="1" applyAlignment="1">
      <alignment vertical="center"/>
    </xf>
    <xf numFmtId="199" fontId="74" fillId="0" borderId="0" xfId="0" applyNumberFormat="1" applyFont="1" applyAlignment="1">
      <alignment horizontal="left" vertical="center"/>
    </xf>
    <xf numFmtId="199" fontId="74" fillId="0" borderId="0" xfId="0" applyNumberFormat="1" applyFont="1" applyAlignment="1">
      <alignment horizontal="center" vertical="center"/>
    </xf>
    <xf numFmtId="199" fontId="74" fillId="0" borderId="0" xfId="0" applyNumberFormat="1" applyFont="1" applyAlignment="1">
      <alignment vertical="center"/>
    </xf>
    <xf numFmtId="199" fontId="74" fillId="0" borderId="0" xfId="0" applyNumberFormat="1" applyFont="1" applyAlignment="1">
      <alignment horizontal="right" vertical="center"/>
    </xf>
    <xf numFmtId="0" fontId="73" fillId="0" borderId="0" xfId="0" applyFont="1" applyAlignment="1">
      <alignment horizontal="left" vertical="center"/>
    </xf>
    <xf numFmtId="199" fontId="73" fillId="0" borderId="0" xfId="0" applyNumberFormat="1" applyFont="1" applyAlignment="1">
      <alignment horizontal="left" vertical="center"/>
    </xf>
    <xf numFmtId="199" fontId="73" fillId="0" borderId="0" xfId="142" applyNumberFormat="1" applyFont="1" applyAlignment="1">
      <alignment horizontal="left" vertical="center"/>
    </xf>
    <xf numFmtId="0" fontId="75" fillId="0" borderId="0" xfId="0" applyFont="1" applyAlignment="1">
      <alignment vertical="center"/>
    </xf>
    <xf numFmtId="199" fontId="75" fillId="0" borderId="0" xfId="0" applyNumberFormat="1" applyFont="1" applyAlignment="1">
      <alignment horizontal="left" vertical="center"/>
    </xf>
    <xf numFmtId="199" fontId="75" fillId="0" borderId="0" xfId="0" applyNumberFormat="1" applyFont="1" applyAlignment="1">
      <alignment vertical="center"/>
    </xf>
    <xf numFmtId="199" fontId="75" fillId="0" borderId="0" xfId="0" applyNumberFormat="1" applyFont="1" applyAlignment="1">
      <alignment horizontal="right" vertical="center"/>
    </xf>
    <xf numFmtId="0" fontId="141" fillId="0" borderId="0" xfId="300"/>
    <xf numFmtId="0" fontId="141" fillId="0" borderId="215" xfId="300" applyBorder="1"/>
    <xf numFmtId="0" fontId="141" fillId="0" borderId="216" xfId="300" applyBorder="1"/>
    <xf numFmtId="0" fontId="76" fillId="0" borderId="216" xfId="0" applyFont="1" applyBorder="1" applyAlignment="1">
      <alignment horizontal="center" vertical="center"/>
    </xf>
    <xf numFmtId="0" fontId="74" fillId="0" borderId="216" xfId="0" applyFont="1" applyBorder="1" applyAlignment="1">
      <alignment horizontal="center"/>
    </xf>
    <xf numFmtId="0" fontId="77" fillId="0" borderId="216" xfId="300" applyFont="1" applyBorder="1" applyAlignment="1">
      <alignment horizontal="center" vertical="center" wrapText="1"/>
    </xf>
    <xf numFmtId="0" fontId="78" fillId="0" borderId="216" xfId="300" applyFont="1" applyBorder="1" applyAlignment="1">
      <alignment horizontal="center"/>
    </xf>
    <xf numFmtId="0" fontId="0" fillId="0" borderId="216" xfId="0" applyBorder="1"/>
    <xf numFmtId="0" fontId="79" fillId="0" borderId="216" xfId="300" applyFont="1" applyBorder="1" applyAlignment="1">
      <alignment horizontal="center"/>
    </xf>
    <xf numFmtId="0" fontId="141" fillId="0" borderId="217" xfId="300" applyBorder="1"/>
    <xf numFmtId="0" fontId="36" fillId="0" borderId="113" xfId="263" quotePrefix="1" applyFont="1" applyBorder="1" applyAlignment="1">
      <alignment horizontal="left" indent="2"/>
    </xf>
    <xf numFmtId="0" fontId="36" fillId="0" borderId="113" xfId="263" quotePrefix="1" applyFont="1" applyBorder="1" applyAlignment="1">
      <alignment horizontal="left" vertical="center" indent="1"/>
    </xf>
    <xf numFmtId="0" fontId="66" fillId="0" borderId="112" xfId="0" quotePrefix="1" applyFont="1" applyBorder="1" applyAlignment="1">
      <alignment horizontal="left" vertical="center" indent="1"/>
    </xf>
    <xf numFmtId="0" fontId="66" fillId="11" borderId="112" xfId="0" quotePrefix="1" applyFont="1" applyFill="1" applyBorder="1" applyAlignment="1">
      <alignment horizontal="left" vertical="center" wrapText="1" indent="1"/>
    </xf>
    <xf numFmtId="0" fontId="59" fillId="0" borderId="88" xfId="0" quotePrefix="1" applyFont="1" applyBorder="1" applyAlignment="1">
      <alignment vertical="center"/>
    </xf>
    <xf numFmtId="0" fontId="36" fillId="0" borderId="108" xfId="0" quotePrefix="1" applyFont="1" applyBorder="1" applyAlignment="1">
      <alignment horizontal="right" vertical="center"/>
    </xf>
    <xf numFmtId="0" fontId="36" fillId="0" borderId="88" xfId="0" quotePrefix="1" applyFont="1" applyBorder="1" applyAlignment="1">
      <alignment horizontal="left" vertical="center" indent="1"/>
    </xf>
    <xf numFmtId="0" fontId="36" fillId="0" borderId="88" xfId="0" quotePrefix="1" applyFont="1" applyBorder="1" applyAlignment="1">
      <alignment vertical="center"/>
    </xf>
    <xf numFmtId="0" fontId="36" fillId="0" borderId="88" xfId="0" quotePrefix="1" applyFont="1" applyBorder="1" applyAlignment="1">
      <alignment horizontal="left" vertical="center"/>
    </xf>
    <xf numFmtId="0" fontId="36" fillId="0" borderId="88" xfId="0" quotePrefix="1" applyFont="1" applyBorder="1" applyAlignment="1">
      <alignment horizontal="left" vertical="center" wrapText="1"/>
    </xf>
    <xf numFmtId="0" fontId="39" fillId="0" borderId="88" xfId="0" quotePrefix="1" applyFont="1" applyBorder="1" applyAlignment="1">
      <alignment horizontal="left" vertical="center" indent="1"/>
    </xf>
    <xf numFmtId="0" fontId="36" fillId="0" borderId="88" xfId="0" quotePrefix="1" applyFont="1" applyBorder="1" applyAlignment="1">
      <alignment horizontal="left" vertical="center" indent="2"/>
    </xf>
    <xf numFmtId="0" fontId="36" fillId="0" borderId="88" xfId="0" quotePrefix="1" applyFont="1" applyBorder="1" applyAlignment="1">
      <alignment horizontal="left" vertical="center" wrapText="1" indent="1"/>
    </xf>
    <xf numFmtId="0" fontId="36" fillId="7" borderId="88" xfId="0" quotePrefix="1" applyFont="1" applyFill="1" applyBorder="1" applyAlignment="1">
      <alignment horizontal="left" vertical="center" indent="1"/>
    </xf>
    <xf numFmtId="0" fontId="36" fillId="0" borderId="88" xfId="0" quotePrefix="1" applyFont="1" applyBorder="1" applyAlignment="1">
      <alignment horizontal="left" wrapText="1" indent="1"/>
    </xf>
    <xf numFmtId="0" fontId="36" fillId="0" borderId="112" xfId="0" quotePrefix="1" applyFont="1" applyBorder="1" applyAlignment="1">
      <alignment vertical="center"/>
    </xf>
    <xf numFmtId="0" fontId="36" fillId="0" borderId="113" xfId="0" quotePrefix="1" applyFont="1" applyBorder="1" applyAlignment="1">
      <alignment horizontal="left" wrapText="1" indent="1"/>
    </xf>
    <xf numFmtId="0" fontId="36" fillId="11" borderId="112" xfId="0" quotePrefix="1" applyFont="1" applyFill="1" applyBorder="1" applyAlignment="1">
      <alignment horizontal="left" wrapText="1" indent="1"/>
    </xf>
    <xf numFmtId="0" fontId="36" fillId="0" borderId="112" xfId="0" quotePrefix="1" applyFont="1" applyBorder="1" applyAlignment="1">
      <alignment horizontal="left" wrapText="1" indent="1"/>
    </xf>
    <xf numFmtId="0" fontId="36" fillId="0" borderId="112" xfId="0" quotePrefix="1" applyFont="1" applyBorder="1" applyAlignment="1">
      <alignment horizontal="left" vertical="center" wrapText="1" indent="1"/>
    </xf>
    <xf numFmtId="0" fontId="36" fillId="0" borderId="112" xfId="0" quotePrefix="1" applyFont="1" applyBorder="1" applyAlignment="1">
      <alignment horizontal="left" vertical="center" indent="1"/>
    </xf>
    <xf numFmtId="0" fontId="39" fillId="0" borderId="112" xfId="262" quotePrefix="1" applyFont="1" applyBorder="1" applyAlignment="1">
      <alignment horizontal="left" vertical="center" indent="2"/>
    </xf>
    <xf numFmtId="0" fontId="59" fillId="0" borderId="112" xfId="0" quotePrefix="1" applyFont="1" applyBorder="1" applyAlignment="1">
      <alignment vertical="center"/>
    </xf>
    <xf numFmtId="0" fontId="36" fillId="0" borderId="112" xfId="0" quotePrefix="1" applyFont="1" applyBorder="1" applyAlignment="1">
      <alignment horizontal="right" vertical="center"/>
    </xf>
    <xf numFmtId="0" fontId="36" fillId="0" borderId="112" xfId="0" quotePrefix="1" applyFont="1" applyBorder="1" applyAlignment="1">
      <alignment horizontal="left" vertical="center"/>
    </xf>
    <xf numFmtId="0" fontId="39" fillId="0" borderId="112" xfId="0" quotePrefix="1" applyFont="1" applyBorder="1" applyAlignment="1">
      <alignment horizontal="left" vertical="center" indent="1"/>
    </xf>
    <xf numFmtId="0" fontId="41" fillId="6" borderId="108" xfId="296" quotePrefix="1" applyFont="1" applyFill="1" applyBorder="1" applyAlignment="1">
      <alignment horizontal="right"/>
    </xf>
    <xf numFmtId="0" fontId="41" fillId="6" borderId="88" xfId="296" quotePrefix="1" applyFont="1" applyFill="1" applyBorder="1" applyAlignment="1">
      <alignment horizontal="right"/>
    </xf>
    <xf numFmtId="0" fontId="41" fillId="6" borderId="88" xfId="296" quotePrefix="1" applyFont="1" applyFill="1" applyBorder="1" applyAlignment="1">
      <alignment horizontal="center"/>
    </xf>
    <xf numFmtId="0" fontId="25" fillId="6" borderId="88" xfId="265" quotePrefix="1" applyFont="1" applyFill="1" applyBorder="1" applyAlignment="1">
      <alignment horizontal="center"/>
    </xf>
    <xf numFmtId="0" fontId="25" fillId="6" borderId="88" xfId="296" quotePrefix="1" applyFont="1" applyFill="1" applyBorder="1" applyAlignment="1">
      <alignment horizontal="right" vertical="top"/>
    </xf>
    <xf numFmtId="0" fontId="41" fillId="6" borderId="88" xfId="296" quotePrefix="1" applyFont="1" applyFill="1" applyBorder="1" applyAlignment="1">
      <alignment horizontal="right" vertical="top"/>
    </xf>
    <xf numFmtId="0" fontId="25" fillId="6" borderId="88" xfId="296" quotePrefix="1" applyFont="1" applyFill="1" applyBorder="1" applyAlignment="1">
      <alignment horizontal="right"/>
    </xf>
    <xf numFmtId="0" fontId="25" fillId="0" borderId="108" xfId="296" quotePrefix="1" applyFont="1" applyBorder="1" applyAlignment="1">
      <alignment horizontal="right"/>
    </xf>
    <xf numFmtId="0" fontId="41" fillId="6" borderId="108" xfId="296" quotePrefix="1" applyFont="1" applyFill="1" applyBorder="1" applyAlignment="1">
      <alignment horizontal="center"/>
    </xf>
    <xf numFmtId="0" fontId="25" fillId="6" borderId="108" xfId="296" quotePrefix="1" applyFont="1" applyFill="1" applyBorder="1" applyAlignment="1">
      <alignment horizontal="right"/>
    </xf>
    <xf numFmtId="0" fontId="25" fillId="6" borderId="108" xfId="296" quotePrefix="1" applyFont="1" applyFill="1" applyBorder="1" applyAlignment="1">
      <alignment horizontal="right" vertical="top"/>
    </xf>
    <xf numFmtId="0" fontId="25" fillId="6" borderId="108" xfId="296" quotePrefix="1" applyFont="1" applyFill="1" applyBorder="1" applyAlignment="1">
      <alignment horizontal="center" vertical="center"/>
    </xf>
    <xf numFmtId="0" fontId="27" fillId="0" borderId="68" xfId="319" quotePrefix="1" applyFont="1" applyBorder="1"/>
    <xf numFmtId="0" fontId="27" fillId="7" borderId="68" xfId="319" quotePrefix="1" applyFont="1" applyFill="1" applyBorder="1"/>
    <xf numFmtId="0" fontId="28" fillId="0" borderId="68" xfId="101" quotePrefix="1" applyNumberFormat="1" applyFont="1" applyFill="1" applyBorder="1" applyAlignment="1" applyProtection="1">
      <alignment horizontal="left"/>
    </xf>
    <xf numFmtId="0" fontId="30" fillId="0" borderId="68" xfId="101" quotePrefix="1" applyNumberFormat="1" applyFont="1" applyFill="1" applyBorder="1" applyAlignment="1" applyProtection="1">
      <alignment horizontal="left"/>
    </xf>
    <xf numFmtId="2" fontId="13" fillId="0" borderId="0" xfId="281" quotePrefix="1" applyNumberFormat="1" applyFont="1" applyAlignment="1">
      <alignment horizontal="left" vertical="center"/>
    </xf>
    <xf numFmtId="0" fontId="7" fillId="0" borderId="35" xfId="320" quotePrefix="1" applyFont="1" applyBorder="1"/>
    <xf numFmtId="0" fontId="6" fillId="0" borderId="0" xfId="0" quotePrefix="1" applyFont="1" applyAlignment="1">
      <alignment horizontal="left"/>
    </xf>
    <xf numFmtId="164" fontId="36" fillId="0" borderId="9" xfId="1" applyFont="1" applyBorder="1" applyAlignment="1">
      <alignment vertical="center"/>
    </xf>
    <xf numFmtId="0" fontId="16" fillId="0" borderId="24" xfId="283" applyFont="1" applyBorder="1" applyAlignment="1">
      <alignment horizontal="center" vertical="center"/>
    </xf>
    <xf numFmtId="0" fontId="16" fillId="0" borderId="25" xfId="283" applyFont="1" applyBorder="1" applyAlignment="1">
      <alignment horizontal="center" vertical="center"/>
    </xf>
    <xf numFmtId="197" fontId="4" fillId="4" borderId="21" xfId="121" applyNumberFormat="1" applyFont="1" applyFill="1" applyBorder="1" applyAlignment="1">
      <alignment horizontal="center" vertical="center"/>
    </xf>
    <xf numFmtId="197" fontId="4" fillId="4" borderId="50" xfId="121" applyNumberFormat="1" applyFont="1" applyFill="1" applyBorder="1" applyAlignment="1">
      <alignment horizontal="center" vertical="center"/>
    </xf>
    <xf numFmtId="197" fontId="4" fillId="4" borderId="3" xfId="121" applyNumberFormat="1" applyFont="1" applyFill="1" applyBorder="1" applyAlignment="1" applyProtection="1">
      <alignment horizontal="center" vertical="center"/>
    </xf>
    <xf numFmtId="197" fontId="4" fillId="4" borderId="55" xfId="121" applyNumberFormat="1" applyFont="1" applyFill="1" applyBorder="1" applyAlignment="1" applyProtection="1">
      <alignment horizontal="center" vertical="center"/>
    </xf>
    <xf numFmtId="197" fontId="4" fillId="4" borderId="194" xfId="121" applyNumberFormat="1" applyFont="1" applyFill="1" applyBorder="1" applyAlignment="1" applyProtection="1">
      <alignment horizontal="center" vertical="center"/>
    </xf>
    <xf numFmtId="197" fontId="4" fillId="4" borderId="197" xfId="121" applyNumberFormat="1" applyFont="1" applyFill="1" applyBorder="1" applyAlignment="1" applyProtection="1">
      <alignment horizontal="center" vertical="center"/>
    </xf>
    <xf numFmtId="179" fontId="34" fillId="4" borderId="41" xfId="110" applyFont="1" applyFill="1" applyBorder="1" applyAlignment="1">
      <alignment horizontal="center" vertical="center"/>
    </xf>
    <xf numFmtId="179" fontId="34" fillId="4" borderId="52" xfId="110" applyFont="1" applyFill="1" applyBorder="1" applyAlignment="1">
      <alignment horizontal="center" vertical="center"/>
    </xf>
    <xf numFmtId="197" fontId="4" fillId="4" borderId="192" xfId="121" applyNumberFormat="1" applyFont="1" applyFill="1" applyBorder="1" applyAlignment="1">
      <alignment horizontal="center" vertical="center"/>
    </xf>
    <xf numFmtId="197" fontId="4" fillId="4" borderId="193" xfId="121" applyNumberFormat="1" applyFont="1" applyFill="1" applyBorder="1" applyAlignment="1">
      <alignment horizontal="center" vertical="center"/>
    </xf>
    <xf numFmtId="197" fontId="4" fillId="4" borderId="195" xfId="121" applyNumberFormat="1" applyFont="1" applyFill="1" applyBorder="1" applyAlignment="1">
      <alignment horizontal="center" vertical="center"/>
    </xf>
    <xf numFmtId="197" fontId="4" fillId="4" borderId="196" xfId="121" applyNumberFormat="1" applyFont="1" applyFill="1" applyBorder="1" applyAlignment="1">
      <alignment horizontal="center" vertical="center"/>
    </xf>
    <xf numFmtId="198" fontId="34" fillId="4" borderId="168" xfId="110" applyNumberFormat="1" applyFont="1" applyFill="1" applyBorder="1" applyAlignment="1">
      <alignment horizontal="center" vertical="center"/>
    </xf>
    <xf numFmtId="198" fontId="34" fillId="4" borderId="185" xfId="110" applyNumberFormat="1" applyFont="1" applyFill="1" applyBorder="1" applyAlignment="1">
      <alignment horizontal="center" vertical="center"/>
    </xf>
    <xf numFmtId="197" fontId="4" fillId="4" borderId="130" xfId="121" applyNumberFormat="1" applyFont="1" applyFill="1" applyBorder="1" applyAlignment="1" applyProtection="1">
      <alignment horizontal="center" vertical="center"/>
    </xf>
    <xf numFmtId="197" fontId="4" fillId="4" borderId="131" xfId="121" applyNumberFormat="1" applyFont="1" applyFill="1" applyBorder="1" applyAlignment="1" applyProtection="1">
      <alignment horizontal="center" vertical="center"/>
    </xf>
    <xf numFmtId="0" fontId="14" fillId="4" borderId="2" xfId="283" applyFont="1" applyFill="1" applyBorder="1" applyAlignment="1">
      <alignment horizontal="center" vertical="center"/>
    </xf>
    <xf numFmtId="0" fontId="14" fillId="4" borderId="17" xfId="283" applyFont="1" applyFill="1" applyBorder="1" applyAlignment="1">
      <alignment horizontal="center" vertical="center"/>
    </xf>
    <xf numFmtId="0" fontId="14" fillId="4" borderId="4" xfId="283" applyFont="1" applyFill="1" applyBorder="1" applyAlignment="1">
      <alignment horizontal="center" vertical="center"/>
    </xf>
    <xf numFmtId="0" fontId="14" fillId="4" borderId="51" xfId="283" applyFont="1" applyFill="1" applyBorder="1" applyAlignment="1">
      <alignment horizontal="center" vertical="center"/>
    </xf>
    <xf numFmtId="0" fontId="14" fillId="4" borderId="62" xfId="283" applyFont="1" applyFill="1" applyBorder="1" applyAlignment="1">
      <alignment horizontal="center" vertical="center"/>
    </xf>
    <xf numFmtId="0" fontId="14" fillId="4" borderId="64" xfId="283" applyFont="1" applyFill="1" applyBorder="1" applyAlignment="1">
      <alignment horizontal="center" vertical="center"/>
    </xf>
    <xf numFmtId="4" fontId="14" fillId="4" borderId="62" xfId="283" applyNumberFormat="1" applyFont="1" applyFill="1" applyBorder="1" applyAlignment="1">
      <alignment horizontal="center" vertical="center" wrapText="1"/>
    </xf>
    <xf numFmtId="4" fontId="14" fillId="4" borderId="64" xfId="283" applyNumberFormat="1" applyFont="1" applyFill="1" applyBorder="1" applyAlignment="1">
      <alignment horizontal="center" vertical="center" wrapText="1"/>
    </xf>
    <xf numFmtId="4" fontId="64" fillId="4" borderId="62" xfId="283" applyNumberFormat="1" applyFont="1" applyFill="1" applyBorder="1" applyAlignment="1">
      <alignment horizontal="center" vertical="center" wrapText="1"/>
    </xf>
    <xf numFmtId="4" fontId="64" fillId="4" borderId="64" xfId="283" applyNumberFormat="1" applyFont="1" applyFill="1" applyBorder="1" applyAlignment="1">
      <alignment horizontal="center" vertical="center" wrapText="1"/>
    </xf>
    <xf numFmtId="0" fontId="14" fillId="0" borderId="56" xfId="283" applyFont="1" applyBorder="1" applyAlignment="1">
      <alignment horizontal="center" vertical="center" wrapText="1"/>
    </xf>
    <xf numFmtId="0" fontId="14" fillId="0" borderId="9" xfId="283" applyFont="1" applyBorder="1" applyAlignment="1">
      <alignment horizontal="center" vertical="center" wrapText="1"/>
    </xf>
    <xf numFmtId="198" fontId="34" fillId="4" borderId="167" xfId="110" applyNumberFormat="1" applyFont="1" applyFill="1" applyBorder="1" applyAlignment="1">
      <alignment horizontal="center" vertical="center"/>
    </xf>
    <xf numFmtId="198" fontId="34" fillId="4" borderId="62" xfId="110" applyNumberFormat="1" applyFont="1" applyFill="1" applyBorder="1" applyAlignment="1">
      <alignment horizontal="center" vertical="center"/>
    </xf>
    <xf numFmtId="198" fontId="34" fillId="4" borderId="95" xfId="110" applyNumberFormat="1" applyFont="1" applyFill="1" applyBorder="1" applyAlignment="1">
      <alignment horizontal="center" vertical="center"/>
    </xf>
    <xf numFmtId="198" fontId="34" fillId="4" borderId="169" xfId="110" applyNumberFormat="1" applyFont="1" applyFill="1" applyBorder="1" applyAlignment="1">
      <alignment horizontal="center" vertical="center"/>
    </xf>
    <xf numFmtId="179" fontId="34" fillId="4" borderId="62" xfId="110" applyFont="1" applyFill="1" applyBorder="1" applyAlignment="1">
      <alignment horizontal="center" vertical="center"/>
    </xf>
    <xf numFmtId="179" fontId="34" fillId="4" borderId="82" xfId="110" applyFont="1" applyFill="1" applyBorder="1" applyAlignment="1">
      <alignment horizontal="center" vertical="center"/>
    </xf>
    <xf numFmtId="179" fontId="34" fillId="4" borderId="64" xfId="110" applyFont="1" applyFill="1" applyBorder="1" applyAlignment="1">
      <alignment horizontal="center" vertical="center"/>
    </xf>
    <xf numFmtId="179" fontId="34" fillId="4" borderId="83" xfId="110" applyFont="1" applyFill="1" applyBorder="1" applyAlignment="1">
      <alignment horizontal="center" vertical="center"/>
    </xf>
    <xf numFmtId="0" fontId="14" fillId="0" borderId="24" xfId="284" applyFont="1" applyBorder="1" applyAlignment="1">
      <alignment horizontal="center" vertical="center"/>
    </xf>
    <xf numFmtId="0" fontId="14" fillId="0" borderId="25" xfId="284" applyFont="1" applyBorder="1" applyAlignment="1">
      <alignment horizontal="center" vertical="center"/>
    </xf>
    <xf numFmtId="165" fontId="14" fillId="4" borderId="2" xfId="263" applyNumberFormat="1" applyFont="1" applyFill="1" applyBorder="1" applyAlignment="1">
      <alignment horizontal="center" vertical="center" wrapText="1"/>
    </xf>
    <xf numFmtId="165" fontId="14" fillId="4" borderId="7" xfId="263" applyNumberFormat="1" applyFont="1" applyFill="1" applyBorder="1" applyAlignment="1">
      <alignment horizontal="center" vertical="center" wrapText="1"/>
    </xf>
    <xf numFmtId="0" fontId="14" fillId="4" borderId="5" xfId="263" applyFont="1" applyFill="1" applyBorder="1" applyAlignment="1">
      <alignment horizontal="center" vertical="center" wrapText="1"/>
    </xf>
    <xf numFmtId="0" fontId="14" fillId="4" borderId="9" xfId="263" applyFont="1" applyFill="1" applyBorder="1" applyAlignment="1">
      <alignment horizontal="center" vertical="center" wrapText="1"/>
    </xf>
    <xf numFmtId="164" fontId="14" fillId="4" borderId="5" xfId="263" applyNumberFormat="1" applyFont="1" applyFill="1" applyBorder="1" applyAlignment="1">
      <alignment horizontal="center" vertical="center"/>
    </xf>
    <xf numFmtId="164" fontId="14" fillId="4" borderId="9" xfId="263" applyNumberFormat="1" applyFont="1" applyFill="1" applyBorder="1" applyAlignment="1">
      <alignment horizontal="center" vertical="center"/>
    </xf>
    <xf numFmtId="164" fontId="64" fillId="4" borderId="5" xfId="263" applyNumberFormat="1" applyFont="1" applyFill="1" applyBorder="1" applyAlignment="1">
      <alignment horizontal="center" vertical="center" wrapText="1"/>
    </xf>
    <xf numFmtId="164" fontId="64" fillId="4" borderId="9" xfId="263" applyNumberFormat="1" applyFont="1" applyFill="1" applyBorder="1" applyAlignment="1">
      <alignment horizontal="center" vertical="center" wrapText="1"/>
    </xf>
    <xf numFmtId="198" fontId="34" fillId="4" borderId="130" xfId="110" applyNumberFormat="1" applyFont="1" applyFill="1" applyBorder="1" applyAlignment="1">
      <alignment horizontal="center" vertical="center"/>
    </xf>
    <xf numFmtId="198" fontId="34" fillId="4" borderId="139" xfId="110" applyNumberFormat="1" applyFont="1" applyFill="1" applyBorder="1" applyAlignment="1">
      <alignment horizontal="center" vertical="center"/>
    </xf>
    <xf numFmtId="0" fontId="14" fillId="0" borderId="117" xfId="263" applyFont="1" applyBorder="1" applyAlignment="1">
      <alignment horizontal="center" vertical="center"/>
    </xf>
    <xf numFmtId="0" fontId="14" fillId="0" borderId="26" xfId="263" applyFont="1" applyBorder="1" applyAlignment="1">
      <alignment horizontal="center" vertical="center"/>
    </xf>
    <xf numFmtId="0" fontId="14" fillId="0" borderId="24" xfId="263" applyFont="1" applyBorder="1" applyAlignment="1">
      <alignment horizontal="center" vertical="center"/>
    </xf>
    <xf numFmtId="0" fontId="14" fillId="0" borderId="25" xfId="263" applyFont="1" applyBorder="1" applyAlignment="1">
      <alignment horizontal="center" vertical="center"/>
    </xf>
    <xf numFmtId="0" fontId="14" fillId="0" borderId="118" xfId="263" applyFont="1" applyBorder="1" applyAlignment="1">
      <alignment horizontal="center" vertical="center"/>
    </xf>
    <xf numFmtId="197" fontId="14" fillId="4" borderId="62" xfId="129" applyNumberFormat="1" applyFont="1" applyFill="1" applyBorder="1" applyAlignment="1">
      <alignment horizontal="center" vertical="center" wrapText="1"/>
    </xf>
    <xf numFmtId="197" fontId="14" fillId="4" borderId="56" xfId="129" applyNumberFormat="1" applyFont="1" applyFill="1" applyBorder="1" applyAlignment="1">
      <alignment horizontal="center" vertical="center" wrapText="1"/>
    </xf>
    <xf numFmtId="197" fontId="4" fillId="4" borderId="107" xfId="121" applyNumberFormat="1" applyFont="1" applyFill="1" applyBorder="1" applyAlignment="1" applyProtection="1">
      <alignment horizontal="center" vertical="center"/>
    </xf>
    <xf numFmtId="197" fontId="4" fillId="4" borderId="75" xfId="121" applyNumberFormat="1" applyFont="1" applyFill="1" applyBorder="1" applyAlignment="1" applyProtection="1">
      <alignment horizontal="center" vertical="center"/>
    </xf>
    <xf numFmtId="179" fontId="34" fillId="4" borderId="162" xfId="110" applyFont="1" applyFill="1" applyBorder="1" applyAlignment="1">
      <alignment horizontal="center" vertical="center"/>
    </xf>
    <xf numFmtId="179" fontId="34" fillId="4" borderId="171" xfId="11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4" fillId="4" borderId="19" xfId="0" applyFont="1" applyFill="1" applyBorder="1" applyAlignment="1">
      <alignment horizontal="center" vertical="center"/>
    </xf>
    <xf numFmtId="4" fontId="14" fillId="4" borderId="5" xfId="0" applyNumberFormat="1" applyFont="1" applyFill="1" applyBorder="1" applyAlignment="1">
      <alignment horizontal="center" vertical="center" wrapText="1"/>
    </xf>
    <xf numFmtId="4" fontId="14" fillId="4" borderId="19" xfId="0" applyNumberFormat="1" applyFont="1" applyFill="1" applyBorder="1" applyAlignment="1">
      <alignment horizontal="center" vertical="center" wrapText="1"/>
    </xf>
    <xf numFmtId="4" fontId="14" fillId="4" borderId="4" xfId="0" applyNumberFormat="1" applyFont="1" applyFill="1" applyBorder="1" applyAlignment="1">
      <alignment horizontal="center" vertical="center" wrapText="1"/>
    </xf>
    <xf numFmtId="4" fontId="14" fillId="4" borderId="51" xfId="0" applyNumberFormat="1" applyFont="1" applyFill="1" applyBorder="1" applyAlignment="1">
      <alignment horizontal="center" vertical="center" wrapText="1"/>
    </xf>
    <xf numFmtId="179" fontId="34" fillId="4" borderId="161" xfId="110" applyFont="1" applyFill="1" applyBorder="1" applyAlignment="1">
      <alignment horizontal="center" vertical="center"/>
    </xf>
    <xf numFmtId="179" fontId="34" fillId="4" borderId="166" xfId="110" applyFont="1" applyFill="1" applyBorder="1" applyAlignment="1">
      <alignment horizontal="center" vertical="center"/>
    </xf>
    <xf numFmtId="179" fontId="34" fillId="4" borderId="154" xfId="110" applyFont="1" applyFill="1" applyBorder="1" applyAlignment="1">
      <alignment horizontal="center" vertical="center"/>
    </xf>
    <xf numFmtId="0" fontId="34" fillId="4" borderId="3" xfId="0" applyFont="1" applyFill="1" applyBorder="1" applyAlignment="1">
      <alignment horizontal="center" vertical="center"/>
    </xf>
    <xf numFmtId="0" fontId="34" fillId="4" borderId="22" xfId="0" applyFont="1" applyFill="1" applyBorder="1" applyAlignment="1">
      <alignment horizontal="center" vertical="center"/>
    </xf>
    <xf numFmtId="0" fontId="34" fillId="4" borderId="4" xfId="0" applyFont="1" applyFill="1" applyBorder="1" applyAlignment="1">
      <alignment horizontal="center" vertical="center"/>
    </xf>
    <xf numFmtId="0" fontId="34" fillId="4" borderId="106" xfId="0" applyFont="1" applyFill="1" applyBorder="1" applyAlignment="1">
      <alignment horizontal="center" vertical="center"/>
    </xf>
    <xf numFmtId="0" fontId="34" fillId="4" borderId="125" xfId="0" applyFont="1" applyFill="1" applyBorder="1" applyAlignment="1">
      <alignment horizontal="center" vertical="center"/>
    </xf>
    <xf numFmtId="0" fontId="34" fillId="4" borderId="119" xfId="0" applyFont="1" applyFill="1" applyBorder="1" applyAlignment="1">
      <alignment horizontal="center" vertical="center"/>
    </xf>
    <xf numFmtId="198" fontId="34" fillId="4" borderId="160" xfId="110" applyNumberFormat="1" applyFont="1" applyFill="1" applyBorder="1" applyAlignment="1">
      <alignment horizontal="center" vertical="center"/>
    </xf>
    <xf numFmtId="0" fontId="34" fillId="4" borderId="2" xfId="0" applyFont="1" applyFill="1" applyBorder="1" applyAlignment="1">
      <alignment horizontal="center" vertical="center"/>
    </xf>
    <xf numFmtId="0" fontId="34" fillId="4" borderId="105" xfId="0" applyFont="1" applyFill="1" applyBorder="1" applyAlignment="1">
      <alignment horizontal="center" vertical="center"/>
    </xf>
    <xf numFmtId="0" fontId="34" fillId="4" borderId="5" xfId="0" applyFont="1" applyFill="1" applyBorder="1" applyAlignment="1">
      <alignment horizontal="center" vertical="center"/>
    </xf>
    <xf numFmtId="0" fontId="34" fillId="4" borderId="87" xfId="0" applyFont="1" applyFill="1" applyBorder="1" applyAlignment="1">
      <alignment horizontal="center" vertical="center"/>
    </xf>
    <xf numFmtId="4" fontId="34" fillId="4" borderId="5" xfId="0" applyNumberFormat="1" applyFont="1" applyFill="1" applyBorder="1" applyAlignment="1">
      <alignment horizontal="center" vertical="center" wrapText="1"/>
    </xf>
    <xf numFmtId="4" fontId="34" fillId="4" borderId="87" xfId="0" applyNumberFormat="1" applyFont="1" applyFill="1" applyBorder="1" applyAlignment="1">
      <alignment horizontal="center" vertical="center" wrapText="1"/>
    </xf>
    <xf numFmtId="4" fontId="34" fillId="4" borderId="3" xfId="0" applyNumberFormat="1" applyFont="1" applyFill="1" applyBorder="1" applyAlignment="1">
      <alignment horizontal="center" vertical="center" wrapText="1"/>
    </xf>
    <xf numFmtId="4" fontId="34" fillId="4" borderId="106" xfId="0" applyNumberFormat="1" applyFont="1" applyFill="1" applyBorder="1" applyAlignment="1">
      <alignment horizontal="center" vertical="center" wrapText="1"/>
    </xf>
    <xf numFmtId="179" fontId="34" fillId="4" borderId="151" xfId="110" applyFont="1" applyFill="1" applyBorder="1" applyAlignment="1">
      <alignment horizontal="center" vertical="center"/>
    </xf>
    <xf numFmtId="179" fontId="34" fillId="4" borderId="152" xfId="11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18" xfId="0" applyFont="1" applyFill="1" applyBorder="1" applyAlignment="1">
      <alignment horizontal="center" vertical="center"/>
    </xf>
    <xf numFmtId="0" fontId="34" fillId="4" borderId="51" xfId="0" applyFont="1" applyFill="1" applyBorder="1" applyAlignment="1">
      <alignment horizontal="center" vertical="center"/>
    </xf>
    <xf numFmtId="0" fontId="34" fillId="4" borderId="17" xfId="0" applyFont="1" applyFill="1" applyBorder="1" applyAlignment="1">
      <alignment horizontal="center" vertical="center"/>
    </xf>
    <xf numFmtId="0" fontId="34" fillId="4" borderId="19" xfId="0" applyFont="1" applyFill="1" applyBorder="1" applyAlignment="1">
      <alignment horizontal="center" vertical="center"/>
    </xf>
    <xf numFmtId="4" fontId="34" fillId="4" borderId="19" xfId="0" applyNumberFormat="1" applyFont="1" applyFill="1" applyBorder="1" applyAlignment="1">
      <alignment horizontal="center" vertical="center" wrapText="1"/>
    </xf>
    <xf numFmtId="4" fontId="34" fillId="4" borderId="62" xfId="0" applyNumberFormat="1" applyFont="1" applyFill="1" applyBorder="1" applyAlignment="1">
      <alignment horizontal="center" vertical="center" wrapText="1"/>
    </xf>
    <xf numFmtId="4" fontId="34" fillId="4" borderId="64" xfId="0" applyNumberFormat="1" applyFont="1" applyFill="1" applyBorder="1" applyAlignment="1">
      <alignment horizontal="center" vertical="center" wrapText="1"/>
    </xf>
    <xf numFmtId="179" fontId="34" fillId="4" borderId="140" xfId="110" applyFont="1" applyFill="1" applyBorder="1" applyAlignment="1">
      <alignment horizontal="center" vertical="center"/>
    </xf>
    <xf numFmtId="179" fontId="34" fillId="4" borderId="143" xfId="110" applyFont="1" applyFill="1" applyBorder="1" applyAlignment="1">
      <alignment horizontal="center" vertical="center"/>
    </xf>
    <xf numFmtId="4" fontId="34" fillId="4" borderId="138" xfId="0" applyNumberFormat="1" applyFont="1" applyFill="1" applyBorder="1" applyAlignment="1">
      <alignment horizontal="center" vertical="center" wrapText="1"/>
    </xf>
    <xf numFmtId="4" fontId="34" fillId="4" borderId="141" xfId="0" applyNumberFormat="1" applyFont="1" applyFill="1" applyBorder="1" applyAlignment="1">
      <alignment horizontal="center" vertical="center" wrapText="1"/>
    </xf>
    <xf numFmtId="179" fontId="34" fillId="4" borderId="63" xfId="110" applyFont="1" applyFill="1" applyBorder="1" applyAlignment="1">
      <alignment horizontal="center" vertical="center"/>
    </xf>
    <xf numFmtId="179" fontId="34" fillId="4" borderId="65" xfId="110" applyFont="1" applyFill="1" applyBorder="1" applyAlignment="1">
      <alignment horizontal="center" vertical="center"/>
    </xf>
    <xf numFmtId="0" fontId="41" fillId="4" borderId="2" xfId="296" applyFont="1" applyFill="1" applyBorder="1" applyAlignment="1">
      <alignment horizontal="center" vertical="center"/>
    </xf>
    <xf numFmtId="0" fontId="41" fillId="4" borderId="17" xfId="296" applyFont="1" applyFill="1" applyBorder="1" applyAlignment="1">
      <alignment horizontal="center" vertical="center"/>
    </xf>
    <xf numFmtId="0" fontId="41" fillId="4" borderId="5" xfId="296" applyFont="1" applyFill="1" applyBorder="1" applyAlignment="1">
      <alignment horizontal="center" vertical="center"/>
    </xf>
    <xf numFmtId="0" fontId="41" fillId="4" borderId="19" xfId="296" applyFont="1" applyFill="1" applyBorder="1" applyAlignment="1">
      <alignment horizontal="center" vertical="center"/>
    </xf>
    <xf numFmtId="0" fontId="16" fillId="4" borderId="2" xfId="296" applyFont="1" applyFill="1" applyBorder="1" applyAlignment="1">
      <alignment horizontal="center" vertical="center"/>
    </xf>
    <xf numFmtId="0" fontId="16" fillId="4" borderId="17" xfId="296" applyFont="1" applyFill="1" applyBorder="1" applyAlignment="1">
      <alignment horizontal="center" vertical="center"/>
    </xf>
    <xf numFmtId="0" fontId="16" fillId="4" borderId="5" xfId="296" applyFont="1" applyFill="1" applyBorder="1" applyAlignment="1">
      <alignment horizontal="center" vertical="center"/>
    </xf>
    <xf numFmtId="0" fontId="16" fillId="4" borderId="19" xfId="296" applyFont="1" applyFill="1" applyBorder="1" applyAlignment="1">
      <alignment horizontal="center" vertical="center"/>
    </xf>
    <xf numFmtId="0" fontId="33" fillId="4" borderId="90" xfId="319" applyFont="1" applyFill="1" applyBorder="1" applyAlignment="1">
      <alignment horizontal="center" vertical="center"/>
    </xf>
    <xf numFmtId="0" fontId="33" fillId="4" borderId="97" xfId="319" applyFont="1" applyFill="1" applyBorder="1" applyAlignment="1">
      <alignment horizontal="center" vertical="center"/>
    </xf>
    <xf numFmtId="0" fontId="33" fillId="4" borderId="93" xfId="319" applyFont="1" applyFill="1" applyBorder="1" applyAlignment="1">
      <alignment horizontal="center" vertical="center"/>
    </xf>
    <xf numFmtId="0" fontId="33" fillId="4" borderId="100" xfId="319" applyFont="1" applyFill="1" applyBorder="1" applyAlignment="1">
      <alignment horizontal="center" vertical="center"/>
    </xf>
    <xf numFmtId="174" fontId="33" fillId="4" borderId="93" xfId="101" applyFont="1" applyFill="1" applyBorder="1" applyAlignment="1" applyProtection="1">
      <alignment horizontal="center" vertical="center"/>
    </xf>
    <xf numFmtId="174" fontId="33" fillId="4" borderId="100" xfId="101" applyFont="1" applyFill="1" applyBorder="1" applyAlignment="1" applyProtection="1">
      <alignment horizontal="center" vertical="center"/>
    </xf>
    <xf numFmtId="4" fontId="38" fillId="4" borderId="94" xfId="0" applyNumberFormat="1" applyFont="1" applyFill="1" applyBorder="1" applyAlignment="1">
      <alignment horizontal="center" vertical="center" wrapText="1"/>
    </xf>
    <xf numFmtId="4" fontId="38" fillId="4" borderId="101" xfId="0" applyNumberFormat="1" applyFont="1" applyFill="1" applyBorder="1" applyAlignment="1">
      <alignment horizontal="center" vertical="center" wrapText="1"/>
    </xf>
    <xf numFmtId="179" fontId="38" fillId="4" borderId="96" xfId="110" applyFont="1" applyFill="1" applyBorder="1" applyAlignment="1">
      <alignment horizontal="center" vertical="center"/>
    </xf>
    <xf numFmtId="179" fontId="38" fillId="4" borderId="103" xfId="110" applyFont="1" applyFill="1" applyBorder="1" applyAlignment="1">
      <alignment horizontal="center" vertical="center"/>
    </xf>
    <xf numFmtId="0" fontId="33" fillId="4" borderId="91" xfId="319" applyFont="1" applyFill="1" applyBorder="1" applyAlignment="1">
      <alignment horizontal="center" vertical="center"/>
    </xf>
    <xf numFmtId="0" fontId="33" fillId="4" borderId="92" xfId="319" applyFont="1" applyFill="1" applyBorder="1" applyAlignment="1">
      <alignment horizontal="center" vertical="center"/>
    </xf>
    <xf numFmtId="0" fontId="33" fillId="4" borderId="98" xfId="319" applyFont="1" applyFill="1" applyBorder="1" applyAlignment="1">
      <alignment horizontal="center" vertical="center"/>
    </xf>
    <xf numFmtId="0" fontId="33" fillId="4" borderId="99" xfId="319" applyFont="1" applyFill="1" applyBorder="1" applyAlignment="1">
      <alignment horizontal="center" vertical="center"/>
    </xf>
    <xf numFmtId="178" fontId="33" fillId="0" borderId="0" xfId="103" applyNumberFormat="1" applyFont="1" applyFill="1" applyBorder="1" applyAlignment="1" applyProtection="1">
      <alignment horizontal="center" vertical="center"/>
    </xf>
    <xf numFmtId="198" fontId="38" fillId="4" borderId="62" xfId="110" applyNumberFormat="1" applyFont="1" applyFill="1" applyBorder="1" applyAlignment="1">
      <alignment horizontal="center" vertical="center"/>
    </xf>
    <xf numFmtId="0" fontId="27" fillId="4" borderId="2" xfId="319" applyFont="1" applyFill="1" applyBorder="1" applyAlignment="1">
      <alignment horizontal="center" vertical="center"/>
    </xf>
    <xf numFmtId="0" fontId="27" fillId="4" borderId="17" xfId="319" applyFont="1" applyFill="1" applyBorder="1" applyAlignment="1">
      <alignment horizontal="center" vertical="center"/>
    </xf>
    <xf numFmtId="0" fontId="27" fillId="4" borderId="5" xfId="319" applyFont="1" applyFill="1" applyBorder="1" applyAlignment="1">
      <alignment horizontal="center" vertical="center"/>
    </xf>
    <xf numFmtId="0" fontId="27" fillId="4" borderId="19" xfId="319" applyFont="1" applyFill="1" applyBorder="1" applyAlignment="1">
      <alignment horizontal="center" vertical="center"/>
    </xf>
    <xf numFmtId="174" fontId="27" fillId="4" borderId="5" xfId="101" applyFont="1" applyFill="1" applyBorder="1" applyAlignment="1" applyProtection="1">
      <alignment horizontal="center" vertical="center"/>
    </xf>
    <xf numFmtId="174" fontId="27" fillId="4" borderId="19" xfId="101" applyFont="1" applyFill="1" applyBorder="1" applyAlignment="1" applyProtection="1">
      <alignment horizontal="center" vertical="center"/>
    </xf>
    <xf numFmtId="4" fontId="39" fillId="4" borderId="62" xfId="0" applyNumberFormat="1" applyFont="1" applyFill="1" applyBorder="1" applyAlignment="1">
      <alignment horizontal="center" vertical="center" wrapText="1"/>
    </xf>
    <xf numFmtId="4" fontId="39" fillId="4" borderId="64" xfId="0" applyNumberFormat="1" applyFont="1" applyFill="1" applyBorder="1" applyAlignment="1">
      <alignment horizontal="center" vertical="center" wrapText="1"/>
    </xf>
    <xf numFmtId="179" fontId="39" fillId="4" borderId="82" xfId="110" applyFont="1" applyFill="1" applyBorder="1" applyAlignment="1">
      <alignment horizontal="center" vertical="center"/>
    </xf>
    <xf numFmtId="179" fontId="39" fillId="4" borderId="83" xfId="110" applyFont="1" applyFill="1" applyBorder="1" applyAlignment="1">
      <alignment horizontal="center" vertical="center"/>
    </xf>
    <xf numFmtId="198" fontId="39" fillId="4" borderId="62" xfId="110" applyNumberFormat="1" applyFont="1" applyFill="1" applyBorder="1" applyAlignment="1">
      <alignment horizontal="center" vertical="center"/>
    </xf>
    <xf numFmtId="0" fontId="33" fillId="4" borderId="2" xfId="319" applyFont="1" applyFill="1" applyBorder="1" applyAlignment="1">
      <alignment horizontal="center" vertical="center"/>
    </xf>
    <xf numFmtId="0" fontId="33" fillId="4" borderId="17" xfId="319" applyFont="1" applyFill="1" applyBorder="1" applyAlignment="1">
      <alignment horizontal="center" vertical="center"/>
    </xf>
    <xf numFmtId="0" fontId="33" fillId="4" borderId="5" xfId="319" applyFont="1" applyFill="1" applyBorder="1" applyAlignment="1">
      <alignment horizontal="center" vertical="center"/>
    </xf>
    <xf numFmtId="0" fontId="33" fillId="4" borderId="19" xfId="319" applyFont="1" applyFill="1" applyBorder="1" applyAlignment="1">
      <alignment horizontal="center" vertical="center"/>
    </xf>
    <xf numFmtId="174" fontId="33" fillId="4" borderId="5" xfId="101" applyFont="1" applyFill="1" applyBorder="1" applyAlignment="1" applyProtection="1">
      <alignment horizontal="center" vertical="center"/>
    </xf>
    <xf numFmtId="174" fontId="33" fillId="4" borderId="19" xfId="101" applyFont="1" applyFill="1" applyBorder="1" applyAlignment="1" applyProtection="1">
      <alignment horizontal="center" vertical="center"/>
    </xf>
    <xf numFmtId="4" fontId="38" fillId="4" borderId="5" xfId="0" applyNumberFormat="1" applyFont="1" applyFill="1" applyBorder="1" applyAlignment="1">
      <alignment horizontal="center" vertical="center" wrapText="1"/>
    </xf>
    <xf numFmtId="4" fontId="38" fillId="4" borderId="19" xfId="0" applyNumberFormat="1" applyFont="1" applyFill="1" applyBorder="1" applyAlignment="1">
      <alignment horizontal="center" vertical="center" wrapText="1"/>
    </xf>
    <xf numFmtId="179" fontId="38" fillId="4" borderId="63" xfId="110" applyFont="1" applyFill="1" applyBorder="1" applyAlignment="1">
      <alignment horizontal="center" vertical="center"/>
    </xf>
    <xf numFmtId="179" fontId="38" fillId="4" borderId="65" xfId="110" applyFont="1" applyFill="1" applyBorder="1" applyAlignment="1">
      <alignment horizontal="center" vertical="center"/>
    </xf>
    <xf numFmtId="179" fontId="4" fillId="4" borderId="63" xfId="110" applyFont="1" applyFill="1" applyBorder="1" applyAlignment="1">
      <alignment horizontal="center" vertical="center"/>
    </xf>
    <xf numFmtId="179" fontId="4" fillId="4" borderId="65" xfId="110" applyFont="1" applyFill="1" applyBorder="1" applyAlignment="1">
      <alignment horizontal="center" vertical="center"/>
    </xf>
    <xf numFmtId="0" fontId="28" fillId="4" borderId="5" xfId="319" applyFont="1" applyFill="1" applyBorder="1" applyAlignment="1">
      <alignment horizontal="center" vertical="center"/>
    </xf>
    <xf numFmtId="0" fontId="28" fillId="4" borderId="19" xfId="319" applyFont="1" applyFill="1" applyBorder="1" applyAlignment="1">
      <alignment horizontal="center" vertical="center"/>
    </xf>
    <xf numFmtId="198" fontId="4" fillId="4" borderId="62" xfId="110" applyNumberFormat="1" applyFont="1" applyFill="1" applyBorder="1" applyAlignment="1">
      <alignment horizontal="center" vertical="center"/>
    </xf>
    <xf numFmtId="0" fontId="28" fillId="4" borderId="2" xfId="319" applyFont="1" applyFill="1" applyBorder="1" applyAlignment="1">
      <alignment horizontal="center" vertical="center"/>
    </xf>
    <xf numFmtId="0" fontId="28" fillId="4" borderId="17" xfId="319" applyFont="1" applyFill="1" applyBorder="1" applyAlignment="1">
      <alignment horizontal="center" vertical="center"/>
    </xf>
    <xf numFmtId="174" fontId="28" fillId="4" borderId="5" xfId="101" applyFont="1" applyFill="1" applyBorder="1" applyAlignment="1" applyProtection="1">
      <alignment horizontal="center" vertical="center"/>
    </xf>
    <xf numFmtId="174" fontId="28" fillId="4" borderId="19" xfId="101" applyFont="1" applyFill="1" applyBorder="1" applyAlignment="1" applyProtection="1">
      <alignment horizontal="center" vertical="center"/>
    </xf>
    <xf numFmtId="4" fontId="4" fillId="4" borderId="62" xfId="0" applyNumberFormat="1" applyFont="1" applyFill="1" applyBorder="1" applyAlignment="1">
      <alignment horizontal="center" vertical="center" wrapText="1"/>
    </xf>
    <xf numFmtId="4" fontId="4" fillId="4" borderId="64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22" fillId="3" borderId="57" xfId="0" applyFont="1" applyFill="1" applyBorder="1" applyAlignment="1">
      <alignment horizontal="center"/>
    </xf>
    <xf numFmtId="0" fontId="22" fillId="3" borderId="58" xfId="0" applyFont="1" applyFill="1" applyBorder="1" applyAlignment="1">
      <alignment horizontal="center"/>
    </xf>
    <xf numFmtId="0" fontId="22" fillId="3" borderId="59" xfId="0" applyFont="1" applyFill="1" applyBorder="1" applyAlignment="1">
      <alignment horizontal="center"/>
    </xf>
    <xf numFmtId="0" fontId="22" fillId="3" borderId="60" xfId="0" applyFont="1" applyFill="1" applyBorder="1" applyAlignment="1">
      <alignment horizontal="center"/>
    </xf>
    <xf numFmtId="0" fontId="22" fillId="3" borderId="56" xfId="0" applyFont="1" applyFill="1" applyBorder="1" applyAlignment="1">
      <alignment horizontal="center"/>
    </xf>
    <xf numFmtId="0" fontId="22" fillId="3" borderId="9" xfId="0" applyFont="1" applyFill="1" applyBorder="1" applyAlignment="1">
      <alignment horizontal="center"/>
    </xf>
    <xf numFmtId="0" fontId="22" fillId="3" borderId="61" xfId="0" applyFont="1" applyFill="1" applyBorder="1" applyAlignment="1">
      <alignment horizontal="center"/>
    </xf>
    <xf numFmtId="0" fontId="22" fillId="3" borderId="54" xfId="0" applyFont="1" applyFill="1" applyBorder="1" applyAlignment="1">
      <alignment horizontal="center"/>
    </xf>
    <xf numFmtId="0" fontId="22" fillId="3" borderId="47" xfId="0" applyFont="1" applyFill="1" applyBorder="1" applyAlignment="1">
      <alignment horizontal="center"/>
    </xf>
    <xf numFmtId="0" fontId="22" fillId="3" borderId="48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0" fontId="22" fillId="3" borderId="0" xfId="0" applyFont="1" applyFill="1" applyAlignment="1">
      <alignment horizontal="center"/>
    </xf>
    <xf numFmtId="0" fontId="22" fillId="3" borderId="8" xfId="0" applyFont="1" applyFill="1" applyBorder="1" applyAlignment="1">
      <alignment horizontal="center"/>
    </xf>
    <xf numFmtId="0" fontId="22" fillId="3" borderId="53" xfId="0" applyFont="1" applyFill="1" applyBorder="1" applyAlignment="1">
      <alignment horizontal="center"/>
    </xf>
    <xf numFmtId="0" fontId="22" fillId="3" borderId="44" xfId="0" applyFont="1" applyFill="1" applyBorder="1" applyAlignment="1">
      <alignment horizontal="center"/>
    </xf>
    <xf numFmtId="0" fontId="22" fillId="3" borderId="43" xfId="0" applyFont="1" applyFill="1" applyBorder="1" applyAlignment="1">
      <alignment horizontal="center"/>
    </xf>
    <xf numFmtId="0" fontId="13" fillId="0" borderId="0" xfId="281" applyFont="1" applyAlignment="1">
      <alignment horizontal="center" vertical="center"/>
    </xf>
    <xf numFmtId="0" fontId="13" fillId="0" borderId="18" xfId="281" applyFont="1" applyBorder="1" applyAlignment="1">
      <alignment horizontal="left" vertical="center" wrapText="1"/>
    </xf>
    <xf numFmtId="0" fontId="13" fillId="0" borderId="16" xfId="281" applyFont="1" applyBorder="1" applyAlignment="1">
      <alignment horizontal="left" vertical="center"/>
    </xf>
    <xf numFmtId="0" fontId="13" fillId="0" borderId="0" xfId="281" applyFont="1" applyAlignment="1">
      <alignment horizontal="left" vertical="center"/>
    </xf>
    <xf numFmtId="0" fontId="14" fillId="0" borderId="0" xfId="281" applyFont="1" applyAlignment="1">
      <alignment horizontal="left" vertical="top" wrapText="1"/>
    </xf>
    <xf numFmtId="0" fontId="19" fillId="0" borderId="47" xfId="281" applyFont="1" applyBorder="1" applyAlignment="1">
      <alignment horizontal="left" vertical="center"/>
    </xf>
    <xf numFmtId="0" fontId="13" fillId="0" borderId="47" xfId="281" applyFont="1" applyBorder="1" applyAlignment="1">
      <alignment horizontal="left" vertical="center" wrapText="1"/>
    </xf>
    <xf numFmtId="0" fontId="20" fillId="0" borderId="18" xfId="281" applyFont="1" applyBorder="1" applyAlignment="1">
      <alignment horizontal="left" vertical="center"/>
    </xf>
    <xf numFmtId="0" fontId="13" fillId="0" borderId="1" xfId="281" applyFont="1" applyBorder="1" applyAlignment="1">
      <alignment horizontal="left" vertical="center"/>
    </xf>
    <xf numFmtId="0" fontId="13" fillId="0" borderId="53" xfId="281" applyFont="1" applyBorder="1" applyAlignment="1">
      <alignment horizontal="center" vertical="center"/>
    </xf>
    <xf numFmtId="0" fontId="13" fillId="0" borderId="44" xfId="281" applyFont="1" applyBorder="1" applyAlignment="1">
      <alignment horizontal="center" vertical="center"/>
    </xf>
    <xf numFmtId="0" fontId="13" fillId="0" borderId="44" xfId="281" applyFont="1" applyBorder="1" applyAlignment="1">
      <alignment horizontal="left" vertical="center" wrapText="1"/>
    </xf>
    <xf numFmtId="0" fontId="14" fillId="0" borderId="0" xfId="281" applyFont="1" applyAlignment="1">
      <alignment horizontal="center"/>
    </xf>
    <xf numFmtId="0" fontId="16" fillId="0" borderId="0" xfId="281" applyFont="1" applyAlignment="1">
      <alignment horizontal="center"/>
    </xf>
    <xf numFmtId="0" fontId="17" fillId="0" borderId="0" xfId="281" applyFont="1" applyAlignment="1">
      <alignment horizontal="center" vertical="center"/>
    </xf>
    <xf numFmtId="10" fontId="70" fillId="0" borderId="26" xfId="121" applyNumberFormat="1" applyFont="1" applyFill="1" applyBorder="1" applyAlignment="1">
      <alignment horizontal="center" vertical="center"/>
    </xf>
  </cellXfs>
  <cellStyles count="388">
    <cellStyle name="‚" xfId="4" xr:uid="{00000000-0005-0000-0000-000031000000}"/>
    <cellStyle name="„" xfId="5" xr:uid="{00000000-0005-0000-0000-000032000000}"/>
    <cellStyle name="…" xfId="6" xr:uid="{00000000-0005-0000-0000-000033000000}"/>
    <cellStyle name="†" xfId="7" xr:uid="{00000000-0005-0000-0000-000034000000}"/>
    <cellStyle name="‡" xfId="8" xr:uid="{00000000-0005-0000-0000-000035000000}"/>
    <cellStyle name="‡ - Style1" xfId="9" xr:uid="{00000000-0005-0000-0000-000036000000}"/>
    <cellStyle name="‡_BOOK1" xfId="10" xr:uid="{00000000-0005-0000-0000-000037000000}"/>
    <cellStyle name="‡_BOOK1 2" xfId="11" xr:uid="{00000000-0005-0000-0000-000038000000}"/>
    <cellStyle name="‡_BOOK1 3" xfId="12" xr:uid="{00000000-0005-0000-0000-000039000000}"/>
    <cellStyle name="‡_PLDT" xfId="13" xr:uid="{00000000-0005-0000-0000-00003A000000}"/>
    <cellStyle name="‡_STA- - Style2" xfId="14" xr:uid="{00000000-0005-0000-0000-00003B000000}"/>
    <cellStyle name="‡_STA-DRP" xfId="15" xr:uid="{00000000-0005-0000-0000-00003C000000}"/>
    <cellStyle name="‡_STA-DRP_BOOK1" xfId="16" xr:uid="{00000000-0005-0000-0000-00003D000000}"/>
    <cellStyle name="‡_STA-DRP_BOOK1 2" xfId="17" xr:uid="{00000000-0005-0000-0000-00003E000000}"/>
    <cellStyle name="‡_STA-DRP_BOOK1 3" xfId="18" xr:uid="{00000000-0005-0000-0000-00003F000000}"/>
    <cellStyle name="" xfId="19" xr:uid="{00000000-0005-0000-0000-000040000000}"/>
    <cellStyle name="" xfId="20" xr:uid="{00000000-0005-0000-0000-000041000000}"/>
    <cellStyle name="0,0_x000d__x000a_NA_x000d__x000a_" xfId="21" xr:uid="{00000000-0005-0000-0000-000042000000}"/>
    <cellStyle name="0,0_x000d__x000a_NA_x000d__x000a_ 2" xfId="22" xr:uid="{00000000-0005-0000-0000-000043000000}"/>
    <cellStyle name="¹éºÐÀ²_±âÅ¸" xfId="23" xr:uid="{00000000-0005-0000-0000-000044000000}"/>
    <cellStyle name="20% - Accent1 2" xfId="24" xr:uid="{00000000-0005-0000-0000-000045000000}"/>
    <cellStyle name="20% - Accent2 2" xfId="25" xr:uid="{00000000-0005-0000-0000-000046000000}"/>
    <cellStyle name="20% - Accent3 2" xfId="26" xr:uid="{00000000-0005-0000-0000-000047000000}"/>
    <cellStyle name="20% - Accent4 2" xfId="27" xr:uid="{00000000-0005-0000-0000-000048000000}"/>
    <cellStyle name="20% - Accent5 2" xfId="28" xr:uid="{00000000-0005-0000-0000-000049000000}"/>
    <cellStyle name="20% - Accent6 2" xfId="29" xr:uid="{00000000-0005-0000-0000-00004A000000}"/>
    <cellStyle name="40% - Accent1 2" xfId="30" xr:uid="{00000000-0005-0000-0000-00004B000000}"/>
    <cellStyle name="40% - Accent2 2" xfId="31" xr:uid="{00000000-0005-0000-0000-00004C000000}"/>
    <cellStyle name="40% - Accent3 2" xfId="32" xr:uid="{00000000-0005-0000-0000-00004D000000}"/>
    <cellStyle name="40% - Accent4 2" xfId="33" xr:uid="{00000000-0005-0000-0000-00004E000000}"/>
    <cellStyle name="40% - Accent5 2" xfId="34" xr:uid="{00000000-0005-0000-0000-00004F000000}"/>
    <cellStyle name="40% - Accent6 2" xfId="35" xr:uid="{00000000-0005-0000-0000-000050000000}"/>
    <cellStyle name="60% - Accent1 2" xfId="36" xr:uid="{00000000-0005-0000-0000-000051000000}"/>
    <cellStyle name="60% - Accent2 2" xfId="37" xr:uid="{00000000-0005-0000-0000-000052000000}"/>
    <cellStyle name="60% - Accent3 2" xfId="38" xr:uid="{00000000-0005-0000-0000-000053000000}"/>
    <cellStyle name="60% - Accent4 2" xfId="39" xr:uid="{00000000-0005-0000-0000-000054000000}"/>
    <cellStyle name="60% - Accent5 2" xfId="40" xr:uid="{00000000-0005-0000-0000-000055000000}"/>
    <cellStyle name="60% - Accent6 2" xfId="41" xr:uid="{00000000-0005-0000-0000-000056000000}"/>
    <cellStyle name="Accent1 2" xfId="42" xr:uid="{00000000-0005-0000-0000-000057000000}"/>
    <cellStyle name="Accent2 2" xfId="43" xr:uid="{00000000-0005-0000-0000-000058000000}"/>
    <cellStyle name="Accent3 2" xfId="44" xr:uid="{00000000-0005-0000-0000-000059000000}"/>
    <cellStyle name="Accent4 2" xfId="45" xr:uid="{00000000-0005-0000-0000-00005A000000}"/>
    <cellStyle name="Accent5 2" xfId="46" xr:uid="{00000000-0005-0000-0000-00005B000000}"/>
    <cellStyle name="Accent6 2" xfId="47" xr:uid="{00000000-0005-0000-0000-00005C000000}"/>
    <cellStyle name="ÅëÈ­ [0]_±âÅ¸" xfId="48" xr:uid="{00000000-0005-0000-0000-00005D000000}"/>
    <cellStyle name="ÅëÈ­_±âÅ¸" xfId="49" xr:uid="{00000000-0005-0000-0000-00005E000000}"/>
    <cellStyle name="args.style" xfId="50" xr:uid="{00000000-0005-0000-0000-00005F000000}"/>
    <cellStyle name="ÄÞ¸¶ [0]_±âÅ¸" xfId="51" xr:uid="{00000000-0005-0000-0000-000060000000}"/>
    <cellStyle name="ÄÞ¸¶_±âÅ¸" xfId="52" xr:uid="{00000000-0005-0000-0000-000061000000}"/>
    <cellStyle name="Bad 2" xfId="53" xr:uid="{00000000-0005-0000-0000-000062000000}"/>
    <cellStyle name="Body" xfId="54" xr:uid="{00000000-0005-0000-0000-000063000000}"/>
    <cellStyle name="bol" xfId="55" xr:uid="{00000000-0005-0000-0000-000064000000}"/>
    <cellStyle name="Bol 1" xfId="56" xr:uid="{00000000-0005-0000-0000-000065000000}"/>
    <cellStyle name="bol_08 - 2143 - E - AHS - 090617" xfId="57" xr:uid="{00000000-0005-0000-0000-000066000000}"/>
    <cellStyle name="bol1" xfId="58" xr:uid="{00000000-0005-0000-0000-000067000000}"/>
    <cellStyle name="Ç¥ÁØ_¿¬°£´©°è¿¹»ó" xfId="59" xr:uid="{00000000-0005-0000-0000-000068000000}"/>
    <cellStyle name="Calc Currency (0)" xfId="60" xr:uid="{00000000-0005-0000-0000-000069000000}"/>
    <cellStyle name="Calc Currency (0) 2" xfId="61" xr:uid="{00000000-0005-0000-0000-00006A000000}"/>
    <cellStyle name="Calculation 2" xfId="62" xr:uid="{00000000-0005-0000-0000-00006B000000}"/>
    <cellStyle name="Check Cell 2" xfId="63" xr:uid="{00000000-0005-0000-0000-00006C000000}"/>
    <cellStyle name="Comma" xfId="1" builtinId="3"/>
    <cellStyle name="Comma  - Style1" xfId="64" xr:uid="{00000000-0005-0000-0000-00006D000000}"/>
    <cellStyle name="Comma  - Style1 2" xfId="65" xr:uid="{00000000-0005-0000-0000-00006E000000}"/>
    <cellStyle name="Comma  - Style2" xfId="66" xr:uid="{00000000-0005-0000-0000-00006F000000}"/>
    <cellStyle name="Comma  - Style2 2" xfId="67" xr:uid="{00000000-0005-0000-0000-000070000000}"/>
    <cellStyle name="Comma  - Style3" xfId="68" xr:uid="{00000000-0005-0000-0000-000071000000}"/>
    <cellStyle name="Comma  - Style3 2" xfId="69" xr:uid="{00000000-0005-0000-0000-000072000000}"/>
    <cellStyle name="Comma  - Style4" xfId="70" xr:uid="{00000000-0005-0000-0000-000073000000}"/>
    <cellStyle name="Comma  - Style4 2" xfId="71" xr:uid="{00000000-0005-0000-0000-000074000000}"/>
    <cellStyle name="Comma  - Style5" xfId="72" xr:uid="{00000000-0005-0000-0000-000075000000}"/>
    <cellStyle name="Comma  - Style5 2" xfId="73" xr:uid="{00000000-0005-0000-0000-000076000000}"/>
    <cellStyle name="Comma  - Style6" xfId="74" xr:uid="{00000000-0005-0000-0000-000077000000}"/>
    <cellStyle name="Comma  - Style6 2" xfId="75" xr:uid="{00000000-0005-0000-0000-000078000000}"/>
    <cellStyle name="Comma  - Style7" xfId="76" xr:uid="{00000000-0005-0000-0000-000079000000}"/>
    <cellStyle name="Comma  - Style7 2" xfId="77" xr:uid="{00000000-0005-0000-0000-00007A000000}"/>
    <cellStyle name="Comma  - Style8" xfId="78" xr:uid="{00000000-0005-0000-0000-00007B000000}"/>
    <cellStyle name="Comma  - Style8 2" xfId="79" xr:uid="{00000000-0005-0000-0000-00007C000000}"/>
    <cellStyle name="Comma [0]" xfId="3" builtinId="6"/>
    <cellStyle name="Comma [0] 12 2" xfId="80" xr:uid="{00000000-0005-0000-0000-00007D000000}"/>
    <cellStyle name="Comma [0] 15 3" xfId="81" xr:uid="{00000000-0005-0000-0000-00007E000000}"/>
    <cellStyle name="Comma [0] 2" xfId="82" xr:uid="{00000000-0005-0000-0000-00007F000000}"/>
    <cellStyle name="Comma [0] 2 2" xfId="83" xr:uid="{00000000-0005-0000-0000-000080000000}"/>
    <cellStyle name="Comma [0] 2 2 2" xfId="84" xr:uid="{00000000-0005-0000-0000-000081000000}"/>
    <cellStyle name="Comma [0] 2 2 3" xfId="85" xr:uid="{00000000-0005-0000-0000-000082000000}"/>
    <cellStyle name="Comma [0] 2 3" xfId="86" xr:uid="{00000000-0005-0000-0000-000083000000}"/>
    <cellStyle name="Comma [0] 2 4" xfId="87" xr:uid="{00000000-0005-0000-0000-000084000000}"/>
    <cellStyle name="Comma [0] 2 5" xfId="88" xr:uid="{00000000-0005-0000-0000-000085000000}"/>
    <cellStyle name="Comma [0] 2 6" xfId="89" xr:uid="{00000000-0005-0000-0000-000086000000}"/>
    <cellStyle name="Comma [0] 3" xfId="90" xr:uid="{00000000-0005-0000-0000-000087000000}"/>
    <cellStyle name="Comma [0] 3 16" xfId="91" xr:uid="{00000000-0005-0000-0000-000088000000}"/>
    <cellStyle name="Comma [0] 3 2" xfId="92" xr:uid="{00000000-0005-0000-0000-000089000000}"/>
    <cellStyle name="Comma [0] 3 2 2 2 2 2" xfId="93" xr:uid="{00000000-0005-0000-0000-00008A000000}"/>
    <cellStyle name="Comma [0] 3 3" xfId="94" xr:uid="{00000000-0005-0000-0000-00008B000000}"/>
    <cellStyle name="Comma [0] 3 4" xfId="95" xr:uid="{00000000-0005-0000-0000-00008C000000}"/>
    <cellStyle name="Comma [0] 3 5" xfId="96" xr:uid="{00000000-0005-0000-0000-00008D000000}"/>
    <cellStyle name="Comma [0] 3 6" xfId="97" xr:uid="{00000000-0005-0000-0000-00008E000000}"/>
    <cellStyle name="Comma [0] 4" xfId="98" xr:uid="{00000000-0005-0000-0000-00008F000000}"/>
    <cellStyle name="Comma [0] 4 2 5" xfId="99" xr:uid="{00000000-0005-0000-0000-000090000000}"/>
    <cellStyle name="Comma [0] 6" xfId="100" xr:uid="{00000000-0005-0000-0000-000091000000}"/>
    <cellStyle name="Comma [0] 8" xfId="101" xr:uid="{00000000-0005-0000-0000-000092000000}"/>
    <cellStyle name="Comma [3]" xfId="102" xr:uid="{00000000-0005-0000-0000-000093000000}"/>
    <cellStyle name="Comma 10" xfId="103" xr:uid="{00000000-0005-0000-0000-000094000000}"/>
    <cellStyle name="Comma 10 2" xfId="104" xr:uid="{00000000-0005-0000-0000-000095000000}"/>
    <cellStyle name="Comma 10 3" xfId="105" xr:uid="{00000000-0005-0000-0000-000096000000}"/>
    <cellStyle name="Comma 11" xfId="106" xr:uid="{00000000-0005-0000-0000-000097000000}"/>
    <cellStyle name="Comma 12" xfId="107" xr:uid="{00000000-0005-0000-0000-000098000000}"/>
    <cellStyle name="Comma 13" xfId="108" xr:uid="{00000000-0005-0000-0000-000099000000}"/>
    <cellStyle name="Comma 15 2" xfId="109" xr:uid="{00000000-0005-0000-0000-00009A000000}"/>
    <cellStyle name="Comma 2" xfId="110" xr:uid="{00000000-0005-0000-0000-00009B000000}"/>
    <cellStyle name="Comma 2 2" xfId="111" xr:uid="{00000000-0005-0000-0000-00009C000000}"/>
    <cellStyle name="Comma 2 2 2" xfId="112" xr:uid="{00000000-0005-0000-0000-00009D000000}"/>
    <cellStyle name="Comma 2 2 3" xfId="113" xr:uid="{00000000-0005-0000-0000-00009E000000}"/>
    <cellStyle name="Comma 2 3" xfId="114" xr:uid="{00000000-0005-0000-0000-00009F000000}"/>
    <cellStyle name="Comma 2 3 2" xfId="115" xr:uid="{00000000-0005-0000-0000-0000A0000000}"/>
    <cellStyle name="Comma 2 4" xfId="116" xr:uid="{00000000-0005-0000-0000-0000A1000000}"/>
    <cellStyle name="Comma 2 5" xfId="117" xr:uid="{00000000-0005-0000-0000-0000A2000000}"/>
    <cellStyle name="Comma 2 6" xfId="118" xr:uid="{00000000-0005-0000-0000-0000A3000000}"/>
    <cellStyle name="Comma 25" xfId="119" xr:uid="{00000000-0005-0000-0000-0000A4000000}"/>
    <cellStyle name="Comma 27" xfId="120" xr:uid="{00000000-0005-0000-0000-0000A5000000}"/>
    <cellStyle name="Comma 3" xfId="121" xr:uid="{00000000-0005-0000-0000-0000A6000000}"/>
    <cellStyle name="Comma 3 2" xfId="122" xr:uid="{00000000-0005-0000-0000-0000A7000000}"/>
    <cellStyle name="Comma 3 3" xfId="123" xr:uid="{00000000-0005-0000-0000-0000A8000000}"/>
    <cellStyle name="Comma 4" xfId="124" xr:uid="{00000000-0005-0000-0000-0000A9000000}"/>
    <cellStyle name="Comma 4 2" xfId="125" xr:uid="{00000000-0005-0000-0000-0000AA000000}"/>
    <cellStyle name="Comma 4 3" xfId="126" xr:uid="{00000000-0005-0000-0000-0000AB000000}"/>
    <cellStyle name="Comma 40" xfId="127" xr:uid="{00000000-0005-0000-0000-0000AC000000}"/>
    <cellStyle name="Comma 40 2" xfId="128" xr:uid="{00000000-0005-0000-0000-0000AD000000}"/>
    <cellStyle name="Comma 41 3" xfId="129" xr:uid="{00000000-0005-0000-0000-0000AE000000}"/>
    <cellStyle name="Comma 5" xfId="130" xr:uid="{00000000-0005-0000-0000-0000AF000000}"/>
    <cellStyle name="Comma 6" xfId="131" xr:uid="{00000000-0005-0000-0000-0000B0000000}"/>
    <cellStyle name="Comma 6 17" xfId="132" xr:uid="{00000000-0005-0000-0000-0000B1000000}"/>
    <cellStyle name="Comma 6 17 2" xfId="133" xr:uid="{00000000-0005-0000-0000-0000B2000000}"/>
    <cellStyle name="Comma 6 2" xfId="134" xr:uid="{00000000-0005-0000-0000-0000B3000000}"/>
    <cellStyle name="Comma 6 2 2" xfId="135" xr:uid="{00000000-0005-0000-0000-0000B4000000}"/>
    <cellStyle name="Comma 6 3" xfId="136" xr:uid="{00000000-0005-0000-0000-0000B5000000}"/>
    <cellStyle name="Comma 6 4" xfId="137" xr:uid="{00000000-0005-0000-0000-0000B6000000}"/>
    <cellStyle name="Comma 6 5" xfId="138" xr:uid="{00000000-0005-0000-0000-0000B7000000}"/>
    <cellStyle name="Comma 6 6" xfId="139" xr:uid="{00000000-0005-0000-0000-0000B8000000}"/>
    <cellStyle name="Comma 6 7" xfId="140" xr:uid="{00000000-0005-0000-0000-0000B9000000}"/>
    <cellStyle name="Comma 6 8" xfId="141" xr:uid="{00000000-0005-0000-0000-0000BA000000}"/>
    <cellStyle name="Comma 62" xfId="142" xr:uid="{00000000-0005-0000-0000-0000BB000000}"/>
    <cellStyle name="Comma 7" xfId="143" xr:uid="{00000000-0005-0000-0000-0000BC000000}"/>
    <cellStyle name="Comma 8" xfId="144" xr:uid="{00000000-0005-0000-0000-0000BD000000}"/>
    <cellStyle name="Comma 9" xfId="145" xr:uid="{00000000-0005-0000-0000-0000BE000000}"/>
    <cellStyle name="Comma0" xfId="146" xr:uid="{00000000-0005-0000-0000-0000BF000000}"/>
    <cellStyle name="Comma0 2" xfId="147" xr:uid="{00000000-0005-0000-0000-0000C0000000}"/>
    <cellStyle name="Comma0 3" xfId="148" xr:uid="{00000000-0005-0000-0000-0000C1000000}"/>
    <cellStyle name="Comma0 4" xfId="149" xr:uid="{00000000-0005-0000-0000-0000C2000000}"/>
    <cellStyle name="Comma0 5" xfId="150" xr:uid="{00000000-0005-0000-0000-0000C3000000}"/>
    <cellStyle name="Copied" xfId="151" xr:uid="{00000000-0005-0000-0000-0000C4000000}"/>
    <cellStyle name="Copied 2" xfId="152" xr:uid="{00000000-0005-0000-0000-0000C5000000}"/>
    <cellStyle name="CSI" xfId="153" xr:uid="{00000000-0005-0000-0000-0000C6000000}"/>
    <cellStyle name="Currency 2" xfId="154" xr:uid="{00000000-0005-0000-0000-0000C7000000}"/>
    <cellStyle name="Currency 2 2" xfId="155" xr:uid="{00000000-0005-0000-0000-0000C8000000}"/>
    <cellStyle name="Currency0" xfId="156" xr:uid="{00000000-0005-0000-0000-0000C9000000}"/>
    <cellStyle name="Currency0 2" xfId="157" xr:uid="{00000000-0005-0000-0000-0000CA000000}"/>
    <cellStyle name="Currency0 3" xfId="158" xr:uid="{00000000-0005-0000-0000-0000CB000000}"/>
    <cellStyle name="Currency0 4" xfId="159" xr:uid="{00000000-0005-0000-0000-0000CC000000}"/>
    <cellStyle name="Currency0 5" xfId="160" xr:uid="{00000000-0005-0000-0000-0000CD000000}"/>
    <cellStyle name="Date" xfId="161" xr:uid="{00000000-0005-0000-0000-0000CE000000}"/>
    <cellStyle name="Date 2" xfId="162" xr:uid="{00000000-0005-0000-0000-0000CF000000}"/>
    <cellStyle name="Date 3" xfId="163" xr:uid="{00000000-0005-0000-0000-0000D0000000}"/>
    <cellStyle name="Date 4" xfId="164" xr:uid="{00000000-0005-0000-0000-0000D1000000}"/>
    <cellStyle name="Date 5" xfId="165" xr:uid="{00000000-0005-0000-0000-0000D2000000}"/>
    <cellStyle name="Description" xfId="166" xr:uid="{00000000-0005-0000-0000-0000D3000000}"/>
    <cellStyle name="Description 2" xfId="167" xr:uid="{00000000-0005-0000-0000-0000D4000000}"/>
    <cellStyle name="Emphasis 1" xfId="168" xr:uid="{00000000-0005-0000-0000-0000D5000000}"/>
    <cellStyle name="Emphasis 2" xfId="169" xr:uid="{00000000-0005-0000-0000-0000D6000000}"/>
    <cellStyle name="Emphasis 3" xfId="170" xr:uid="{00000000-0005-0000-0000-0000D7000000}"/>
    <cellStyle name="Entered" xfId="171" xr:uid="{00000000-0005-0000-0000-0000D8000000}"/>
    <cellStyle name="Entered 2" xfId="172" xr:uid="{00000000-0005-0000-0000-0000D9000000}"/>
    <cellStyle name="Euro" xfId="173" xr:uid="{00000000-0005-0000-0000-0000DA000000}"/>
    <cellStyle name="Explanatory Text 2" xfId="174" xr:uid="{00000000-0005-0000-0000-0000DB000000}"/>
    <cellStyle name="ƒ" xfId="175" xr:uid="{00000000-0005-0000-0000-0000DC000000}"/>
    <cellStyle name="F2" xfId="176" xr:uid="{00000000-0005-0000-0000-0000DD000000}"/>
    <cellStyle name="F3" xfId="177" xr:uid="{00000000-0005-0000-0000-0000DE000000}"/>
    <cellStyle name="F4" xfId="178" xr:uid="{00000000-0005-0000-0000-0000DF000000}"/>
    <cellStyle name="F5" xfId="179" xr:uid="{00000000-0005-0000-0000-0000E0000000}"/>
    <cellStyle name="F6" xfId="180" xr:uid="{00000000-0005-0000-0000-0000E1000000}"/>
    <cellStyle name="F7" xfId="181" xr:uid="{00000000-0005-0000-0000-0000E2000000}"/>
    <cellStyle name="F8" xfId="182" xr:uid="{00000000-0005-0000-0000-0000E3000000}"/>
    <cellStyle name="Fixed" xfId="183" xr:uid="{00000000-0005-0000-0000-0000E4000000}"/>
    <cellStyle name="Fixed 2" xfId="184" xr:uid="{00000000-0005-0000-0000-0000E5000000}"/>
    <cellStyle name="Fixed 3" xfId="185" xr:uid="{00000000-0005-0000-0000-0000E6000000}"/>
    <cellStyle name="Fixed 4" xfId="186" xr:uid="{00000000-0005-0000-0000-0000E7000000}"/>
    <cellStyle name="Fixed 5" xfId="187" xr:uid="{00000000-0005-0000-0000-0000E8000000}"/>
    <cellStyle name="Foottitle" xfId="188" xr:uid="{00000000-0005-0000-0000-0000E9000000}"/>
    <cellStyle name="Foottitle 2" xfId="189" xr:uid="{00000000-0005-0000-0000-0000EA000000}"/>
    <cellStyle name="Good 2" xfId="190" xr:uid="{00000000-0005-0000-0000-0000EB000000}"/>
    <cellStyle name="Grey" xfId="191" xr:uid="{00000000-0005-0000-0000-0000EC000000}"/>
    <cellStyle name="Grey 2" xfId="192" xr:uid="{00000000-0005-0000-0000-0000ED000000}"/>
    <cellStyle name="Grey 2 2" xfId="193" xr:uid="{00000000-0005-0000-0000-0000EE000000}"/>
    <cellStyle name="Grey 3" xfId="194" xr:uid="{00000000-0005-0000-0000-0000EF000000}"/>
    <cellStyle name="Grey 4" xfId="195" xr:uid="{00000000-0005-0000-0000-0000F0000000}"/>
    <cellStyle name="Grey 5" xfId="196" xr:uid="{00000000-0005-0000-0000-0000F1000000}"/>
    <cellStyle name="Grey 6" xfId="197" xr:uid="{00000000-0005-0000-0000-0000F2000000}"/>
    <cellStyle name="header" xfId="198" xr:uid="{00000000-0005-0000-0000-0000F3000000}"/>
    <cellStyle name="Header1" xfId="199" xr:uid="{00000000-0005-0000-0000-0000F4000000}"/>
    <cellStyle name="Header1 2" xfId="200" xr:uid="{00000000-0005-0000-0000-0000F5000000}"/>
    <cellStyle name="Header2" xfId="201" xr:uid="{00000000-0005-0000-0000-0000F6000000}"/>
    <cellStyle name="Header2 2" xfId="202" xr:uid="{00000000-0005-0000-0000-0000F7000000}"/>
    <cellStyle name="Heading 1 2" xfId="203" xr:uid="{00000000-0005-0000-0000-0000F8000000}"/>
    <cellStyle name="Heading 2 2" xfId="204" xr:uid="{00000000-0005-0000-0000-0000F9000000}"/>
    <cellStyle name="Heading 3 2" xfId="205" xr:uid="{00000000-0005-0000-0000-0000FA000000}"/>
    <cellStyle name="Heading 4 2" xfId="206" xr:uid="{00000000-0005-0000-0000-0000FB000000}"/>
    <cellStyle name="Heading1" xfId="207" xr:uid="{00000000-0005-0000-0000-0000FC000000}"/>
    <cellStyle name="Heading2" xfId="208" xr:uid="{00000000-0005-0000-0000-0000FD000000}"/>
    <cellStyle name="HEADINGS" xfId="209" xr:uid="{00000000-0005-0000-0000-0000FE000000}"/>
    <cellStyle name="HEADINGSTOP" xfId="210" xr:uid="{00000000-0005-0000-0000-0000FF000000}"/>
    <cellStyle name="Hyperlink 2" xfId="211" xr:uid="{00000000-0005-0000-0000-000000010000}"/>
    <cellStyle name="Input [yellow]" xfId="212" xr:uid="{00000000-0005-0000-0000-000001010000}"/>
    <cellStyle name="Input [yellow] 2" xfId="213" xr:uid="{00000000-0005-0000-0000-000002010000}"/>
    <cellStyle name="Input [yellow] 2 2" xfId="214" xr:uid="{00000000-0005-0000-0000-000003010000}"/>
    <cellStyle name="Input [yellow] 3" xfId="215" xr:uid="{00000000-0005-0000-0000-000004010000}"/>
    <cellStyle name="Input [yellow] 4" xfId="216" xr:uid="{00000000-0005-0000-0000-000005010000}"/>
    <cellStyle name="Input [yellow] 5" xfId="217" xr:uid="{00000000-0005-0000-0000-000006010000}"/>
    <cellStyle name="Input [yellow] 6" xfId="218" xr:uid="{00000000-0005-0000-0000-000007010000}"/>
    <cellStyle name="Input 2" xfId="219" xr:uid="{00000000-0005-0000-0000-000008010000}"/>
    <cellStyle name="Input 3" xfId="220" xr:uid="{00000000-0005-0000-0000-000009010000}"/>
    <cellStyle name="Input 4" xfId="221" xr:uid="{00000000-0005-0000-0000-00000A010000}"/>
    <cellStyle name="k" xfId="222" xr:uid="{00000000-0005-0000-0000-00000B010000}"/>
    <cellStyle name="k 2" xfId="223" xr:uid="{00000000-0005-0000-0000-00000C010000}"/>
    <cellStyle name="k_BQ MEP1" xfId="224" xr:uid="{00000000-0005-0000-0000-00000D010000}"/>
    <cellStyle name="k_BQ MEP1 2" xfId="225" xr:uid="{00000000-0005-0000-0000-00000E010000}"/>
    <cellStyle name="L" xfId="226" xr:uid="{00000000-0005-0000-0000-00000F010000}"/>
    <cellStyle name="L 2" xfId="227" xr:uid="{00000000-0005-0000-0000-000010010000}"/>
    <cellStyle name="L_BQ MEP1" xfId="228" xr:uid="{00000000-0005-0000-0000-000011010000}"/>
    <cellStyle name="L_BQ MEP1 2" xfId="229" xr:uid="{00000000-0005-0000-0000-000012010000}"/>
    <cellStyle name="Length" xfId="230" xr:uid="{00000000-0005-0000-0000-000013010000}"/>
    <cellStyle name="Length 2" xfId="231" xr:uid="{00000000-0005-0000-0000-000014010000}"/>
    <cellStyle name="Linked Cell 2" xfId="232" xr:uid="{00000000-0005-0000-0000-000015010000}"/>
    <cellStyle name="M" xfId="233" xr:uid="{00000000-0005-0000-0000-000016010000}"/>
    <cellStyle name="m 2" xfId="234" xr:uid="{00000000-0005-0000-0000-000017010000}"/>
    <cellStyle name="m_02 COAL HANDLING FACILITY (12 JUNI 2007)" xfId="235" xr:uid="{00000000-0005-0000-0000-000018010000}"/>
    <cellStyle name="m_2183-ASEM-IFC-091029" xfId="236" xr:uid="{00000000-0005-0000-0000-000019010000}"/>
    <cellStyle name="m_2183-RAB-ARS-THP1-090901_asem-REVCS" xfId="237" xr:uid="{00000000-0005-0000-0000-00001A010000}"/>
    <cellStyle name="M_BQ MEP1" xfId="238" xr:uid="{00000000-0005-0000-0000-00001B010000}"/>
    <cellStyle name="M_BQ MEP1 2" xfId="239" xr:uid="{00000000-0005-0000-0000-00001C010000}"/>
    <cellStyle name="m_Loc_43 SDN Ujung Padang Rev B Mdl G1-E-M 071205" xfId="240" xr:uid="{00000000-0005-0000-0000-00001D010000}"/>
    <cellStyle name="m_Loc_43 SDN Ujung Padang Rev B Mdl G1-E-M 071205_2183-ASEM-IFC-091029" xfId="241" xr:uid="{00000000-0005-0000-0000-00001E010000}"/>
    <cellStyle name="m_Loc_43 SDN Ujung Padang Rev B Mdl G1-E-M 071205_2183-RAB-ARS-THP1-090901_asem-REVCS" xfId="242" xr:uid="{00000000-0005-0000-0000-00001F010000}"/>
    <cellStyle name="m_Loc_43 SDN Ujung Padang Rev B Mdl G1-E-M 071205_RAB-AHS - E - 091030 Kirim" xfId="243" xr:uid="{00000000-0005-0000-0000-000020010000}"/>
    <cellStyle name="m_RAB-AHS - E - 091030 Kirim" xfId="244" xr:uid="{00000000-0005-0000-0000-000021010000}"/>
    <cellStyle name="M-0" xfId="245" xr:uid="{00000000-0005-0000-0000-000022010000}"/>
    <cellStyle name="M-0 2" xfId="246" xr:uid="{00000000-0005-0000-0000-000023010000}"/>
    <cellStyle name="MainDescription" xfId="247" xr:uid="{00000000-0005-0000-0000-000024010000}"/>
    <cellStyle name="Measure" xfId="248" xr:uid="{00000000-0005-0000-0000-000025010000}"/>
    <cellStyle name="Measure 2" xfId="249" xr:uid="{00000000-0005-0000-0000-000026010000}"/>
    <cellStyle name="Milliers [0]_AR1194" xfId="250" xr:uid="{00000000-0005-0000-0000-000027010000}"/>
    <cellStyle name="Milliers_AR1194" xfId="251" xr:uid="{00000000-0005-0000-0000-000028010000}"/>
    <cellStyle name="m-o" xfId="252" xr:uid="{00000000-0005-0000-0000-000029010000}"/>
    <cellStyle name="m-o 2" xfId="253" xr:uid="{00000000-0005-0000-0000-00002A010000}"/>
    <cellStyle name="Monétaire [0]_AR1194" xfId="254" xr:uid="{00000000-0005-0000-0000-00002B010000}"/>
    <cellStyle name="Monétaire_AR1194" xfId="255" xr:uid="{00000000-0005-0000-0000-00002C010000}"/>
    <cellStyle name="n" xfId="256" xr:uid="{00000000-0005-0000-0000-00002D010000}"/>
    <cellStyle name="n 2" xfId="257" xr:uid="{00000000-0005-0000-0000-00002E010000}"/>
    <cellStyle name="n_BQ MEP1" xfId="258" xr:uid="{00000000-0005-0000-0000-00002F010000}"/>
    <cellStyle name="n_BQ MEP1 2" xfId="259" xr:uid="{00000000-0005-0000-0000-000030010000}"/>
    <cellStyle name="Neutral 2" xfId="260" xr:uid="{00000000-0005-0000-0000-000031010000}"/>
    <cellStyle name="Normal" xfId="0" builtinId="0"/>
    <cellStyle name="Normal - Style1" xfId="261" xr:uid="{00000000-0005-0000-0000-000032010000}"/>
    <cellStyle name="Normal - Style1 2" xfId="262" xr:uid="{00000000-0005-0000-0000-000033010000}"/>
    <cellStyle name="Normal - Style1 2 2" xfId="263" xr:uid="{00000000-0005-0000-0000-000034010000}"/>
    <cellStyle name="Normal - Style1 3" xfId="264" xr:uid="{00000000-0005-0000-0000-000035010000}"/>
    <cellStyle name="Normal - Style1 3 2" xfId="265" xr:uid="{00000000-0005-0000-0000-000036010000}"/>
    <cellStyle name="Normal - Style2" xfId="266" xr:uid="{00000000-0005-0000-0000-000037010000}"/>
    <cellStyle name="Normal - Style3" xfId="267" xr:uid="{00000000-0005-0000-0000-000038010000}"/>
    <cellStyle name="Normal - Style4" xfId="268" xr:uid="{00000000-0005-0000-0000-000039010000}"/>
    <cellStyle name="Normal - Style5" xfId="269" xr:uid="{00000000-0005-0000-0000-00003A010000}"/>
    <cellStyle name="Normal - Style6" xfId="270" xr:uid="{00000000-0005-0000-0000-00003B010000}"/>
    <cellStyle name="Normal - Style7" xfId="271" xr:uid="{00000000-0005-0000-0000-00003C010000}"/>
    <cellStyle name="Normal - Style8" xfId="272" xr:uid="{00000000-0005-0000-0000-00003D010000}"/>
    <cellStyle name="Normal 1" xfId="273" xr:uid="{00000000-0005-0000-0000-00003E010000}"/>
    <cellStyle name="Normal 10" xfId="274" xr:uid="{00000000-0005-0000-0000-00003F010000}"/>
    <cellStyle name="Normal 10 2" xfId="275" xr:uid="{00000000-0005-0000-0000-000040010000}"/>
    <cellStyle name="Normal 11" xfId="276" xr:uid="{00000000-0005-0000-0000-000041010000}"/>
    <cellStyle name="Normal 12" xfId="277" xr:uid="{00000000-0005-0000-0000-000042010000}"/>
    <cellStyle name="Normal 13" xfId="278" xr:uid="{00000000-0005-0000-0000-000043010000}"/>
    <cellStyle name="Normal 14" xfId="279" xr:uid="{00000000-0005-0000-0000-000044010000}"/>
    <cellStyle name="Normal 15" xfId="280" xr:uid="{00000000-0005-0000-0000-000045010000}"/>
    <cellStyle name="Normal 16" xfId="281" xr:uid="{00000000-0005-0000-0000-000046010000}"/>
    <cellStyle name="Normal 19" xfId="282" xr:uid="{00000000-0005-0000-0000-000047010000}"/>
    <cellStyle name="Normal 2" xfId="283" xr:uid="{00000000-0005-0000-0000-000048010000}"/>
    <cellStyle name="Normal 2 2" xfId="284" xr:uid="{00000000-0005-0000-0000-000049010000}"/>
    <cellStyle name="Normal 2 2 2" xfId="285" xr:uid="{00000000-0005-0000-0000-00004A010000}"/>
    <cellStyle name="Normal 2 2 3" xfId="286" xr:uid="{00000000-0005-0000-0000-00004B010000}"/>
    <cellStyle name="Normal 2 2 3 2" xfId="287" xr:uid="{00000000-0005-0000-0000-00004C010000}"/>
    <cellStyle name="Normal 2 3" xfId="288" xr:uid="{00000000-0005-0000-0000-00004D010000}"/>
    <cellStyle name="Normal 2 3 2" xfId="289" xr:uid="{00000000-0005-0000-0000-00004E010000}"/>
    <cellStyle name="Normal 2 3 3" xfId="290" xr:uid="{00000000-0005-0000-0000-00004F010000}"/>
    <cellStyle name="Normal 2 4" xfId="291" xr:uid="{00000000-0005-0000-0000-000050010000}"/>
    <cellStyle name="Normal 2 5" xfId="292" xr:uid="{00000000-0005-0000-0000-000051010000}"/>
    <cellStyle name="Normal 2 6" xfId="293" xr:uid="{00000000-0005-0000-0000-000052010000}"/>
    <cellStyle name="Normal 23" xfId="294" xr:uid="{00000000-0005-0000-0000-000053010000}"/>
    <cellStyle name="Normal 24" xfId="295" xr:uid="{00000000-0005-0000-0000-000054010000}"/>
    <cellStyle name="Normal 3" xfId="296" xr:uid="{00000000-0005-0000-0000-000055010000}"/>
    <cellStyle name="Normal 3 2" xfId="297" xr:uid="{00000000-0005-0000-0000-000056010000}"/>
    <cellStyle name="Normal 3 3" xfId="298" xr:uid="{00000000-0005-0000-0000-000057010000}"/>
    <cellStyle name="Normal 4" xfId="299" xr:uid="{00000000-0005-0000-0000-000058010000}"/>
    <cellStyle name="Normal 4 2" xfId="300" xr:uid="{00000000-0005-0000-0000-000059010000}"/>
    <cellStyle name="Normal 4 2 2" xfId="301" xr:uid="{00000000-0005-0000-0000-00005A010000}"/>
    <cellStyle name="Normal 4 3" xfId="302" xr:uid="{00000000-0005-0000-0000-00005B010000}"/>
    <cellStyle name="Normal 4 4" xfId="303" xr:uid="{00000000-0005-0000-0000-00005C010000}"/>
    <cellStyle name="Normal 4 5" xfId="304" xr:uid="{00000000-0005-0000-0000-00005D010000}"/>
    <cellStyle name="Normal 4 6" xfId="305" xr:uid="{00000000-0005-0000-0000-00005E010000}"/>
    <cellStyle name="Normal 46" xfId="306" xr:uid="{00000000-0005-0000-0000-00005F010000}"/>
    <cellStyle name="Normal 5" xfId="307" xr:uid="{00000000-0005-0000-0000-000060010000}"/>
    <cellStyle name="Normal 5 2" xfId="308" xr:uid="{00000000-0005-0000-0000-000061010000}"/>
    <cellStyle name="Normal 5 6" xfId="309" xr:uid="{00000000-0005-0000-0000-000062010000}"/>
    <cellStyle name="Normal 6" xfId="310" xr:uid="{00000000-0005-0000-0000-000063010000}"/>
    <cellStyle name="Normal 6 2" xfId="311" xr:uid="{00000000-0005-0000-0000-000064010000}"/>
    <cellStyle name="Normal 7" xfId="312" xr:uid="{00000000-0005-0000-0000-000065010000}"/>
    <cellStyle name="Normal 7 2" xfId="313" xr:uid="{00000000-0005-0000-0000-000066010000}"/>
    <cellStyle name="Normal 8" xfId="314" xr:uid="{00000000-0005-0000-0000-000067010000}"/>
    <cellStyle name="Normal 8 2" xfId="315" xr:uid="{00000000-0005-0000-0000-000068010000}"/>
    <cellStyle name="Normal 9" xfId="316" xr:uid="{00000000-0005-0000-0000-000069010000}"/>
    <cellStyle name="Normal_BQ Lelang  PW &amp; MS - RSCM " xfId="317" xr:uid="{00000000-0005-0000-0000-00006A010000}"/>
    <cellStyle name="Normal_BQ-MC" xfId="318" xr:uid="{00000000-0005-0000-0000-00006B010000}"/>
    <cellStyle name="Normal_BQ-MC 2" xfId="319" xr:uid="{00000000-0005-0000-0000-00006C010000}"/>
    <cellStyle name="Normal_-material" xfId="320" xr:uid="{00000000-0005-0000-0000-00006D010000}"/>
    <cellStyle name="Normal_RAB-new-terbaru (klarifikasi)" xfId="321" xr:uid="{00000000-0005-0000-0000-00006E010000}"/>
    <cellStyle name="Normal1" xfId="322" xr:uid="{00000000-0005-0000-0000-00006F010000}"/>
    <cellStyle name="Normal2" xfId="323" xr:uid="{00000000-0005-0000-0000-000070010000}"/>
    <cellStyle name="Normal3" xfId="324" xr:uid="{00000000-0005-0000-0000-000071010000}"/>
    <cellStyle name="Note 2" xfId="325" xr:uid="{00000000-0005-0000-0000-000072010000}"/>
    <cellStyle name="note 3" xfId="326" xr:uid="{00000000-0005-0000-0000-000073010000}"/>
    <cellStyle name="Nr" xfId="327" xr:uid="{00000000-0005-0000-0000-000074010000}"/>
    <cellStyle name="Nr 2" xfId="328" xr:uid="{00000000-0005-0000-0000-000075010000}"/>
    <cellStyle name="Output 2" xfId="329" xr:uid="{00000000-0005-0000-0000-000076010000}"/>
    <cellStyle name="per.style" xfId="330" xr:uid="{00000000-0005-0000-0000-000077010000}"/>
    <cellStyle name="Percent" xfId="2" builtinId="5"/>
    <cellStyle name="Percent [2]" xfId="331" xr:uid="{00000000-0005-0000-0000-000078010000}"/>
    <cellStyle name="Percent [2] 2" xfId="332" xr:uid="{00000000-0005-0000-0000-000079010000}"/>
    <cellStyle name="Percent [2] 3" xfId="333" xr:uid="{00000000-0005-0000-0000-00007A010000}"/>
    <cellStyle name="Percent [2] 4" xfId="334" xr:uid="{00000000-0005-0000-0000-00007B010000}"/>
    <cellStyle name="Percent [2] 5" xfId="335" xr:uid="{00000000-0005-0000-0000-00007C010000}"/>
    <cellStyle name="Percent [2] 6" xfId="336" xr:uid="{00000000-0005-0000-0000-00007D010000}"/>
    <cellStyle name="Percent [2] 7" xfId="337" xr:uid="{00000000-0005-0000-0000-00007E010000}"/>
    <cellStyle name="Percent 2" xfId="338" xr:uid="{00000000-0005-0000-0000-00007F010000}"/>
    <cellStyle name="Percent 2 2" xfId="339" xr:uid="{00000000-0005-0000-0000-000080010000}"/>
    <cellStyle name="Percent 2 2 2" xfId="340" xr:uid="{00000000-0005-0000-0000-000081010000}"/>
    <cellStyle name="Percent 2 3" xfId="341" xr:uid="{00000000-0005-0000-0000-000082010000}"/>
    <cellStyle name="Percent 2 4" xfId="342" xr:uid="{00000000-0005-0000-0000-000083010000}"/>
    <cellStyle name="Percent 2 5" xfId="343" xr:uid="{00000000-0005-0000-0000-000084010000}"/>
    <cellStyle name="Percent 2 6" xfId="344" xr:uid="{00000000-0005-0000-0000-000085010000}"/>
    <cellStyle name="Percent 3" xfId="345" xr:uid="{00000000-0005-0000-0000-000086010000}"/>
    <cellStyle name="PERCENTAGE" xfId="346" xr:uid="{00000000-0005-0000-0000-000087010000}"/>
    <cellStyle name="pound_mu" xfId="347" xr:uid="{00000000-0005-0000-0000-000088010000}"/>
    <cellStyle name="Quantité" xfId="348" xr:uid="{00000000-0005-0000-0000-000089010000}"/>
    <cellStyle name="radika" xfId="349" xr:uid="{00000000-0005-0000-0000-00008A010000}"/>
    <cellStyle name="radikal" xfId="350" xr:uid="{00000000-0005-0000-0000-00008B010000}"/>
    <cellStyle name="Rate" xfId="351" xr:uid="{00000000-0005-0000-0000-00008C010000}"/>
    <cellStyle name="Rate 2" xfId="352" xr:uid="{00000000-0005-0000-0000-00008D010000}"/>
    <cellStyle name="RateBold" xfId="353" xr:uid="{00000000-0005-0000-0000-00008E010000}"/>
    <cellStyle name="RateBold 2" xfId="354" xr:uid="{00000000-0005-0000-0000-00008F010000}"/>
    <cellStyle name="regstoresfromspecstores" xfId="355" xr:uid="{00000000-0005-0000-0000-000090010000}"/>
    <cellStyle name="RevList" xfId="356" xr:uid="{00000000-0005-0000-0000-000091010000}"/>
    <cellStyle name="RevList 2" xfId="357" xr:uid="{00000000-0005-0000-0000-000092010000}"/>
    <cellStyle name="S/Titre" xfId="358" xr:uid="{00000000-0005-0000-0000-000093010000}"/>
    <cellStyle name="Section Title" xfId="359" xr:uid="{00000000-0005-0000-0000-000094010000}"/>
    <cellStyle name="Section Title 2" xfId="360" xr:uid="{00000000-0005-0000-0000-000095010000}"/>
    <cellStyle name="SHADEDSTORES" xfId="361" xr:uid="{00000000-0005-0000-0000-000096010000}"/>
    <cellStyle name="Sheet Title" xfId="362" xr:uid="{00000000-0005-0000-0000-000097010000}"/>
    <cellStyle name="specstores" xfId="363" xr:uid="{00000000-0005-0000-0000-000098010000}"/>
    <cellStyle name="Style 1" xfId="364" xr:uid="{00000000-0005-0000-0000-000099010000}"/>
    <cellStyle name="Style 1 2" xfId="365" xr:uid="{00000000-0005-0000-0000-00009A010000}"/>
    <cellStyle name="Style 1 3" xfId="366" xr:uid="{00000000-0005-0000-0000-00009B010000}"/>
    <cellStyle name="Subtitle" xfId="367" xr:uid="{00000000-0005-0000-0000-00009C010000}"/>
    <cellStyle name="Subtotal" xfId="368" xr:uid="{00000000-0005-0000-0000-00009D010000}"/>
    <cellStyle name="Subtotal 2" xfId="369" xr:uid="{00000000-0005-0000-0000-00009E010000}"/>
    <cellStyle name="sum" xfId="370" xr:uid="{00000000-0005-0000-0000-00009F010000}"/>
    <cellStyle name="sum 2" xfId="371" xr:uid="{00000000-0005-0000-0000-0000A0010000}"/>
    <cellStyle name="sum8" xfId="372" xr:uid="{00000000-0005-0000-0000-0000A1010000}"/>
    <cellStyle name="Summary_back" xfId="373" xr:uid="{00000000-0005-0000-0000-0000A2010000}"/>
    <cellStyle name="þ_x001d_ð+&amp;„ý›&amp;}ý_x000b__x0008__x0011__x000b_å_x000b__x0007__x0001__x0001_" xfId="374" xr:uid="{00000000-0005-0000-0000-0000A3010000}"/>
    <cellStyle name="þ_x001d_ð+&amp;„ý›&amp;}ý_x000b__x0008__x0011__x000b_å_x000b__x0007__x0001__x0001_?_x0002_ÿÿÿÿÿÿÿÿÿÿÿÿÿÿÿ_x0001_(_x0002_{_x000c_???ˆ_x001e_ÿÿÿÿ????_x0007_???????????????Í!Ë??????????           ?????           ?????????_x000d_????????????????????????????????????" xfId="375" xr:uid="{00000000-0005-0000-0000-0000A4010000}"/>
    <cellStyle name="Title 2" xfId="376" xr:uid="{00000000-0005-0000-0000-0000A5010000}"/>
    <cellStyle name="Title Row" xfId="377" xr:uid="{00000000-0005-0000-0000-0000A6010000}"/>
    <cellStyle name="Total 2" xfId="378" xr:uid="{00000000-0005-0000-0000-0000A7010000}"/>
    <cellStyle name="totalbold" xfId="379" xr:uid="{00000000-0005-0000-0000-0000A8010000}"/>
    <cellStyle name="uni" xfId="380" xr:uid="{00000000-0005-0000-0000-0000A9010000}"/>
    <cellStyle name="Unit" xfId="381" xr:uid="{00000000-0005-0000-0000-0000AA010000}"/>
    <cellStyle name="Unit 2" xfId="382" xr:uid="{00000000-0005-0000-0000-0000AB010000}"/>
    <cellStyle name="User_Defined_A" xfId="383" xr:uid="{00000000-0005-0000-0000-0000AC010000}"/>
    <cellStyle name="Warning Text 2" xfId="384" xr:uid="{00000000-0005-0000-0000-0000AD010000}"/>
    <cellStyle name="콤마 [0]_광양MATspec" xfId="385" xr:uid="{00000000-0005-0000-0000-0000AE010000}"/>
    <cellStyle name="콤마_광양MATspec" xfId="386" xr:uid="{00000000-0005-0000-0000-0000AF010000}"/>
    <cellStyle name="표준_arch-bm001" xfId="387" xr:uid="{00000000-0005-0000-0000-0000B0010000}"/>
  </cellStyles>
  <dxfs count="0"/>
  <tableStyles count="0" defaultTableStyle="TableStyleMedium2" defaultPivotStyle="PivotStyleLight16"/>
  <colors>
    <mruColors>
      <color rgb="FFF4FAEC"/>
      <color rgb="FFEBF6DE"/>
      <color rgb="FFFFFFF7"/>
      <color rgb="FFF6FB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0833138310321E-3"/>
          <c:y val="1.9804526347887999E-2"/>
          <c:w val="0.97758882087760002"/>
          <c:h val="0.96398624793324805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'KURVA-S'!$F$43:$AC$43</c:f>
              <c:numCache>
                <c:formatCode>0.00</c:formatCode>
                <c:ptCount val="24"/>
                <c:pt idx="0">
                  <c:v>0.04</c:v>
                </c:pt>
                <c:pt idx="1">
                  <c:v>0.12</c:v>
                </c:pt>
                <c:pt idx="2">
                  <c:v>0.28399999999999997</c:v>
                </c:pt>
                <c:pt idx="3">
                  <c:v>0.83799999999999997</c:v>
                </c:pt>
                <c:pt idx="4">
                  <c:v>3.5819999999999999</c:v>
                </c:pt>
                <c:pt idx="5">
                  <c:v>6.4459999999999997</c:v>
                </c:pt>
                <c:pt idx="6">
                  <c:v>9.4990000000000006</c:v>
                </c:pt>
                <c:pt idx="7">
                  <c:v>12.584727272727299</c:v>
                </c:pt>
                <c:pt idx="8">
                  <c:v>16.586454545454501</c:v>
                </c:pt>
                <c:pt idx="9">
                  <c:v>20.588181818181798</c:v>
                </c:pt>
                <c:pt idx="10">
                  <c:v>26.434909090909098</c:v>
                </c:pt>
                <c:pt idx="11">
                  <c:v>33.191482517482498</c:v>
                </c:pt>
                <c:pt idx="12">
                  <c:v>40.086389277389301</c:v>
                </c:pt>
                <c:pt idx="13">
                  <c:v>47.360841491841498</c:v>
                </c:pt>
                <c:pt idx="14">
                  <c:v>54.582293706293697</c:v>
                </c:pt>
                <c:pt idx="15">
                  <c:v>62.355968142968102</c:v>
                </c:pt>
                <c:pt idx="16">
                  <c:v>68.9646425796426</c:v>
                </c:pt>
                <c:pt idx="17">
                  <c:v>75.616174159174193</c:v>
                </c:pt>
                <c:pt idx="18">
                  <c:v>82.3629784659785</c:v>
                </c:pt>
                <c:pt idx="19">
                  <c:v>87.683782772782806</c:v>
                </c:pt>
                <c:pt idx="20">
                  <c:v>91.314587079587099</c:v>
                </c:pt>
                <c:pt idx="21">
                  <c:v>94.720391386391398</c:v>
                </c:pt>
                <c:pt idx="22">
                  <c:v>98.086195693195705</c:v>
                </c:pt>
                <c:pt idx="23">
                  <c:v>100.004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89-4F2F-B1AD-2AA183E0ED81}"/>
            </c:ext>
          </c:extLst>
        </c:ser>
        <c:ser>
          <c:idx val="2"/>
          <c:order val="1"/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'KURVA-S'!$F$45:$AC$45</c:f>
              <c:numCache>
                <c:formatCode>General</c:formatCode>
                <c:ptCount val="24"/>
                <c:pt idx="0">
                  <c:v>0.04</c:v>
                </c:pt>
                <c:pt idx="1">
                  <c:v>1.2</c:v>
                </c:pt>
                <c:pt idx="2" formatCode="0.00">
                  <c:v>1.38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89-4F2F-B1AD-2AA183E0ED8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7121887"/>
        <c:axId val="187118047"/>
      </c:lineChart>
      <c:catAx>
        <c:axId val="1871218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7118047"/>
        <c:crosses val="autoZero"/>
        <c:auto val="1"/>
        <c:lblAlgn val="ctr"/>
        <c:lblOffset val="100"/>
        <c:noMultiLvlLbl val="0"/>
      </c:catAx>
      <c:valAx>
        <c:axId val="18711804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87121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56209ea-1e70-483a-9f3f-afaf52aa535d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microsoft.com/office/2007/relationships/hdphoto" Target="../media/hdphoto1.wdp"/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eg"/><Relationship Id="rId2" Type="http://schemas.openxmlformats.org/officeDocument/2006/relationships/image" Target="../media/image4.png"/><Relationship Id="rId1" Type="http://schemas.openxmlformats.org/officeDocument/2006/relationships/image" Target="../media/image10.png"/><Relationship Id="rId5" Type="http://schemas.openxmlformats.org/officeDocument/2006/relationships/chart" Target="../charts/chart1.xml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jpeg"/><Relationship Id="rId3" Type="http://schemas.openxmlformats.org/officeDocument/2006/relationships/image" Target="../media/image14.jpeg"/><Relationship Id="rId7" Type="http://schemas.openxmlformats.org/officeDocument/2006/relationships/image" Target="../media/image18.jpeg"/><Relationship Id="rId2" Type="http://schemas.openxmlformats.org/officeDocument/2006/relationships/image" Target="../media/image13.jpeg"/><Relationship Id="rId1" Type="http://schemas.openxmlformats.org/officeDocument/2006/relationships/image" Target="../media/image12.jpeg"/><Relationship Id="rId6" Type="http://schemas.openxmlformats.org/officeDocument/2006/relationships/image" Target="../media/image17.jpeg"/><Relationship Id="rId5" Type="http://schemas.openxmlformats.org/officeDocument/2006/relationships/image" Target="../media/image16.jpeg"/><Relationship Id="rId4" Type="http://schemas.openxmlformats.org/officeDocument/2006/relationships/image" Target="../media/image1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99060</xdr:rowOff>
    </xdr:from>
    <xdr:to>
      <xdr:col>3</xdr:col>
      <xdr:colOff>0</xdr:colOff>
      <xdr:row>5</xdr:row>
      <xdr:rowOff>31921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7064188" y="457648"/>
          <a:ext cx="0" cy="470744"/>
          <a:chOff x="8282940" y="3444240"/>
          <a:chExt cx="1545222" cy="481501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3409" r="8684"/>
          <a:stretch>
            <a:fillRect/>
          </a:stretch>
        </xdr:blipFill>
        <xdr:spPr>
          <a:xfrm>
            <a:off x="8282940" y="3451191"/>
            <a:ext cx="731232" cy="4745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" name="Picture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3135"/>
          <a:stretch>
            <a:fillRect/>
          </a:stretch>
        </xdr:blipFill>
        <xdr:spPr>
          <a:xfrm>
            <a:off x="9044652" y="3444240"/>
            <a:ext cx="783510" cy="4745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2</xdr:col>
      <xdr:colOff>169006</xdr:colOff>
      <xdr:row>12</xdr:row>
      <xdr:rowOff>7621</xdr:rowOff>
    </xdr:from>
    <xdr:to>
      <xdr:col>2</xdr:col>
      <xdr:colOff>6306967</xdr:colOff>
      <xdr:row>34</xdr:row>
      <xdr:rowOff>147321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>
                  <a14:imgEffect>
                    <a14:backgroundRemoval t="14516" b="99597" l="1069" r="96947">
                      <a14:foregroundMark x1="11450" y1="37500" x2="11450" y2="37500"/>
                      <a14:foregroundMark x1="458" y1="55444" x2="9466" y2="54435"/>
                      <a14:foregroundMark x1="9466" y1="54435" x2="7634" y2="40323"/>
                      <a14:foregroundMark x1="7634" y1="40323" x2="17252" y2="31653"/>
                      <a14:foregroundMark x1="17252" y1="31653" x2="23206" y2="20766"/>
                      <a14:foregroundMark x1="23206" y1="20766" x2="34351" y2="20565"/>
                      <a14:foregroundMark x1="34351" y1="20565" x2="43217" y2="22780"/>
                      <a14:foregroundMark x1="63905" y1="33058" x2="72672" y2="37702"/>
                      <a14:foregroundMark x1="89313" y1="38710" x2="96336" y2="33266"/>
                      <a14:foregroundMark x1="94198" y1="69556" x2="91908" y2="80040"/>
                      <a14:foregroundMark x1="91908" y1="80040" x2="74198" y2="94758"/>
                      <a14:foregroundMark x1="74198" y1="94758" x2="35420" y2="96169"/>
                      <a14:foregroundMark x1="35420" y1="96169" x2="21374" y2="90121"/>
                      <a14:foregroundMark x1="21374" y1="90121" x2="19542" y2="84274"/>
                      <a14:foregroundMark x1="97252" y1="35081" x2="96794" y2="74597"/>
                      <a14:foregroundMark x1="96794" y1="74597" x2="82595" y2="85484"/>
                      <a14:foregroundMark x1="82595" y1="85484" x2="1221" y2="85081"/>
                      <a14:foregroundMark x1="1221" y1="85081" x2="2748" y2="58468"/>
                      <a14:foregroundMark x1="2290" y1="78024" x2="2748" y2="95766"/>
                      <a14:foregroundMark x1="12061" y1="91129" x2="6412" y2="99798"/>
                      <a14:foregroundMark x1="6412" y1="99798" x2="6412" y2="99597"/>
                      <a14:foregroundMark x1="92977" y1="96573" x2="96947" y2="82863"/>
                      <a14:foregroundMark x1="82595" y1="96976" x2="84580" y2="97379"/>
                      <a14:foregroundMark x1="19237" y1="95766" x2="19237" y2="95766"/>
                      <a14:foregroundMark x1="27023" y1="15121" x2="27023" y2="15121"/>
                      <a14:foregroundMark x1="27786" y1="16129" x2="37405" y2="20565"/>
                      <a14:foregroundMark x1="26412" y1="15726" x2="3664" y2="45968"/>
                      <a14:foregroundMark x1="26870" y1="14919" x2="25649" y2="14516"/>
                      <a14:foregroundMark x1="25191" y1="14919" x2="22137" y2="19355"/>
                      <a14:foregroundMark x1="21832" y1="19556" x2="15878" y2="27621"/>
                      <a14:foregroundMark x1="17099" y1="25806" x2="9160" y2="36492"/>
                      <a14:foregroundMark x1="3206" y1="43952" x2="7176" y2="39315"/>
                      <a14:foregroundMark x1="4885" y1="41532" x2="12061" y2="32460"/>
                      <a14:foregroundMark x1="4580" y1="42137" x2="3206" y2="43750"/>
                      <a14:foregroundMark x1="2748" y1="44153" x2="2137" y2="53226"/>
                      <a14:foregroundMark x1="53740" y1="28226" x2="53740" y2="28226"/>
                      <a14:foregroundMark x1="63359" y1="33266" x2="43664" y2="23790"/>
                      <a14:foregroundMark x1="91298" y1="33468" x2="87176" y2="41734"/>
                      <a14:foregroundMark x1="87176" y1="41734" x2="86412" y2="42540"/>
                      <a14:backgroundMark x1="63511" y1="32056" x2="62731" y2="31675"/>
                    </a14:backgroundRemoval>
                  </a14:imgEffect>
                </a14:imgLayer>
              </a14:imgProps>
            </a:ext>
          </a:extLst>
        </a:blip>
        <a:srcRect t="12945"/>
        <a:stretch>
          <a:fillRect/>
        </a:stretch>
      </xdr:blipFill>
      <xdr:spPr>
        <a:xfrm>
          <a:off x="778510" y="2236470"/>
          <a:ext cx="6137910" cy="4391660"/>
        </a:xfrm>
        <a:prstGeom prst="rect">
          <a:avLst/>
        </a:prstGeom>
      </xdr:spPr>
    </xdr:pic>
    <xdr:clientData/>
  </xdr:twoCellAnchor>
  <xdr:twoCellAnchor editAs="oneCell">
    <xdr:from>
      <xdr:col>2</xdr:col>
      <xdr:colOff>85912</xdr:colOff>
      <xdr:row>2</xdr:row>
      <xdr:rowOff>14181</xdr:rowOff>
    </xdr:from>
    <xdr:to>
      <xdr:col>2</xdr:col>
      <xdr:colOff>3248211</xdr:colOff>
      <xdr:row>5</xdr:row>
      <xdr:rowOff>53235</xdr:rowOff>
    </xdr:to>
    <xdr:pic>
      <xdr:nvPicPr>
        <xdr:cNvPr id="6" name="Picture 5" descr="Astra International – Kubik Leadership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5325" y="398780"/>
          <a:ext cx="3162300" cy="587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3317752</xdr:colOff>
      <xdr:row>2</xdr:row>
      <xdr:rowOff>734</xdr:rowOff>
    </xdr:from>
    <xdr:to>
      <xdr:col>2</xdr:col>
      <xdr:colOff>4116562</xdr:colOff>
      <xdr:row>5</xdr:row>
      <xdr:rowOff>80265</xdr:rowOff>
    </xdr:to>
    <xdr:pic>
      <xdr:nvPicPr>
        <xdr:cNvPr id="7" name="Picture 6" descr="Daihatsu Logo Meaning and History [Daihatsu symbol]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26840" y="385445"/>
          <a:ext cx="798830" cy="6280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5248068</xdr:colOff>
      <xdr:row>1</xdr:row>
      <xdr:rowOff>153147</xdr:rowOff>
    </xdr:from>
    <xdr:to>
      <xdr:col>2</xdr:col>
      <xdr:colOff>6357331</xdr:colOff>
      <xdr:row>5</xdr:row>
      <xdr:rowOff>99169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57240" y="345440"/>
          <a:ext cx="1109345" cy="687070"/>
        </a:xfrm>
        <a:prstGeom prst="rect">
          <a:avLst/>
        </a:prstGeom>
      </xdr:spPr>
    </xdr:pic>
    <xdr:clientData/>
  </xdr:twoCellAnchor>
  <xdr:twoCellAnchor>
    <xdr:from>
      <xdr:col>2</xdr:col>
      <xdr:colOff>215900</xdr:colOff>
      <xdr:row>6</xdr:row>
      <xdr:rowOff>25400</xdr:rowOff>
    </xdr:from>
    <xdr:to>
      <xdr:col>2</xdr:col>
      <xdr:colOff>6337300</xdr:colOff>
      <xdr:row>9</xdr:row>
      <xdr:rowOff>101600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25500" y="1141730"/>
          <a:ext cx="6121400" cy="624840"/>
        </a:xfrm>
        <a:prstGeom prst="rect">
          <a:avLst/>
        </a:prstGeom>
        <a:noFill/>
      </xdr:spPr>
      <xdr:txBody>
        <a:bodyPr wrap="square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2400" b="1">
              <a:solidFill>
                <a:srgbClr val="00B0F0"/>
              </a:solidFill>
              <a:latin typeface="Dutch801 XBd BT" panose="02020903060505020304" pitchFamily="18" charset="0"/>
            </a:rPr>
            <a:t>LAPORAN PROGRES MINGGUAN </a:t>
          </a:r>
        </a:p>
      </xdr:txBody>
    </xdr:sp>
    <xdr:clientData/>
  </xdr:twoCellAnchor>
  <xdr:twoCellAnchor>
    <xdr:from>
      <xdr:col>2</xdr:col>
      <xdr:colOff>4159624</xdr:colOff>
      <xdr:row>2</xdr:row>
      <xdr:rowOff>1</xdr:rowOff>
    </xdr:from>
    <xdr:to>
      <xdr:col>2</xdr:col>
      <xdr:colOff>4915921</xdr:colOff>
      <xdr:row>5</xdr:row>
      <xdr:rowOff>60708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duotone>
            <a:prstClr val="black"/>
            <a:prstClr val="black">
              <a:tint val="45000"/>
              <a:satMod val="400000"/>
            </a:prst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8850" y="384810"/>
          <a:ext cx="756285" cy="608965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1075507</xdr:colOff>
      <xdr:row>59</xdr:row>
      <xdr:rowOff>8707</xdr:rowOff>
    </xdr:from>
    <xdr:to>
      <xdr:col>11</xdr:col>
      <xdr:colOff>103812</xdr:colOff>
      <xdr:row>71</xdr:row>
      <xdr:rowOff>17184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F0B160-1A9D-8FD6-6B84-13A89C1E90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76389" r="97376">
                      <a14:backgroundMark x1="83366" y1="67949" x2="83366" y2="67949"/>
                    </a14:backgroundRemoval>
                  </a14:imgEffect>
                </a14:imgLayer>
              </a14:imgProps>
            </a:ext>
          </a:extLst>
        </a:blip>
        <a:srcRect l="73766"/>
        <a:stretch/>
      </xdr:blipFill>
      <xdr:spPr>
        <a:xfrm>
          <a:off x="7750627" y="8172993"/>
          <a:ext cx="1262054" cy="2290122"/>
        </a:xfrm>
        <a:prstGeom prst="rect">
          <a:avLst/>
        </a:prstGeom>
      </xdr:spPr>
    </xdr:pic>
    <xdr:clientData/>
  </xdr:twoCellAnchor>
  <xdr:twoCellAnchor editAs="oneCell">
    <xdr:from>
      <xdr:col>16</xdr:col>
      <xdr:colOff>23447</xdr:colOff>
      <xdr:row>60</xdr:row>
      <xdr:rowOff>100000</xdr:rowOff>
    </xdr:from>
    <xdr:to>
      <xdr:col>16</xdr:col>
      <xdr:colOff>902928</xdr:colOff>
      <xdr:row>68</xdr:row>
      <xdr:rowOff>437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7F43AF-A01D-4417-A8AD-3C864DBFD9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402" b="89744" l="15842" r="97228">
                      <a14:foregroundMark x1="25743" y1="55556" x2="25743" y2="55556"/>
                      <a14:foregroundMark x1="26733" y1="66239" x2="26733" y2="66239"/>
                      <a14:foregroundMark x1="27098" y1="70739" x2="27129" y2="70940"/>
                      <a14:foregroundMark x1="24554" y1="61966" x2="21584" y2="57265"/>
                      <a14:foregroundMark x1="22376" y1="36752" x2="18020" y2="17094"/>
                      <a14:foregroundMark x1="18020" y1="17094" x2="18020" y2="17094"/>
                      <a14:foregroundMark x1="15842" y1="29487" x2="21386" y2="55983"/>
                      <a14:foregroundMark x1="19406" y1="55128" x2="19604" y2="55983"/>
                      <a14:foregroundMark x1="26139" y1="67521" x2="25545" y2="68803"/>
                      <a14:foregroundMark x1="24158" y1="73077" x2="23546" y2="75387"/>
                      <a14:backgroundMark x1="83366" y1="67949" x2="83366" y2="67949"/>
                      <a14:backgroundMark x1="84554" y1="35043" x2="84554" y2="35043"/>
                      <a14:backgroundMark x1="86139" y1="12821" x2="86139" y2="43590"/>
                      <a14:backgroundMark x1="86139" y1="43590" x2="84158" y2="52137"/>
                      <a14:backgroundMark x1="75644" y1="49145" x2="86931" y2="15385"/>
                      <a14:backgroundMark x1="86931" y1="15385" x2="84950" y2="43162"/>
                      <a14:backgroundMark x1="87723" y1="30769" x2="95842" y2="22650"/>
                      <a14:backgroundMark x1="84356" y1="52137" x2="85347" y2="59829"/>
                      <a14:backgroundMark x1="20396" y1="73932" x2="19604" y2="72650"/>
                      <a14:backgroundMark x1="26139" y1="73504" x2="26139" y2="73504"/>
                      <a14:backgroundMark x1="24950" y1="72650" x2="26535" y2="72650"/>
                      <a14:backgroundMark x1="29215" y1="72737" x2="39406" y2="75641"/>
                      <a14:backgroundMark x1="39406" y1="75641" x2="46733" y2="73077"/>
                      <a14:backgroundMark x1="22178" y1="72650" x2="21386" y2="73932"/>
                      <a14:backgroundMark x1="23168" y1="72650" x2="23168" y2="72650"/>
                    </a14:backgroundRemoval>
                  </a14:imgEffect>
                </a14:imgLayer>
              </a14:imgProps>
            </a:ext>
          </a:extLst>
        </a:blip>
        <a:srcRect l="13034" r="58183"/>
        <a:stretch/>
      </xdr:blipFill>
      <xdr:spPr>
        <a:xfrm>
          <a:off x="13481539" y="8440969"/>
          <a:ext cx="887101" cy="14587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441959</xdr:colOff>
      <xdr:row>0</xdr:row>
      <xdr:rowOff>7620</xdr:rowOff>
    </xdr:from>
    <xdr:to>
      <xdr:col>30</xdr:col>
      <xdr:colOff>0</xdr:colOff>
      <xdr:row>1</xdr:row>
      <xdr:rowOff>30480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pSpPr/>
      </xdr:nvGrpSpPr>
      <xdr:grpSpPr>
        <a:xfrm>
          <a:off x="13439502" y="7620"/>
          <a:ext cx="4032069" cy="610689"/>
          <a:chOff x="3962400" y="22887"/>
          <a:chExt cx="6069717" cy="559703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00000000-0008-0000-11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9018029" y="36578"/>
            <a:ext cx="1014088" cy="537176"/>
          </a:xfrm>
          <a:prstGeom prst="rect">
            <a:avLst/>
          </a:prstGeom>
        </xdr:spPr>
      </xdr:pic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00000000-0008-0000-1100-000005000000}"/>
              </a:ext>
            </a:extLst>
          </xdr:cNvPr>
          <xdr:cNvGrpSpPr/>
        </xdr:nvGrpSpPr>
        <xdr:grpSpPr>
          <a:xfrm>
            <a:off x="3962400" y="28575"/>
            <a:ext cx="3912556" cy="554015"/>
            <a:chOff x="913673" y="240824"/>
            <a:chExt cx="4067257" cy="612931"/>
          </a:xfrm>
        </xdr:grpSpPr>
        <xdr:pic>
          <xdr:nvPicPr>
            <xdr:cNvPr id="7" name="Picture 6" descr="Astra International – Kubik Leadership">
              <a:extLst>
                <a:ext uri="{FF2B5EF4-FFF2-40B4-BE49-F238E27FC236}">
                  <a16:creationId xmlns:a16="http://schemas.microsoft.com/office/drawing/2014/main" id="{00000000-0008-0000-1100-000007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>
            <a:xfrm>
              <a:off x="913673" y="240824"/>
              <a:ext cx="3162299" cy="56707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" name="Picture 7" descr="Daihatsu Logo Meaning and History [Daihatsu symbol]">
              <a:extLst>
                <a:ext uri="{FF2B5EF4-FFF2-40B4-BE49-F238E27FC236}">
                  <a16:creationId xmlns:a16="http://schemas.microsoft.com/office/drawing/2014/main" id="{00000000-0008-0000-1100-000008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>
            <a:xfrm>
              <a:off x="4182120" y="240824"/>
              <a:ext cx="798810" cy="61293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pic>
        <xdr:nvPicPr>
          <xdr:cNvPr id="6" name="Picture 5">
            <a:extLst>
              <a:ext uri="{FF2B5EF4-FFF2-40B4-BE49-F238E27FC236}">
                <a16:creationId xmlns:a16="http://schemas.microsoft.com/office/drawing/2014/main" id="{00000000-0008-0000-11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prstClr val="black"/>
              <a:prstClr val="black">
                <a:tint val="45000"/>
                <a:satMod val="400000"/>
              </a:prst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881816" y="22887"/>
            <a:ext cx="1129353" cy="548613"/>
          </a:xfrm>
          <a:prstGeom prst="rect">
            <a:avLst/>
          </a:prstGeom>
          <a:solidFill>
            <a:schemeClr val="bg1"/>
          </a:solidFill>
        </xdr:spPr>
      </xdr:pic>
    </xdr:grpSp>
    <xdr:clientData/>
  </xdr:twoCellAnchor>
  <xdr:twoCellAnchor>
    <xdr:from>
      <xdr:col>5</xdr:col>
      <xdr:colOff>0</xdr:colOff>
      <xdr:row>9</xdr:row>
      <xdr:rowOff>60960</xdr:rowOff>
    </xdr:from>
    <xdr:to>
      <xdr:col>28</xdr:col>
      <xdr:colOff>457200</xdr:colOff>
      <xdr:row>9</xdr:row>
      <xdr:rowOff>144780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SpPr/>
      </xdr:nvSpPr>
      <xdr:spPr>
        <a:xfrm>
          <a:off x="5135880" y="2339340"/>
          <a:ext cx="11148060" cy="83820"/>
        </a:xfrm>
        <a:prstGeom prst="rect">
          <a:avLst/>
        </a:prstGeom>
        <a:solidFill>
          <a:schemeClr val="accent1">
            <a:alpha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16</xdr:col>
      <xdr:colOff>7620</xdr:colOff>
      <xdr:row>12</xdr:row>
      <xdr:rowOff>53340</xdr:rowOff>
    </xdr:from>
    <xdr:to>
      <xdr:col>28</xdr:col>
      <xdr:colOff>441960</xdr:colOff>
      <xdr:row>12</xdr:row>
      <xdr:rowOff>144780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1100-00000A000000}"/>
            </a:ext>
          </a:extLst>
        </xdr:cNvPr>
        <xdr:cNvSpPr/>
      </xdr:nvSpPr>
      <xdr:spPr>
        <a:xfrm>
          <a:off x="10256520" y="2880360"/>
          <a:ext cx="6012180" cy="91440"/>
        </a:xfrm>
        <a:prstGeom prst="rect">
          <a:avLst/>
        </a:prstGeom>
        <a:solidFill>
          <a:schemeClr val="accent1">
            <a:alpha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7</xdr:col>
      <xdr:colOff>39370</xdr:colOff>
      <xdr:row>14</xdr:row>
      <xdr:rowOff>40005</xdr:rowOff>
    </xdr:from>
    <xdr:to>
      <xdr:col>15</xdr:col>
      <xdr:colOff>458470</xdr:colOff>
      <xdr:row>14</xdr:row>
      <xdr:rowOff>123825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1100-00000B000000}"/>
            </a:ext>
          </a:extLst>
        </xdr:cNvPr>
        <xdr:cNvSpPr/>
      </xdr:nvSpPr>
      <xdr:spPr>
        <a:xfrm>
          <a:off x="6104890" y="3232785"/>
          <a:ext cx="4137660" cy="83820"/>
        </a:xfrm>
        <a:prstGeom prst="rect">
          <a:avLst/>
        </a:prstGeom>
        <a:solidFill>
          <a:schemeClr val="accent1">
            <a:alpha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23</xdr:col>
      <xdr:colOff>0</xdr:colOff>
      <xdr:row>17</xdr:row>
      <xdr:rowOff>45720</xdr:rowOff>
    </xdr:from>
    <xdr:to>
      <xdr:col>27</xdr:col>
      <xdr:colOff>441960</xdr:colOff>
      <xdr:row>17</xdr:row>
      <xdr:rowOff>137160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1100-00000C000000}"/>
            </a:ext>
          </a:extLst>
        </xdr:cNvPr>
        <xdr:cNvSpPr/>
      </xdr:nvSpPr>
      <xdr:spPr>
        <a:xfrm>
          <a:off x="13502640" y="3787140"/>
          <a:ext cx="2301240" cy="91440"/>
        </a:xfrm>
        <a:prstGeom prst="rect">
          <a:avLst/>
        </a:prstGeom>
        <a:solidFill>
          <a:schemeClr val="accent1">
            <a:alpha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17</xdr:col>
      <xdr:colOff>0</xdr:colOff>
      <xdr:row>18</xdr:row>
      <xdr:rowOff>45720</xdr:rowOff>
    </xdr:from>
    <xdr:to>
      <xdr:col>28</xdr:col>
      <xdr:colOff>449580</xdr:colOff>
      <xdr:row>18</xdr:row>
      <xdr:rowOff>144780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1100-00000D000000}"/>
            </a:ext>
          </a:extLst>
        </xdr:cNvPr>
        <xdr:cNvSpPr/>
      </xdr:nvSpPr>
      <xdr:spPr>
        <a:xfrm>
          <a:off x="10713720" y="3970020"/>
          <a:ext cx="5562600" cy="99060"/>
        </a:xfrm>
        <a:prstGeom prst="rect">
          <a:avLst/>
        </a:prstGeom>
        <a:solidFill>
          <a:schemeClr val="accent1">
            <a:alpha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21</xdr:col>
      <xdr:colOff>0</xdr:colOff>
      <xdr:row>19</xdr:row>
      <xdr:rowOff>60960</xdr:rowOff>
    </xdr:from>
    <xdr:to>
      <xdr:col>29</xdr:col>
      <xdr:colOff>0</xdr:colOff>
      <xdr:row>19</xdr:row>
      <xdr:rowOff>144780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SpPr/>
      </xdr:nvSpPr>
      <xdr:spPr>
        <a:xfrm>
          <a:off x="12573000" y="4168140"/>
          <a:ext cx="3718560" cy="83820"/>
        </a:xfrm>
        <a:prstGeom prst="rect">
          <a:avLst/>
        </a:prstGeom>
        <a:solidFill>
          <a:schemeClr val="accent1">
            <a:alpha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9</xdr:col>
      <xdr:colOff>15240</xdr:colOff>
      <xdr:row>21</xdr:row>
      <xdr:rowOff>45720</xdr:rowOff>
    </xdr:from>
    <xdr:to>
      <xdr:col>25</xdr:col>
      <xdr:colOff>0</xdr:colOff>
      <xdr:row>21</xdr:row>
      <xdr:rowOff>144780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1100-00000F000000}"/>
            </a:ext>
          </a:extLst>
        </xdr:cNvPr>
        <xdr:cNvSpPr/>
      </xdr:nvSpPr>
      <xdr:spPr>
        <a:xfrm>
          <a:off x="7010400" y="4518660"/>
          <a:ext cx="7421880" cy="99060"/>
        </a:xfrm>
        <a:prstGeom prst="rect">
          <a:avLst/>
        </a:prstGeom>
        <a:solidFill>
          <a:schemeClr val="accent1">
            <a:alpha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16</xdr:col>
      <xdr:colOff>7620</xdr:colOff>
      <xdr:row>26</xdr:row>
      <xdr:rowOff>45720</xdr:rowOff>
    </xdr:from>
    <xdr:to>
      <xdr:col>27</xdr:col>
      <xdr:colOff>434340</xdr:colOff>
      <xdr:row>26</xdr:row>
      <xdr:rowOff>129540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1100-000010000000}"/>
            </a:ext>
          </a:extLst>
        </xdr:cNvPr>
        <xdr:cNvSpPr/>
      </xdr:nvSpPr>
      <xdr:spPr>
        <a:xfrm>
          <a:off x="10256520" y="5433060"/>
          <a:ext cx="5539740" cy="83820"/>
        </a:xfrm>
        <a:prstGeom prst="rect">
          <a:avLst/>
        </a:prstGeom>
        <a:solidFill>
          <a:schemeClr val="accent1">
            <a:alpha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17</xdr:col>
      <xdr:colOff>457200</xdr:colOff>
      <xdr:row>27</xdr:row>
      <xdr:rowOff>53340</xdr:rowOff>
    </xdr:from>
    <xdr:to>
      <xdr:col>29</xdr:col>
      <xdr:colOff>22860</xdr:colOff>
      <xdr:row>27</xdr:row>
      <xdr:rowOff>129540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1100-000011000000}"/>
            </a:ext>
          </a:extLst>
        </xdr:cNvPr>
        <xdr:cNvSpPr/>
      </xdr:nvSpPr>
      <xdr:spPr>
        <a:xfrm>
          <a:off x="11170920" y="5623560"/>
          <a:ext cx="5143500" cy="76200"/>
        </a:xfrm>
        <a:prstGeom prst="rect">
          <a:avLst/>
        </a:prstGeom>
        <a:solidFill>
          <a:schemeClr val="accent1">
            <a:alpha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20</xdr:col>
      <xdr:colOff>0</xdr:colOff>
      <xdr:row>28</xdr:row>
      <xdr:rowOff>60960</xdr:rowOff>
    </xdr:from>
    <xdr:to>
      <xdr:col>29</xdr:col>
      <xdr:colOff>7620</xdr:colOff>
      <xdr:row>28</xdr:row>
      <xdr:rowOff>152400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1100-000012000000}"/>
            </a:ext>
          </a:extLst>
        </xdr:cNvPr>
        <xdr:cNvSpPr/>
      </xdr:nvSpPr>
      <xdr:spPr>
        <a:xfrm>
          <a:off x="12108180" y="5814060"/>
          <a:ext cx="4191000" cy="91440"/>
        </a:xfrm>
        <a:prstGeom prst="rect">
          <a:avLst/>
        </a:prstGeom>
        <a:solidFill>
          <a:schemeClr val="accent1">
            <a:alpha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23</xdr:col>
      <xdr:colOff>457200</xdr:colOff>
      <xdr:row>29</xdr:row>
      <xdr:rowOff>53340</xdr:rowOff>
    </xdr:from>
    <xdr:to>
      <xdr:col>29</xdr:col>
      <xdr:colOff>0</xdr:colOff>
      <xdr:row>29</xdr:row>
      <xdr:rowOff>144780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1100-000013000000}"/>
            </a:ext>
          </a:extLst>
        </xdr:cNvPr>
        <xdr:cNvSpPr/>
      </xdr:nvSpPr>
      <xdr:spPr>
        <a:xfrm>
          <a:off x="13959840" y="5989320"/>
          <a:ext cx="2331720" cy="91440"/>
        </a:xfrm>
        <a:prstGeom prst="rect">
          <a:avLst/>
        </a:prstGeom>
        <a:solidFill>
          <a:schemeClr val="accent1">
            <a:alpha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18</xdr:col>
      <xdr:colOff>22860</xdr:colOff>
      <xdr:row>31</xdr:row>
      <xdr:rowOff>60960</xdr:rowOff>
    </xdr:from>
    <xdr:to>
      <xdr:col>25</xdr:col>
      <xdr:colOff>449580</xdr:colOff>
      <xdr:row>31</xdr:row>
      <xdr:rowOff>144780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1100-000014000000}"/>
            </a:ext>
          </a:extLst>
        </xdr:cNvPr>
        <xdr:cNvSpPr/>
      </xdr:nvSpPr>
      <xdr:spPr>
        <a:xfrm>
          <a:off x="11201400" y="6362700"/>
          <a:ext cx="3680460" cy="83820"/>
        </a:xfrm>
        <a:prstGeom prst="rect">
          <a:avLst/>
        </a:prstGeom>
        <a:solidFill>
          <a:schemeClr val="accent1">
            <a:alpha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19</xdr:col>
      <xdr:colOff>22860</xdr:colOff>
      <xdr:row>32</xdr:row>
      <xdr:rowOff>53340</xdr:rowOff>
    </xdr:from>
    <xdr:to>
      <xdr:col>28</xdr:col>
      <xdr:colOff>434340</xdr:colOff>
      <xdr:row>32</xdr:row>
      <xdr:rowOff>160020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1100-000015000000}"/>
            </a:ext>
          </a:extLst>
        </xdr:cNvPr>
        <xdr:cNvSpPr/>
      </xdr:nvSpPr>
      <xdr:spPr>
        <a:xfrm>
          <a:off x="11666220" y="6537960"/>
          <a:ext cx="4594860" cy="106680"/>
        </a:xfrm>
        <a:prstGeom prst="rect">
          <a:avLst/>
        </a:prstGeom>
        <a:solidFill>
          <a:schemeClr val="accent1">
            <a:alpha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21</xdr:col>
      <xdr:colOff>15240</xdr:colOff>
      <xdr:row>33</xdr:row>
      <xdr:rowOff>53340</xdr:rowOff>
    </xdr:from>
    <xdr:to>
      <xdr:col>29</xdr:col>
      <xdr:colOff>22860</xdr:colOff>
      <xdr:row>33</xdr:row>
      <xdr:rowOff>160020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1100-000016000000}"/>
            </a:ext>
          </a:extLst>
        </xdr:cNvPr>
        <xdr:cNvSpPr/>
      </xdr:nvSpPr>
      <xdr:spPr>
        <a:xfrm>
          <a:off x="12588240" y="6720840"/>
          <a:ext cx="3726180" cy="106680"/>
        </a:xfrm>
        <a:prstGeom prst="rect">
          <a:avLst/>
        </a:prstGeom>
        <a:solidFill>
          <a:schemeClr val="accent1">
            <a:alpha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22</xdr:col>
      <xdr:colOff>22860</xdr:colOff>
      <xdr:row>34</xdr:row>
      <xdr:rowOff>60960</xdr:rowOff>
    </xdr:from>
    <xdr:to>
      <xdr:col>29</xdr:col>
      <xdr:colOff>15240</xdr:colOff>
      <xdr:row>34</xdr:row>
      <xdr:rowOff>152400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1100-000017000000}"/>
            </a:ext>
          </a:extLst>
        </xdr:cNvPr>
        <xdr:cNvSpPr/>
      </xdr:nvSpPr>
      <xdr:spPr>
        <a:xfrm>
          <a:off x="13060680" y="6911340"/>
          <a:ext cx="3246120" cy="91440"/>
        </a:xfrm>
        <a:prstGeom prst="rect">
          <a:avLst/>
        </a:prstGeom>
        <a:solidFill>
          <a:schemeClr val="accent1">
            <a:alpha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20</xdr:col>
      <xdr:colOff>7620</xdr:colOff>
      <xdr:row>36</xdr:row>
      <xdr:rowOff>53340</xdr:rowOff>
    </xdr:from>
    <xdr:to>
      <xdr:col>29</xdr:col>
      <xdr:colOff>0</xdr:colOff>
      <xdr:row>36</xdr:row>
      <xdr:rowOff>144780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1100-000018000000}"/>
            </a:ext>
          </a:extLst>
        </xdr:cNvPr>
        <xdr:cNvSpPr/>
      </xdr:nvSpPr>
      <xdr:spPr>
        <a:xfrm>
          <a:off x="12115800" y="7269480"/>
          <a:ext cx="4175760" cy="91440"/>
        </a:xfrm>
        <a:prstGeom prst="rect">
          <a:avLst/>
        </a:prstGeom>
        <a:solidFill>
          <a:schemeClr val="accent1">
            <a:alpha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23</xdr:col>
      <xdr:colOff>7620</xdr:colOff>
      <xdr:row>37</xdr:row>
      <xdr:rowOff>45720</xdr:rowOff>
    </xdr:from>
    <xdr:to>
      <xdr:col>27</xdr:col>
      <xdr:colOff>457200</xdr:colOff>
      <xdr:row>37</xdr:row>
      <xdr:rowOff>152400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1100-000019000000}"/>
            </a:ext>
          </a:extLst>
        </xdr:cNvPr>
        <xdr:cNvSpPr/>
      </xdr:nvSpPr>
      <xdr:spPr>
        <a:xfrm>
          <a:off x="13510260" y="7444740"/>
          <a:ext cx="2308860" cy="106680"/>
        </a:xfrm>
        <a:prstGeom prst="rect">
          <a:avLst/>
        </a:prstGeom>
        <a:solidFill>
          <a:schemeClr val="accent1">
            <a:alpha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7620</xdr:colOff>
      <xdr:row>39</xdr:row>
      <xdr:rowOff>68580</xdr:rowOff>
    </xdr:from>
    <xdr:to>
      <xdr:col>22</xdr:col>
      <xdr:colOff>441960</xdr:colOff>
      <xdr:row>39</xdr:row>
      <xdr:rowOff>160020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1100-00001A000000}"/>
            </a:ext>
          </a:extLst>
        </xdr:cNvPr>
        <xdr:cNvSpPr/>
      </xdr:nvSpPr>
      <xdr:spPr>
        <a:xfrm>
          <a:off x="8397240" y="7833360"/>
          <a:ext cx="5082540" cy="91440"/>
        </a:xfrm>
        <a:prstGeom prst="rect">
          <a:avLst/>
        </a:prstGeom>
        <a:solidFill>
          <a:schemeClr val="accent1">
            <a:alpha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283028</xdr:colOff>
      <xdr:row>3</xdr:row>
      <xdr:rowOff>185057</xdr:rowOff>
    </xdr:from>
    <xdr:to>
      <xdr:col>29</xdr:col>
      <xdr:colOff>32656</xdr:colOff>
      <xdr:row>40</xdr:row>
      <xdr:rowOff>130629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11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121633</xdr:colOff>
      <xdr:row>14</xdr:row>
      <xdr:rowOff>78441</xdr:rowOff>
    </xdr:from>
    <xdr:to>
      <xdr:col>4</xdr:col>
      <xdr:colOff>3056397</xdr:colOff>
      <xdr:row>25</xdr:row>
      <xdr:rowOff>112059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 txBox="1"/>
      </xdr:nvSpPr>
      <xdr:spPr>
        <a:xfrm>
          <a:off x="266065" y="2729865"/>
          <a:ext cx="3963670" cy="20548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id-ID" sz="8000"/>
        </a:p>
      </xdr:txBody>
    </xdr:sp>
    <xdr:clientData/>
  </xdr:twoCellAnchor>
  <xdr:twoCellAnchor>
    <xdr:from>
      <xdr:col>1</xdr:col>
      <xdr:colOff>121633</xdr:colOff>
      <xdr:row>29</xdr:row>
      <xdr:rowOff>71724</xdr:rowOff>
    </xdr:from>
    <xdr:to>
      <xdr:col>4</xdr:col>
      <xdr:colOff>3056397</xdr:colOff>
      <xdr:row>40</xdr:row>
      <xdr:rowOff>105343</xdr:rowOff>
    </xdr:to>
    <xdr:sp macro="" textlink="">
      <xdr:nvSpPr>
        <xdr:cNvPr id="3" name="TextBox 7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 txBox="1"/>
      </xdr:nvSpPr>
      <xdr:spPr>
        <a:xfrm>
          <a:off x="266065" y="5652770"/>
          <a:ext cx="3963670" cy="20548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id-ID" sz="8000"/>
        </a:p>
      </xdr:txBody>
    </xdr:sp>
    <xdr:clientData/>
  </xdr:twoCellAnchor>
  <xdr:twoCellAnchor>
    <xdr:from>
      <xdr:col>5</xdr:col>
      <xdr:colOff>179706</xdr:colOff>
      <xdr:row>29</xdr:row>
      <xdr:rowOff>85569</xdr:rowOff>
    </xdr:from>
    <xdr:to>
      <xdr:col>17</xdr:col>
      <xdr:colOff>177306</xdr:colOff>
      <xdr:row>40</xdr:row>
      <xdr:rowOff>119188</xdr:rowOff>
    </xdr:to>
    <xdr:sp macro="" textlink="">
      <xdr:nvSpPr>
        <xdr:cNvPr id="4" name="TextBox 8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SpPr txBox="1"/>
      </xdr:nvSpPr>
      <xdr:spPr>
        <a:xfrm>
          <a:off x="4553585" y="5666740"/>
          <a:ext cx="3959860" cy="20548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id-ID" sz="8000"/>
        </a:p>
      </xdr:txBody>
    </xdr:sp>
    <xdr:clientData/>
  </xdr:twoCellAnchor>
  <xdr:twoCellAnchor>
    <xdr:from>
      <xdr:col>1</xdr:col>
      <xdr:colOff>100853</xdr:colOff>
      <xdr:row>44</xdr:row>
      <xdr:rowOff>85537</xdr:rowOff>
    </xdr:from>
    <xdr:to>
      <xdr:col>4</xdr:col>
      <xdr:colOff>3035617</xdr:colOff>
      <xdr:row>55</xdr:row>
      <xdr:rowOff>119156</xdr:rowOff>
    </xdr:to>
    <xdr:sp macro="" textlink="">
      <xdr:nvSpPr>
        <xdr:cNvPr id="5" name="TextBox 47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SpPr txBox="1"/>
      </xdr:nvSpPr>
      <xdr:spPr>
        <a:xfrm>
          <a:off x="245110" y="8680450"/>
          <a:ext cx="3963670" cy="20548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id-ID" sz="8000"/>
        </a:p>
      </xdr:txBody>
    </xdr:sp>
    <xdr:clientData/>
  </xdr:twoCellAnchor>
  <xdr:twoCellAnchor>
    <xdr:from>
      <xdr:col>5</xdr:col>
      <xdr:colOff>174811</xdr:colOff>
      <xdr:row>44</xdr:row>
      <xdr:rowOff>94494</xdr:rowOff>
    </xdr:from>
    <xdr:to>
      <xdr:col>17</xdr:col>
      <xdr:colOff>172411</xdr:colOff>
      <xdr:row>55</xdr:row>
      <xdr:rowOff>128113</xdr:rowOff>
    </xdr:to>
    <xdr:sp macro="" textlink="">
      <xdr:nvSpPr>
        <xdr:cNvPr id="6" name="TextBox 48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SpPr txBox="1"/>
      </xdr:nvSpPr>
      <xdr:spPr>
        <a:xfrm>
          <a:off x="4548505" y="8689340"/>
          <a:ext cx="3959860" cy="20548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id-ID" sz="8000"/>
        </a:p>
      </xdr:txBody>
    </xdr:sp>
    <xdr:clientData/>
  </xdr:twoCellAnchor>
  <xdr:twoCellAnchor>
    <xdr:from>
      <xdr:col>1</xdr:col>
      <xdr:colOff>100853</xdr:colOff>
      <xdr:row>59</xdr:row>
      <xdr:rowOff>85537</xdr:rowOff>
    </xdr:from>
    <xdr:to>
      <xdr:col>4</xdr:col>
      <xdr:colOff>3035617</xdr:colOff>
      <xdr:row>70</xdr:row>
      <xdr:rowOff>119156</xdr:rowOff>
    </xdr:to>
    <xdr:sp macro="" textlink="">
      <xdr:nvSpPr>
        <xdr:cNvPr id="13" name="TextBox 47">
          <a:extLst>
            <a:ext uri="{FF2B5EF4-FFF2-40B4-BE49-F238E27FC236}">
              <a16:creationId xmlns:a16="http://schemas.microsoft.com/office/drawing/2014/main" id="{00000000-0008-0000-1300-00000D000000}"/>
            </a:ext>
          </a:extLst>
        </xdr:cNvPr>
        <xdr:cNvSpPr txBox="1"/>
      </xdr:nvSpPr>
      <xdr:spPr>
        <a:xfrm>
          <a:off x="245110" y="11579860"/>
          <a:ext cx="3963670" cy="20548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id-ID" sz="8000"/>
        </a:p>
      </xdr:txBody>
    </xdr:sp>
    <xdr:clientData/>
  </xdr:twoCellAnchor>
  <xdr:twoCellAnchor>
    <xdr:from>
      <xdr:col>5</xdr:col>
      <xdr:colOff>174811</xdr:colOff>
      <xdr:row>59</xdr:row>
      <xdr:rowOff>94494</xdr:rowOff>
    </xdr:from>
    <xdr:to>
      <xdr:col>17</xdr:col>
      <xdr:colOff>172411</xdr:colOff>
      <xdr:row>70</xdr:row>
      <xdr:rowOff>128113</xdr:rowOff>
    </xdr:to>
    <xdr:sp macro="" textlink="">
      <xdr:nvSpPr>
        <xdr:cNvPr id="14" name="TextBox 48">
          <a:extLst>
            <a:ext uri="{FF2B5EF4-FFF2-40B4-BE49-F238E27FC236}">
              <a16:creationId xmlns:a16="http://schemas.microsoft.com/office/drawing/2014/main" id="{00000000-0008-0000-1300-00000E000000}"/>
            </a:ext>
          </a:extLst>
        </xdr:cNvPr>
        <xdr:cNvSpPr txBox="1"/>
      </xdr:nvSpPr>
      <xdr:spPr>
        <a:xfrm>
          <a:off x="4548505" y="11588750"/>
          <a:ext cx="3959860" cy="20548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id-ID" sz="8000"/>
        </a:p>
      </xdr:txBody>
    </xdr:sp>
    <xdr:clientData/>
  </xdr:twoCellAnchor>
  <xdr:twoCellAnchor editAs="oneCell">
    <xdr:from>
      <xdr:col>1</xdr:col>
      <xdr:colOff>266699</xdr:colOff>
      <xdr:row>44</xdr:row>
      <xdr:rowOff>143220</xdr:rowOff>
    </xdr:from>
    <xdr:to>
      <xdr:col>4</xdr:col>
      <xdr:colOff>2843816</xdr:colOff>
      <xdr:row>55</xdr:row>
      <xdr:rowOff>83819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845" y="8738235"/>
          <a:ext cx="3606165" cy="1961515"/>
        </a:xfrm>
        <a:prstGeom prst="rect">
          <a:avLst/>
        </a:prstGeom>
      </xdr:spPr>
    </xdr:pic>
    <xdr:clientData/>
  </xdr:twoCellAnchor>
  <xdr:twoCellAnchor editAs="oneCell">
    <xdr:from>
      <xdr:col>5</xdr:col>
      <xdr:colOff>275049</xdr:colOff>
      <xdr:row>44</xdr:row>
      <xdr:rowOff>131530</xdr:rowOff>
    </xdr:from>
    <xdr:to>
      <xdr:col>11</xdr:col>
      <xdr:colOff>632460</xdr:colOff>
      <xdr:row>55</xdr:row>
      <xdr:rowOff>99060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835" y="8726805"/>
          <a:ext cx="3649345" cy="1988820"/>
        </a:xfrm>
        <a:prstGeom prst="rect">
          <a:avLst/>
        </a:prstGeom>
      </xdr:spPr>
    </xdr:pic>
    <xdr:clientData/>
  </xdr:twoCellAnchor>
  <xdr:twoCellAnchor editAs="oneCell">
    <xdr:from>
      <xdr:col>5</xdr:col>
      <xdr:colOff>277140</xdr:colOff>
      <xdr:row>59</xdr:row>
      <xdr:rowOff>123569</xdr:rowOff>
    </xdr:from>
    <xdr:to>
      <xdr:col>11</xdr:col>
      <xdr:colOff>591120</xdr:colOff>
      <xdr:row>70</xdr:row>
      <xdr:rowOff>117119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0740" y="11617960"/>
          <a:ext cx="3605530" cy="2014855"/>
        </a:xfrm>
        <a:prstGeom prst="rect">
          <a:avLst/>
        </a:prstGeom>
      </xdr:spPr>
    </xdr:pic>
    <xdr:clientData/>
  </xdr:twoCellAnchor>
  <xdr:twoCellAnchor editAs="oneCell">
    <xdr:from>
      <xdr:col>1</xdr:col>
      <xdr:colOff>259500</xdr:colOff>
      <xdr:row>59</xdr:row>
      <xdr:rowOff>105929</xdr:rowOff>
    </xdr:from>
    <xdr:to>
      <xdr:col>4</xdr:col>
      <xdr:colOff>2836620</xdr:colOff>
      <xdr:row>70</xdr:row>
      <xdr:rowOff>99479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860" y="11600180"/>
          <a:ext cx="3606165" cy="2014855"/>
        </a:xfrm>
        <a:prstGeom prst="rect">
          <a:avLst/>
        </a:prstGeom>
      </xdr:spPr>
    </xdr:pic>
    <xdr:clientData/>
  </xdr:twoCellAnchor>
  <xdr:twoCellAnchor editAs="oneCell">
    <xdr:from>
      <xdr:col>5</xdr:col>
      <xdr:colOff>279960</xdr:colOff>
      <xdr:row>29</xdr:row>
      <xdr:rowOff>118769</xdr:rowOff>
    </xdr:from>
    <xdr:to>
      <xdr:col>11</xdr:col>
      <xdr:colOff>593940</xdr:colOff>
      <xdr:row>40</xdr:row>
      <xdr:rowOff>112319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3280" y="5700395"/>
          <a:ext cx="3606165" cy="2014220"/>
        </a:xfrm>
        <a:prstGeom prst="rect">
          <a:avLst/>
        </a:prstGeom>
      </xdr:spPr>
    </xdr:pic>
    <xdr:clientData/>
  </xdr:twoCellAnchor>
  <xdr:twoCellAnchor editAs="oneCell">
    <xdr:from>
      <xdr:col>1</xdr:col>
      <xdr:colOff>277560</xdr:colOff>
      <xdr:row>29</xdr:row>
      <xdr:rowOff>93509</xdr:rowOff>
    </xdr:from>
    <xdr:to>
      <xdr:col>4</xdr:col>
      <xdr:colOff>2854680</xdr:colOff>
      <xdr:row>40</xdr:row>
      <xdr:rowOff>87059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275" y="5674995"/>
          <a:ext cx="3605530" cy="2014855"/>
        </a:xfrm>
        <a:prstGeom prst="rect">
          <a:avLst/>
        </a:prstGeom>
      </xdr:spPr>
    </xdr:pic>
    <xdr:clientData/>
  </xdr:twoCellAnchor>
  <xdr:twoCellAnchor editAs="oneCell">
    <xdr:from>
      <xdr:col>5</xdr:col>
      <xdr:colOff>282780</xdr:colOff>
      <xdr:row>14</xdr:row>
      <xdr:rowOff>68249</xdr:rowOff>
    </xdr:from>
    <xdr:to>
      <xdr:col>11</xdr:col>
      <xdr:colOff>596760</xdr:colOff>
      <xdr:row>25</xdr:row>
      <xdr:rowOff>61799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13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6455" y="2719705"/>
          <a:ext cx="3605530" cy="2014855"/>
        </a:xfrm>
        <a:prstGeom prst="rect">
          <a:avLst/>
        </a:prstGeom>
      </xdr:spPr>
    </xdr:pic>
    <xdr:clientData/>
  </xdr:twoCellAnchor>
  <xdr:twoCellAnchor editAs="oneCell">
    <xdr:from>
      <xdr:col>1</xdr:col>
      <xdr:colOff>295620</xdr:colOff>
      <xdr:row>14</xdr:row>
      <xdr:rowOff>42989</xdr:rowOff>
    </xdr:from>
    <xdr:to>
      <xdr:col>4</xdr:col>
      <xdr:colOff>2872740</xdr:colOff>
      <xdr:row>25</xdr:row>
      <xdr:rowOff>36539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13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055" y="2694305"/>
          <a:ext cx="3606165" cy="20148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4"/>
  <sheetViews>
    <sheetView topLeftCell="B32" zoomScale="85" zoomScaleNormal="85" workbookViewId="0">
      <selection activeCell="I35" sqref="I35"/>
    </sheetView>
  </sheetViews>
  <sheetFormatPr defaultColWidth="8.88671875" defaultRowHeight="14.4"/>
  <cols>
    <col min="1" max="1" width="8.88671875" style="2012" hidden="1" customWidth="1"/>
    <col min="2" max="2" width="8.88671875" style="2012"/>
    <col min="3" max="3" width="94.109375" style="2012" customWidth="1"/>
    <col min="4" max="16384" width="8.88671875" style="2012"/>
  </cols>
  <sheetData>
    <row r="2" spans="1:3">
      <c r="C2" s="2013"/>
    </row>
    <row r="3" spans="1:3">
      <c r="C3" s="2014"/>
    </row>
    <row r="4" spans="1:3">
      <c r="C4" s="2014"/>
    </row>
    <row r="5" spans="1:3">
      <c r="C5" s="2014"/>
    </row>
    <row r="6" spans="1:3">
      <c r="C6" s="2014"/>
    </row>
    <row r="7" spans="1:3">
      <c r="C7" s="2014"/>
    </row>
    <row r="8" spans="1:3">
      <c r="C8" s="2014"/>
    </row>
    <row r="9" spans="1:3">
      <c r="A9" s="2012" t="s">
        <v>0</v>
      </c>
      <c r="C9" s="2014"/>
    </row>
    <row r="10" spans="1:3">
      <c r="C10" s="2015" t="s">
        <v>1</v>
      </c>
    </row>
    <row r="11" spans="1:3">
      <c r="C11" s="2015" t="s">
        <v>2</v>
      </c>
    </row>
    <row r="12" spans="1:3" ht="15.6">
      <c r="C12" s="2016"/>
    </row>
    <row r="13" spans="1:3">
      <c r="C13" s="2017"/>
    </row>
    <row r="14" spans="1:3" ht="23.4">
      <c r="C14" s="2018"/>
    </row>
    <row r="15" spans="1:3" ht="23.4">
      <c r="C15" s="2018"/>
    </row>
    <row r="16" spans="1:3">
      <c r="C16" s="2014"/>
    </row>
    <row r="17" spans="3:3">
      <c r="C17" s="2019"/>
    </row>
    <row r="18" spans="3:3">
      <c r="C18" s="2014"/>
    </row>
    <row r="19" spans="3:3">
      <c r="C19" s="2014"/>
    </row>
    <row r="20" spans="3:3">
      <c r="C20" s="2014"/>
    </row>
    <row r="21" spans="3:3">
      <c r="C21" s="2014"/>
    </row>
    <row r="22" spans="3:3">
      <c r="C22" s="2014"/>
    </row>
    <row r="23" spans="3:3">
      <c r="C23" s="2014"/>
    </row>
    <row r="24" spans="3:3">
      <c r="C24" s="2014"/>
    </row>
    <row r="25" spans="3:3">
      <c r="C25" s="2014"/>
    </row>
    <row r="26" spans="3:3">
      <c r="C26" s="2014"/>
    </row>
    <row r="27" spans="3:3">
      <c r="C27" s="2014"/>
    </row>
    <row r="28" spans="3:3">
      <c r="C28" s="2014"/>
    </row>
    <row r="29" spans="3:3">
      <c r="C29" s="2014"/>
    </row>
    <row r="30" spans="3:3">
      <c r="C30" s="2014"/>
    </row>
    <row r="31" spans="3:3">
      <c r="C31" s="2014"/>
    </row>
    <row r="32" spans="3:3">
      <c r="C32" s="2014"/>
    </row>
    <row r="33" spans="3:3">
      <c r="C33" s="2014"/>
    </row>
    <row r="34" spans="3:3">
      <c r="C34" s="2014"/>
    </row>
    <row r="35" spans="3:3">
      <c r="C35" s="2014"/>
    </row>
    <row r="36" spans="3:3">
      <c r="C36" s="2014"/>
    </row>
    <row r="37" spans="3:3">
      <c r="C37" s="2014"/>
    </row>
    <row r="38" spans="3:3">
      <c r="C38" s="2014"/>
    </row>
    <row r="39" spans="3:3" ht="18">
      <c r="C39" s="2020" t="s">
        <v>1256</v>
      </c>
    </row>
    <row r="40" spans="3:3" ht="18">
      <c r="C40" s="2020" t="s">
        <v>1257</v>
      </c>
    </row>
    <row r="41" spans="3:3" ht="18">
      <c r="C41" s="2020"/>
    </row>
    <row r="42" spans="3:3">
      <c r="C42" s="2014"/>
    </row>
    <row r="43" spans="3:3">
      <c r="C43" s="2014"/>
    </row>
    <row r="44" spans="3:3">
      <c r="C44" s="202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T67"/>
  <sheetViews>
    <sheetView showGridLines="0" tabSelected="1" zoomScale="59" zoomScaleNormal="59" zoomScaleSheetLayoutView="85" zoomScalePageLayoutView="130" workbookViewId="0">
      <selection activeCell="X42" sqref="X42"/>
    </sheetView>
  </sheetViews>
  <sheetFormatPr defaultColWidth="8.33203125" defaultRowHeight="13.2"/>
  <cols>
    <col min="1" max="1" width="3" style="1887" customWidth="1"/>
    <col min="2" max="2" width="7.6640625" style="1888" customWidth="1"/>
    <col min="3" max="3" width="3.33203125" style="1888" customWidth="1"/>
    <col min="4" max="4" width="64.6640625" style="1888" customWidth="1"/>
    <col min="5" max="5" width="15.6640625" style="1888" hidden="1" customWidth="1"/>
    <col min="6" max="6" width="3" style="1888" hidden="1" customWidth="1"/>
    <col min="7" max="7" width="14.5546875" style="1889" customWidth="1"/>
    <col min="8" max="8" width="11.77734375" style="1887" hidden="1" customWidth="1"/>
    <col min="9" max="9" width="16.88671875" style="1887" customWidth="1"/>
    <col min="10" max="10" width="14.21875" style="1887" customWidth="1"/>
    <col min="11" max="11" width="14.21875" style="1887" hidden="1" customWidth="1"/>
    <col min="12" max="12" width="16.88671875" style="1887" customWidth="1"/>
    <col min="13" max="13" width="14.21875" style="1887" customWidth="1"/>
    <col min="14" max="14" width="14.21875" style="1887" hidden="1" customWidth="1"/>
    <col min="15" max="15" width="16.88671875" style="1887" customWidth="1"/>
    <col min="16" max="16" width="15.44140625" style="1887" customWidth="1"/>
    <col min="17" max="17" width="13.109375" style="1887" customWidth="1"/>
    <col min="18" max="16384" width="8.33203125" style="1887"/>
  </cols>
  <sheetData>
    <row r="1" spans="2:20" s="1267" customFormat="1" ht="16.2" customHeight="1">
      <c r="B1" s="1890" t="s">
        <v>3</v>
      </c>
      <c r="C1" s="1890"/>
      <c r="D1" s="1890"/>
      <c r="E1" s="1280" t="s">
        <v>4</v>
      </c>
      <c r="H1" s="1281"/>
      <c r="I1" s="1282"/>
      <c r="J1" s="1282"/>
      <c r="K1" s="1282"/>
      <c r="L1" s="1282"/>
      <c r="M1" s="1282"/>
      <c r="N1" s="1282"/>
      <c r="O1" s="1282"/>
      <c r="P1" s="1282"/>
      <c r="Q1" s="1282"/>
      <c r="R1" s="1281"/>
      <c r="S1" s="1281"/>
      <c r="T1" s="1281"/>
    </row>
    <row r="2" spans="2:20" s="1267" customFormat="1" ht="15" customHeight="1">
      <c r="B2" s="1773" t="s">
        <v>5</v>
      </c>
      <c r="E2" s="1283"/>
      <c r="F2" s="1284"/>
      <c r="G2" s="1284"/>
      <c r="H2" s="1284"/>
      <c r="I2" s="1284"/>
      <c r="J2" s="1284"/>
      <c r="K2" s="1284"/>
      <c r="L2" s="1284"/>
      <c r="M2" s="1284"/>
      <c r="N2" s="1284"/>
      <c r="O2" s="1284"/>
      <c r="P2" s="1283"/>
      <c r="Q2" s="1283"/>
    </row>
    <row r="3" spans="2:20" s="1267" customFormat="1" ht="15" customHeight="1">
      <c r="B3" s="1773" t="s">
        <v>6</v>
      </c>
      <c r="E3" s="1283"/>
      <c r="F3" s="1284"/>
      <c r="G3" s="1284"/>
      <c r="H3" s="1284"/>
      <c r="I3" s="1284"/>
      <c r="J3" s="1284"/>
      <c r="K3" s="1284"/>
      <c r="L3" s="1284"/>
      <c r="M3" s="1284"/>
      <c r="N3" s="1284"/>
      <c r="O3" s="1284"/>
      <c r="P3" s="1283"/>
      <c r="Q3" s="1283"/>
    </row>
    <row r="4" spans="2:20" s="1267" customFormat="1" ht="15" customHeight="1">
      <c r="B4" s="1773" t="s">
        <v>7</v>
      </c>
      <c r="E4" s="1283"/>
      <c r="F4" s="1284"/>
      <c r="G4" s="1284"/>
      <c r="H4" s="1284"/>
      <c r="I4" s="1284"/>
      <c r="J4" s="1284"/>
      <c r="K4" s="1284"/>
      <c r="L4" s="1284"/>
      <c r="M4" s="1284"/>
      <c r="N4" s="1284"/>
      <c r="O4" s="1284"/>
      <c r="P4" s="1283"/>
      <c r="Q4" s="1283"/>
    </row>
    <row r="5" spans="2:20" s="1267" customFormat="1" ht="15" customHeight="1">
      <c r="B5" s="1773" t="s">
        <v>8</v>
      </c>
      <c r="E5" s="1283"/>
      <c r="F5" s="1284"/>
      <c r="G5" s="1284"/>
      <c r="H5" s="1284"/>
      <c r="I5" s="1284"/>
      <c r="J5" s="1284"/>
      <c r="K5" s="1284"/>
      <c r="L5" s="1284"/>
      <c r="M5" s="1284"/>
      <c r="N5" s="1284"/>
      <c r="O5" s="1284"/>
      <c r="P5" s="1283"/>
      <c r="Q5" s="1283"/>
    </row>
    <row r="6" spans="2:20" s="1267" customFormat="1" ht="15" customHeight="1">
      <c r="B6" s="1773" t="s">
        <v>9</v>
      </c>
      <c r="E6" s="1283"/>
      <c r="F6" s="1284"/>
      <c r="G6" s="1284"/>
      <c r="H6" s="1284"/>
      <c r="I6" s="1284"/>
      <c r="J6" s="1284"/>
      <c r="K6" s="1284"/>
      <c r="L6" s="1284"/>
      <c r="M6" s="1284"/>
      <c r="N6" s="1284"/>
      <c r="O6" s="1284"/>
      <c r="P6" s="1283"/>
      <c r="Q6" s="1283"/>
    </row>
    <row r="7" spans="2:20" s="1758" customFormat="1" ht="7.2" customHeight="1">
      <c r="E7" s="1891"/>
      <c r="F7" s="1892"/>
      <c r="G7" s="1893"/>
      <c r="I7" s="1894"/>
      <c r="J7" s="1780"/>
    </row>
    <row r="8" spans="2:20" s="1883" customFormat="1" ht="7.2" customHeight="1">
      <c r="B8" s="1895"/>
      <c r="C8" s="1895"/>
      <c r="D8" s="1895"/>
      <c r="E8" s="1895"/>
      <c r="F8" s="1896"/>
      <c r="G8" s="1897"/>
      <c r="H8" s="1898"/>
      <c r="I8" s="1898"/>
    </row>
    <row r="9" spans="2:20" s="1884" customFormat="1" ht="14.4" customHeight="1">
      <c r="B9" s="2070" t="s">
        <v>10</v>
      </c>
      <c r="C9" s="2078" t="s">
        <v>11</v>
      </c>
      <c r="D9" s="2079"/>
      <c r="E9" s="1899" t="s">
        <v>12</v>
      </c>
      <c r="F9" s="2072" t="s">
        <v>13</v>
      </c>
      <c r="G9" s="2074" t="s">
        <v>14</v>
      </c>
      <c r="H9" s="1900"/>
      <c r="I9" s="2082" t="s">
        <v>15</v>
      </c>
      <c r="J9" s="2083"/>
      <c r="K9" s="1900"/>
      <c r="L9" s="2082" t="s">
        <v>16</v>
      </c>
      <c r="M9" s="2083"/>
      <c r="N9" s="1900"/>
      <c r="O9" s="2082" t="s">
        <v>17</v>
      </c>
      <c r="P9" s="2083"/>
      <c r="Q9" s="2076" t="s">
        <v>18</v>
      </c>
    </row>
    <row r="10" spans="2:20" s="1884" customFormat="1" ht="32.4" customHeight="1">
      <c r="B10" s="2071"/>
      <c r="C10" s="2080"/>
      <c r="D10" s="2081"/>
      <c r="E10" s="1901" t="s">
        <v>19</v>
      </c>
      <c r="F10" s="2073"/>
      <c r="G10" s="2075"/>
      <c r="H10" s="1301" t="s">
        <v>20</v>
      </c>
      <c r="I10" s="1902" t="s">
        <v>21</v>
      </c>
      <c r="J10" s="737" t="s">
        <v>14</v>
      </c>
      <c r="K10" s="1903" t="s">
        <v>20</v>
      </c>
      <c r="L10" s="1904" t="s">
        <v>21</v>
      </c>
      <c r="M10" s="1302" t="s">
        <v>14</v>
      </c>
      <c r="N10" s="1788" t="s">
        <v>20</v>
      </c>
      <c r="O10" s="1902" t="s">
        <v>21</v>
      </c>
      <c r="P10" s="851" t="s">
        <v>14</v>
      </c>
      <c r="Q10" s="2077"/>
    </row>
    <row r="11" spans="2:20" s="1885" customFormat="1" ht="11.4" customHeight="1">
      <c r="B11" s="1905"/>
      <c r="C11" s="1906"/>
      <c r="D11" s="1907"/>
      <c r="E11" s="1908"/>
      <c r="F11" s="1908"/>
      <c r="G11" s="1909"/>
      <c r="H11" s="1910"/>
      <c r="I11" s="1910"/>
      <c r="J11" s="1911"/>
      <c r="K11" s="1912"/>
      <c r="L11" s="1913"/>
      <c r="M11" s="1914"/>
      <c r="N11" s="1913"/>
      <c r="O11" s="1910"/>
      <c r="P11" s="1914"/>
      <c r="Q11" s="1915"/>
    </row>
    <row r="12" spans="2:20" ht="14.4" customHeight="1">
      <c r="B12" s="1916" t="s">
        <v>22</v>
      </c>
      <c r="C12" s="1917"/>
      <c r="D12" s="1918" t="str">
        <f>'I. PERSIAPAN'!D13</f>
        <v>PEKERJAAN PERSIAPAN</v>
      </c>
      <c r="E12" s="1919"/>
      <c r="F12" s="1919">
        <f>'I. PERSIAPAN'!I13</f>
        <v>1230270525.5999999</v>
      </c>
      <c r="G12" s="1920">
        <f>F12/F44</f>
        <v>0.1011811269871465</v>
      </c>
      <c r="H12" s="1921"/>
      <c r="I12" s="1922">
        <f>+J12*G12</f>
        <v>1.2159630726798405E-3</v>
      </c>
      <c r="J12" s="1923">
        <f>+'I. PERSIAPAN'!M38</f>
        <v>1.2017686587285293E-2</v>
      </c>
      <c r="K12" s="1924"/>
      <c r="L12" s="1925">
        <f>+M12*G12</f>
        <v>1.8451541552081074E-4</v>
      </c>
      <c r="M12" s="1926">
        <f>+'I. PERSIAPAN'!P38</f>
        <v>1.8236149469283E-3</v>
      </c>
      <c r="N12" s="1927"/>
      <c r="O12" s="1928">
        <f>+P12*G12</f>
        <v>1.4004784882006517E-3</v>
      </c>
      <c r="P12" s="1926">
        <f>+'I. PERSIAPAN'!S38</f>
        <v>1.3841301534213597E-2</v>
      </c>
      <c r="Q12" s="1929"/>
    </row>
    <row r="13" spans="2:20" ht="14.4" customHeight="1">
      <c r="B13" s="1916"/>
      <c r="C13" s="1917"/>
      <c r="D13" s="1918"/>
      <c r="E13" s="1919"/>
      <c r="F13" s="1919"/>
      <c r="G13" s="1930"/>
      <c r="H13" s="1921"/>
      <c r="I13" s="1922"/>
      <c r="J13" s="1923"/>
      <c r="K13" s="1924"/>
      <c r="L13" s="1927"/>
      <c r="M13" s="1931"/>
      <c r="N13" s="1927"/>
      <c r="O13" s="1921"/>
      <c r="P13" s="1931"/>
      <c r="Q13" s="1929"/>
    </row>
    <row r="14" spans="2:20" ht="14.4" customHeight="1">
      <c r="B14" s="1916" t="s">
        <v>23</v>
      </c>
      <c r="C14" s="1917"/>
      <c r="D14" s="1918" t="str">
        <f>'II.PEK. LUAR'!D11</f>
        <v>PEKERJAAN LUAR</v>
      </c>
      <c r="E14" s="1919"/>
      <c r="F14" s="1919">
        <f>SUM(E14:E20)</f>
        <v>1642995062.0762501</v>
      </c>
      <c r="G14" s="1920">
        <f>F14/F44</f>
        <v>0.13512482706526421</v>
      </c>
      <c r="H14" s="1921"/>
      <c r="I14" s="1922"/>
      <c r="J14" s="1923"/>
      <c r="K14" s="1924"/>
      <c r="L14" s="1927"/>
      <c r="M14" s="1931"/>
      <c r="N14" s="1927"/>
      <c r="O14" s="1921"/>
      <c r="P14" s="1931"/>
      <c r="Q14" s="1929"/>
    </row>
    <row r="15" spans="2:20" ht="14.4" customHeight="1">
      <c r="B15" s="1916"/>
      <c r="C15" s="1932" t="str">
        <f>'II.PEK. LUAR'!C13</f>
        <v>A</v>
      </c>
      <c r="D15" s="1933" t="str">
        <f>'II.PEK. LUAR'!D13</f>
        <v>PEKERJAAN BONGKARAN</v>
      </c>
      <c r="E15" s="1934">
        <f>'II.PEK. LUAR'!I13</f>
        <v>99063134.959999993</v>
      </c>
      <c r="F15" s="1919"/>
      <c r="G15" s="1930">
        <f>E15/F44</f>
        <v>8.1472484543545758E-3</v>
      </c>
      <c r="H15" s="1921"/>
      <c r="I15" s="1922">
        <f t="shared" ref="I15:I20" si="0">+J15*G15</f>
        <v>0</v>
      </c>
      <c r="J15" s="1923">
        <f>+'II.PEK. LUAR'!M13</f>
        <v>0</v>
      </c>
      <c r="K15" s="1924"/>
      <c r="L15" s="1925">
        <f t="shared" ref="L15:L20" si="1">+M15*G15</f>
        <v>0</v>
      </c>
      <c r="M15" s="1926">
        <f>+'I. PERSIAPAN'!P41</f>
        <v>0</v>
      </c>
      <c r="N15" s="1927"/>
      <c r="O15" s="1928">
        <f t="shared" ref="O15:O20" si="2">+P15*G15</f>
        <v>0</v>
      </c>
      <c r="P15" s="1926">
        <f>+'I. PERSIAPAN'!S41</f>
        <v>0</v>
      </c>
      <c r="Q15" s="1929"/>
    </row>
    <row r="16" spans="2:20" ht="14.4" customHeight="1">
      <c r="B16" s="1916"/>
      <c r="C16" s="1932" t="str">
        <f>'II.PEK. LUAR'!C14</f>
        <v>B</v>
      </c>
      <c r="D16" s="1933" t="str">
        <f>'II.PEK. LUAR'!D14</f>
        <v>PEKERJAAN SALURAN</v>
      </c>
      <c r="E16" s="1934">
        <f>'II.PEK. LUAR'!I14</f>
        <v>274745887.80000001</v>
      </c>
      <c r="F16" s="1919"/>
      <c r="G16" s="1930">
        <f>E16/F44</f>
        <v>2.2595923404025754E-2</v>
      </c>
      <c r="H16" s="1921"/>
      <c r="I16" s="1922">
        <f t="shared" si="0"/>
        <v>0</v>
      </c>
      <c r="J16" s="1923">
        <f>+'II.PEK. LUAR'!M14</f>
        <v>0</v>
      </c>
      <c r="K16" s="1924"/>
      <c r="L16" s="1925">
        <f t="shared" si="1"/>
        <v>0</v>
      </c>
      <c r="M16" s="1926">
        <f>+'I. PERSIAPAN'!P42</f>
        <v>0</v>
      </c>
      <c r="N16" s="1927"/>
      <c r="O16" s="1928">
        <f t="shared" si="2"/>
        <v>0</v>
      </c>
      <c r="P16" s="1926">
        <f>+'I. PERSIAPAN'!S42</f>
        <v>0</v>
      </c>
      <c r="Q16" s="1929"/>
    </row>
    <row r="17" spans="2:17" ht="14.4" customHeight="1">
      <c r="B17" s="1916"/>
      <c r="C17" s="1932" t="s">
        <v>24</v>
      </c>
      <c r="D17" s="1933" t="str">
        <f>'II.PEK. LUAR'!D15</f>
        <v>PEKERJAAN PAVING BLOCK, EX. LOKAL / SNI</v>
      </c>
      <c r="E17" s="1934">
        <f>'II.PEK. LUAR'!I15</f>
        <v>773081348</v>
      </c>
      <c r="F17" s="1919"/>
      <c r="G17" s="1930">
        <f>E17/F44</f>
        <v>6.3580521857364736E-2</v>
      </c>
      <c r="H17" s="1921"/>
      <c r="I17" s="1922">
        <f t="shared" si="0"/>
        <v>0</v>
      </c>
      <c r="J17" s="1923">
        <f>+'II.PEK. LUAR'!M15</f>
        <v>0</v>
      </c>
      <c r="K17" s="1924"/>
      <c r="L17" s="1925">
        <f t="shared" si="1"/>
        <v>0</v>
      </c>
      <c r="M17" s="1926">
        <f>+'I. PERSIAPAN'!P43</f>
        <v>0</v>
      </c>
      <c r="N17" s="1927"/>
      <c r="O17" s="1928">
        <f t="shared" si="2"/>
        <v>0</v>
      </c>
      <c r="P17" s="1926">
        <f>+'I. PERSIAPAN'!S43</f>
        <v>0</v>
      </c>
      <c r="Q17" s="1929"/>
    </row>
    <row r="18" spans="2:17" ht="14.4" customHeight="1">
      <c r="B18" s="1916"/>
      <c r="C18" s="1932" t="s">
        <v>25</v>
      </c>
      <c r="D18" s="1933" t="str">
        <f>'II.PEK. LUAR'!D16</f>
        <v>PEKERJAAN LAIN-LAIN</v>
      </c>
      <c r="E18" s="1934">
        <f>'II.PEK. LUAR'!I16</f>
        <v>64413739</v>
      </c>
      <c r="F18" s="1919"/>
      <c r="G18" s="1930">
        <f>E18/F44</f>
        <v>5.2975785161538877E-3</v>
      </c>
      <c r="H18" s="1921"/>
      <c r="I18" s="1922">
        <f t="shared" si="0"/>
        <v>0</v>
      </c>
      <c r="J18" s="1923">
        <f>+'II.PEK. LUAR'!M16</f>
        <v>0</v>
      </c>
      <c r="K18" s="1924"/>
      <c r="L18" s="1925">
        <f t="shared" si="1"/>
        <v>0</v>
      </c>
      <c r="M18" s="1926">
        <f>+'I. PERSIAPAN'!P44</f>
        <v>0</v>
      </c>
      <c r="N18" s="1927"/>
      <c r="O18" s="1928">
        <f t="shared" si="2"/>
        <v>0</v>
      </c>
      <c r="P18" s="1926">
        <f>+'I. PERSIAPAN'!S44</f>
        <v>0</v>
      </c>
      <c r="Q18" s="1929"/>
    </row>
    <row r="19" spans="2:17" ht="14.4" customHeight="1">
      <c r="B19" s="1916"/>
      <c r="C19" s="1932" t="s">
        <v>26</v>
      </c>
      <c r="D19" s="1933" t="s">
        <v>27</v>
      </c>
      <c r="E19" s="1934">
        <f>'REKAP ME'!C11</f>
        <v>202002013.93145099</v>
      </c>
      <c r="F19" s="1919"/>
      <c r="G19" s="1930">
        <f>E19/F44</f>
        <v>1.6613249686112355E-2</v>
      </c>
      <c r="H19" s="1921"/>
      <c r="I19" s="1922">
        <f t="shared" si="0"/>
        <v>0</v>
      </c>
      <c r="J19" s="1923">
        <f>+'I. Mek. Infrastruktur'!K59</f>
        <v>0</v>
      </c>
      <c r="K19" s="1924"/>
      <c r="L19" s="1925">
        <f t="shared" si="1"/>
        <v>0</v>
      </c>
      <c r="M19" s="1926">
        <f>+'I. PERSIAPAN'!P45</f>
        <v>0</v>
      </c>
      <c r="N19" s="1927"/>
      <c r="O19" s="1928">
        <f t="shared" si="2"/>
        <v>0</v>
      </c>
      <c r="P19" s="1926">
        <f>+'I. PERSIAPAN'!S45</f>
        <v>0</v>
      </c>
      <c r="Q19" s="1929"/>
    </row>
    <row r="20" spans="2:17" ht="14.4" customHeight="1">
      <c r="B20" s="1916"/>
      <c r="C20" s="1932" t="s">
        <v>28</v>
      </c>
      <c r="D20" s="1933" t="s">
        <v>29</v>
      </c>
      <c r="E20" s="1934">
        <f>'REKAP ME'!C12</f>
        <v>229688938.38479999</v>
      </c>
      <c r="F20" s="1919"/>
      <c r="G20" s="1930">
        <f>E20/F44</f>
        <v>1.8890305147252987E-2</v>
      </c>
      <c r="H20" s="1921"/>
      <c r="I20" s="1922">
        <f t="shared" si="0"/>
        <v>0</v>
      </c>
      <c r="J20" s="1923">
        <f>+'I. Elektrikal Infrastruktur'!K43</f>
        <v>0</v>
      </c>
      <c r="K20" s="1924"/>
      <c r="L20" s="1925">
        <f t="shared" si="1"/>
        <v>0</v>
      </c>
      <c r="M20" s="1926">
        <f>+'I. PERSIAPAN'!P46</f>
        <v>0</v>
      </c>
      <c r="N20" s="1927"/>
      <c r="O20" s="1928">
        <f t="shared" si="2"/>
        <v>0</v>
      </c>
      <c r="P20" s="1926">
        <f>+'I. PERSIAPAN'!S46</f>
        <v>0</v>
      </c>
      <c r="Q20" s="1929"/>
    </row>
    <row r="21" spans="2:17" ht="14.4" customHeight="1">
      <c r="B21" s="1916"/>
      <c r="C21" s="1917"/>
      <c r="D21" s="1935"/>
      <c r="E21" s="1936"/>
      <c r="F21" s="1919"/>
      <c r="G21" s="1930"/>
      <c r="H21" s="1921"/>
      <c r="I21" s="1922"/>
      <c r="J21" s="1923"/>
      <c r="K21" s="1924"/>
      <c r="L21" s="1927"/>
      <c r="M21" s="1931"/>
      <c r="N21" s="1927"/>
      <c r="O21" s="1921"/>
      <c r="P21" s="1931"/>
      <c r="Q21" s="1929"/>
    </row>
    <row r="22" spans="2:17" ht="14.4" customHeight="1">
      <c r="B22" s="1916" t="s">
        <v>30</v>
      </c>
      <c r="C22" s="1917"/>
      <c r="D22" s="1918" t="s">
        <v>31</v>
      </c>
      <c r="E22" s="1919"/>
      <c r="F22" s="1919">
        <f>SUM(E23:E28)</f>
        <v>8673079375.9810104</v>
      </c>
      <c r="G22" s="1920">
        <f>F22/F44</f>
        <v>0.71329998358105506</v>
      </c>
      <c r="H22" s="1921"/>
      <c r="I22" s="1922"/>
      <c r="J22" s="1923"/>
      <c r="K22" s="1924"/>
      <c r="L22" s="1927"/>
      <c r="M22" s="1931"/>
      <c r="N22" s="1927"/>
      <c r="O22" s="1921"/>
      <c r="P22" s="1931"/>
      <c r="Q22" s="1929"/>
    </row>
    <row r="23" spans="2:17" ht="14.4" customHeight="1">
      <c r="B23" s="1916"/>
      <c r="C23" s="1932" t="s">
        <v>32</v>
      </c>
      <c r="D23" s="1933" t="s">
        <v>33</v>
      </c>
      <c r="E23" s="1937">
        <f>'III.BODY REPAIR'!H25</f>
        <v>6124057504.68186</v>
      </c>
      <c r="F23" s="1919"/>
      <c r="G23" s="1930">
        <f>E23/F44</f>
        <v>0.50366080237158106</v>
      </c>
      <c r="H23" s="1921"/>
      <c r="I23" s="1922">
        <f t="shared" ref="I23:I27" si="3">+J23*G23</f>
        <v>0</v>
      </c>
      <c r="J23" s="1923">
        <f>+'I. PERSIAPAN'!M49</f>
        <v>0</v>
      </c>
      <c r="K23" s="1924"/>
      <c r="L23" s="1925">
        <f t="shared" ref="L23:L27" si="4">+M23*G23</f>
        <v>0</v>
      </c>
      <c r="M23" s="1926">
        <f>+'I. PERSIAPAN'!P49</f>
        <v>0</v>
      </c>
      <c r="N23" s="1927"/>
      <c r="O23" s="1928">
        <f t="shared" ref="O23:O27" si="5">+P23*G23</f>
        <v>0</v>
      </c>
      <c r="P23" s="1926">
        <f>+'I. PERSIAPAN'!S49</f>
        <v>0</v>
      </c>
      <c r="Q23" s="1929"/>
    </row>
    <row r="24" spans="2:17" ht="14.4" customHeight="1">
      <c r="B24" s="1916"/>
      <c r="C24" s="1932" t="s">
        <v>34</v>
      </c>
      <c r="D24" s="1933" t="s">
        <v>35</v>
      </c>
      <c r="E24" s="1937">
        <f>'III.BODY REPAIR'!H39</f>
        <v>1678292666.2149999</v>
      </c>
      <c r="F24" s="1919"/>
      <c r="G24" s="1930">
        <f>E24/F44</f>
        <v>0.13802780758246638</v>
      </c>
      <c r="H24" s="1921"/>
      <c r="I24" s="1922">
        <f t="shared" si="3"/>
        <v>0</v>
      </c>
      <c r="J24" s="1923">
        <f>+'I. PERSIAPAN'!M50</f>
        <v>0</v>
      </c>
      <c r="K24" s="1924"/>
      <c r="L24" s="1925">
        <f t="shared" si="4"/>
        <v>0</v>
      </c>
      <c r="M24" s="1926">
        <f>+'I. PERSIAPAN'!P50</f>
        <v>0</v>
      </c>
      <c r="N24" s="1927"/>
      <c r="O24" s="1928">
        <f t="shared" si="5"/>
        <v>0</v>
      </c>
      <c r="P24" s="1926">
        <f>+'I. PERSIAPAN'!S50</f>
        <v>0</v>
      </c>
      <c r="Q24" s="1929"/>
    </row>
    <row r="25" spans="2:17" ht="14.4" customHeight="1">
      <c r="B25" s="1916"/>
      <c r="C25" s="1932" t="s">
        <v>24</v>
      </c>
      <c r="D25" s="1933" t="s">
        <v>27</v>
      </c>
      <c r="E25" s="1934">
        <f>'REKAP ME'!C15</f>
        <v>380853441.87844598</v>
      </c>
      <c r="F25" s="1919"/>
      <c r="G25" s="1930">
        <f>E25/F44</f>
        <v>3.1322525952087933E-2</v>
      </c>
      <c r="H25" s="1921"/>
      <c r="I25" s="1922">
        <f t="shared" si="3"/>
        <v>0</v>
      </c>
      <c r="J25" s="1923">
        <f>+'I. PERSIAPAN'!M51</f>
        <v>0</v>
      </c>
      <c r="K25" s="1924"/>
      <c r="L25" s="1925">
        <f t="shared" si="4"/>
        <v>0</v>
      </c>
      <c r="M25" s="1926">
        <f>+'I. PERSIAPAN'!P51</f>
        <v>0</v>
      </c>
      <c r="N25" s="1927"/>
      <c r="O25" s="1928">
        <f t="shared" si="5"/>
        <v>0</v>
      </c>
      <c r="P25" s="1926">
        <f>+'I. PERSIAPAN'!S51</f>
        <v>0</v>
      </c>
      <c r="Q25" s="1929"/>
    </row>
    <row r="26" spans="2:17" ht="14.4" customHeight="1">
      <c r="B26" s="1916"/>
      <c r="C26" s="1932" t="s">
        <v>25</v>
      </c>
      <c r="D26" s="1933" t="s">
        <v>29</v>
      </c>
      <c r="E26" s="1934">
        <f>'REKAP ME'!C16</f>
        <v>469505545.75945401</v>
      </c>
      <c r="F26" s="1919"/>
      <c r="G26" s="1930">
        <f>E26/F44</f>
        <v>3.8613540077690404E-2</v>
      </c>
      <c r="H26" s="1921"/>
      <c r="I26" s="1922">
        <f t="shared" si="3"/>
        <v>0</v>
      </c>
      <c r="J26" s="1923">
        <f>+'I. PERSIAPAN'!M52</f>
        <v>0</v>
      </c>
      <c r="K26" s="1924"/>
      <c r="L26" s="1925">
        <f t="shared" si="4"/>
        <v>0</v>
      </c>
      <c r="M26" s="1926">
        <f>+'I. PERSIAPAN'!P52</f>
        <v>0</v>
      </c>
      <c r="N26" s="1927"/>
      <c r="O26" s="1928">
        <f t="shared" si="5"/>
        <v>0</v>
      </c>
      <c r="P26" s="1926">
        <f>+'I. PERSIAPAN'!S52</f>
        <v>0</v>
      </c>
      <c r="Q26" s="1929"/>
    </row>
    <row r="27" spans="2:17" ht="14.4" customHeight="1">
      <c r="B27" s="1916"/>
      <c r="C27" s="1932" t="s">
        <v>26</v>
      </c>
      <c r="D27" s="1933" t="s">
        <v>36</v>
      </c>
      <c r="E27" s="1934">
        <f>'REKAP ME'!C17</f>
        <v>20370217.446249999</v>
      </c>
      <c r="F27" s="1919"/>
      <c r="G27" s="1930">
        <f>E27/F44</f>
        <v>1.6753075972291735E-3</v>
      </c>
      <c r="H27" s="1921"/>
      <c r="I27" s="1922">
        <f t="shared" si="3"/>
        <v>0</v>
      </c>
      <c r="J27" s="1923">
        <f>+'I. PERSIAPAN'!M53</f>
        <v>0</v>
      </c>
      <c r="K27" s="1924"/>
      <c r="L27" s="1925">
        <f t="shared" si="4"/>
        <v>0</v>
      </c>
      <c r="M27" s="1926">
        <f>+'I. PERSIAPAN'!P53</f>
        <v>0</v>
      </c>
      <c r="N27" s="1927"/>
      <c r="O27" s="1928">
        <f t="shared" si="5"/>
        <v>0</v>
      </c>
      <c r="P27" s="1926">
        <f>+'I. PERSIAPAN'!S53</f>
        <v>0</v>
      </c>
      <c r="Q27" s="1929"/>
    </row>
    <row r="28" spans="2:17" ht="14.4" customHeight="1">
      <c r="B28" s="1916"/>
      <c r="C28" s="1917"/>
      <c r="D28" s="1918"/>
      <c r="E28" s="1936"/>
      <c r="F28" s="1919"/>
      <c r="G28" s="1930"/>
      <c r="H28" s="1921"/>
      <c r="I28" s="1922"/>
      <c r="J28" s="1923"/>
      <c r="K28" s="1924"/>
      <c r="L28" s="1927"/>
      <c r="M28" s="1931"/>
      <c r="N28" s="1927"/>
      <c r="O28" s="1921"/>
      <c r="P28" s="1931"/>
      <c r="Q28" s="1929"/>
    </row>
    <row r="29" spans="2:17" ht="14.4" customHeight="1">
      <c r="B29" s="1916" t="s">
        <v>37</v>
      </c>
      <c r="C29" s="1917"/>
      <c r="D29" s="1918" t="str">
        <f>'IV.GENERAL REPAIR'!E11</f>
        <v>PEKERJAAN BANGUNAN GENERAL REPAIR</v>
      </c>
      <c r="E29" s="1919"/>
      <c r="F29" s="1919">
        <f>SUM(E29:E34)</f>
        <v>420076289.17587602</v>
      </c>
      <c r="G29" s="1930">
        <f>F29/F44</f>
        <v>3.454833020458211E-2</v>
      </c>
      <c r="H29" s="1921"/>
      <c r="I29" s="1922"/>
      <c r="J29" s="1923"/>
      <c r="K29" s="1924"/>
      <c r="L29" s="1927"/>
      <c r="M29" s="1931"/>
      <c r="N29" s="1927"/>
      <c r="O29" s="1921"/>
      <c r="P29" s="1931"/>
      <c r="Q29" s="1929"/>
    </row>
    <row r="30" spans="2:17" ht="14.4" customHeight="1">
      <c r="B30" s="1916"/>
      <c r="C30" s="1932" t="s">
        <v>32</v>
      </c>
      <c r="D30" s="1933" t="s">
        <v>33</v>
      </c>
      <c r="E30" s="1937">
        <f>'IV.GENERAL REPAIR'!J19</f>
        <v>92303864.399855003</v>
      </c>
      <c r="F30" s="1919"/>
      <c r="G30" s="1930">
        <f>E30/F44</f>
        <v>7.5913458307808141E-3</v>
      </c>
      <c r="H30" s="1921"/>
      <c r="I30" s="1922">
        <f t="shared" ref="I30:I33" si="6">+J30*G30</f>
        <v>0</v>
      </c>
      <c r="J30" s="1923">
        <f>+'I. PERSIAPAN'!M56</f>
        <v>0</v>
      </c>
      <c r="K30" s="1924"/>
      <c r="L30" s="1925">
        <f t="shared" ref="L30:L33" si="7">+M30*G30</f>
        <v>0</v>
      </c>
      <c r="M30" s="1926">
        <f>+'I. PERSIAPAN'!P56</f>
        <v>0</v>
      </c>
      <c r="N30" s="1927"/>
      <c r="O30" s="1928">
        <f t="shared" ref="O30:O33" si="8">+P30*G30</f>
        <v>0</v>
      </c>
      <c r="P30" s="1926">
        <f>+'I. PERSIAPAN'!S56</f>
        <v>0</v>
      </c>
      <c r="Q30" s="1929"/>
    </row>
    <row r="31" spans="2:17" ht="14.4" customHeight="1">
      <c r="B31" s="1916"/>
      <c r="C31" s="1932" t="s">
        <v>34</v>
      </c>
      <c r="D31" s="1933" t="s">
        <v>35</v>
      </c>
      <c r="E31" s="1937">
        <f>'IV.GENERAL REPAIR'!J34</f>
        <v>263290546.499336</v>
      </c>
      <c r="F31" s="1919"/>
      <c r="G31" s="1930">
        <f>E31/F44</f>
        <v>2.1653801879771308E-2</v>
      </c>
      <c r="H31" s="1921"/>
      <c r="I31" s="1922">
        <f t="shared" si="6"/>
        <v>0</v>
      </c>
      <c r="J31" s="1923">
        <f>+'I. PERSIAPAN'!M57</f>
        <v>0</v>
      </c>
      <c r="K31" s="1924"/>
      <c r="L31" s="1925">
        <f t="shared" si="7"/>
        <v>0</v>
      </c>
      <c r="M31" s="1926">
        <f>+'I. PERSIAPAN'!P57</f>
        <v>0</v>
      </c>
      <c r="N31" s="1927"/>
      <c r="O31" s="1928">
        <f t="shared" si="8"/>
        <v>0</v>
      </c>
      <c r="P31" s="1926">
        <f>+'I. PERSIAPAN'!S57</f>
        <v>0</v>
      </c>
      <c r="Q31" s="1929"/>
    </row>
    <row r="32" spans="2:17" ht="14.4" customHeight="1">
      <c r="B32" s="1916"/>
      <c r="C32" s="1932" t="s">
        <v>24</v>
      </c>
      <c r="D32" s="1933" t="s">
        <v>27</v>
      </c>
      <c r="E32" s="1937">
        <f>'REKAP ME'!C20</f>
        <v>27712542.308010001</v>
      </c>
      <c r="F32" s="1919"/>
      <c r="G32" s="1930">
        <f>E32/F44</f>
        <v>2.2791623501147705E-3</v>
      </c>
      <c r="H32" s="1921"/>
      <c r="I32" s="1922">
        <f t="shared" si="6"/>
        <v>0</v>
      </c>
      <c r="J32" s="1923">
        <f>+'I. PERSIAPAN'!M58</f>
        <v>0</v>
      </c>
      <c r="K32" s="1924"/>
      <c r="L32" s="1925">
        <f t="shared" si="7"/>
        <v>0</v>
      </c>
      <c r="M32" s="1926">
        <f>+'I. PERSIAPAN'!P58</f>
        <v>0</v>
      </c>
      <c r="N32" s="1927"/>
      <c r="O32" s="1928">
        <f t="shared" si="8"/>
        <v>0</v>
      </c>
      <c r="P32" s="1926">
        <f>+'I. PERSIAPAN'!S58</f>
        <v>0</v>
      </c>
      <c r="Q32" s="1929"/>
    </row>
    <row r="33" spans="2:17" ht="14.4" customHeight="1">
      <c r="B33" s="1916"/>
      <c r="C33" s="1932" t="s">
        <v>25</v>
      </c>
      <c r="D33" s="1933" t="s">
        <v>29</v>
      </c>
      <c r="E33" s="1937">
        <f>'REKAP ME'!C21</f>
        <v>36769335.968675204</v>
      </c>
      <c r="F33" s="1919"/>
      <c r="G33" s="1930">
        <f>E33/F44</f>
        <v>3.0240201439152314E-3</v>
      </c>
      <c r="H33" s="1921"/>
      <c r="I33" s="1922">
        <f t="shared" si="6"/>
        <v>0</v>
      </c>
      <c r="J33" s="1923">
        <f>+'I. PERSIAPAN'!M59</f>
        <v>0</v>
      </c>
      <c r="K33" s="1924"/>
      <c r="L33" s="1925">
        <f t="shared" si="7"/>
        <v>0</v>
      </c>
      <c r="M33" s="1926">
        <f>+'I. PERSIAPAN'!P59</f>
        <v>0</v>
      </c>
      <c r="N33" s="1927"/>
      <c r="O33" s="1928">
        <f t="shared" si="8"/>
        <v>0</v>
      </c>
      <c r="P33" s="1926">
        <f>+'I. PERSIAPAN'!S59</f>
        <v>0</v>
      </c>
      <c r="Q33" s="1929"/>
    </row>
    <row r="34" spans="2:17" ht="14.4" customHeight="1">
      <c r="B34" s="1916"/>
      <c r="C34" s="1917"/>
      <c r="D34" s="1918"/>
      <c r="E34" s="1936"/>
      <c r="F34" s="1919"/>
      <c r="G34" s="1930"/>
      <c r="H34" s="1921"/>
      <c r="I34" s="1922"/>
      <c r="J34" s="1923"/>
      <c r="K34" s="1924"/>
      <c r="L34" s="1927"/>
      <c r="M34" s="1931"/>
      <c r="N34" s="1927"/>
      <c r="O34" s="1921"/>
      <c r="P34" s="1931"/>
      <c r="Q34" s="1929"/>
    </row>
    <row r="35" spans="2:17" ht="14.4" customHeight="1">
      <c r="B35" s="1916" t="s">
        <v>38</v>
      </c>
      <c r="C35" s="1917"/>
      <c r="D35" s="1918" t="str">
        <f>'V.OFFICE &amp; SHOWROOM'!E11</f>
        <v>PEKERJAAN BANGUNAN OFFICE &amp; SHOWROOM</v>
      </c>
      <c r="E35" s="1919"/>
      <c r="F35" s="1919">
        <f>SUM(E36:E37)</f>
        <v>148752298.54840699</v>
      </c>
      <c r="G35" s="1920">
        <f>F35/F44</f>
        <v>1.223383385675764E-2</v>
      </c>
      <c r="H35" s="1921"/>
      <c r="I35" s="1922"/>
      <c r="J35" s="1923"/>
      <c r="K35" s="1924"/>
      <c r="L35" s="1927"/>
      <c r="M35" s="1931"/>
      <c r="N35" s="1927"/>
      <c r="O35" s="1921"/>
      <c r="P35" s="1931"/>
      <c r="Q35" s="1929"/>
    </row>
    <row r="36" spans="2:17" ht="14.4" customHeight="1">
      <c r="B36" s="1916"/>
      <c r="C36" s="1932" t="s">
        <v>32</v>
      </c>
      <c r="D36" s="1933" t="s">
        <v>35</v>
      </c>
      <c r="E36" s="1937">
        <f>'V.OFFICE &amp; SHOWROOM'!J25</f>
        <v>135307890.5</v>
      </c>
      <c r="F36" s="1919"/>
      <c r="G36" s="1930">
        <f t="shared" ref="G36" si="9">E36/F53</f>
        <v>9.1967979949022935E-2</v>
      </c>
      <c r="H36" s="1921"/>
      <c r="I36" s="1922">
        <f t="shared" ref="I36:I37" si="10">+J36*G36</f>
        <v>0</v>
      </c>
      <c r="J36" s="1923">
        <f>+'I. PERSIAPAN'!M62</f>
        <v>0</v>
      </c>
      <c r="K36" s="1924"/>
      <c r="L36" s="1925">
        <f t="shared" ref="L36:L37" si="11">+M36*G36</f>
        <v>0</v>
      </c>
      <c r="M36" s="1926">
        <f>+'I. PERSIAPAN'!P62</f>
        <v>0</v>
      </c>
      <c r="N36" s="1927"/>
      <c r="O36" s="1928">
        <f t="shared" ref="O36:O37" si="12">+P36*G36</f>
        <v>0</v>
      </c>
      <c r="P36" s="1926">
        <f>+'I. PERSIAPAN'!S62</f>
        <v>0</v>
      </c>
      <c r="Q36" s="1929"/>
    </row>
    <row r="37" spans="2:17" ht="14.4" customHeight="1">
      <c r="B37" s="1916"/>
      <c r="C37" s="1932" t="s">
        <v>34</v>
      </c>
      <c r="D37" s="1933" t="s">
        <v>29</v>
      </c>
      <c r="E37" s="1937">
        <f>'REKAP ME'!C24</f>
        <v>13444408.048407201</v>
      </c>
      <c r="F37" s="1919"/>
      <c r="G37" s="1930">
        <f>E37/F44</f>
        <v>1.1057083216307068E-3</v>
      </c>
      <c r="H37" s="1921"/>
      <c r="I37" s="1922">
        <f t="shared" si="10"/>
        <v>0</v>
      </c>
      <c r="J37" s="1923">
        <f>+'I. PERSIAPAN'!M63</f>
        <v>0</v>
      </c>
      <c r="K37" s="1924"/>
      <c r="L37" s="1925">
        <f t="shared" si="11"/>
        <v>0</v>
      </c>
      <c r="M37" s="1926">
        <f>+'I. PERSIAPAN'!P63</f>
        <v>0</v>
      </c>
      <c r="N37" s="1927"/>
      <c r="O37" s="1928">
        <f t="shared" si="12"/>
        <v>0</v>
      </c>
      <c r="P37" s="1926">
        <f>+'I. PERSIAPAN'!S63</f>
        <v>0</v>
      </c>
      <c r="Q37" s="1929"/>
    </row>
    <row r="38" spans="2:17" ht="14.4" customHeight="1">
      <c r="B38" s="1916"/>
      <c r="C38" s="1917"/>
      <c r="D38" s="1918"/>
      <c r="E38" s="1936"/>
      <c r="F38" s="1919"/>
      <c r="G38" s="1930"/>
      <c r="H38" s="1921"/>
      <c r="I38" s="1922"/>
      <c r="J38" s="1923"/>
      <c r="K38" s="1924"/>
      <c r="L38" s="1927"/>
      <c r="M38" s="1931"/>
      <c r="N38" s="1927"/>
      <c r="O38" s="1921"/>
      <c r="P38" s="1931"/>
      <c r="Q38" s="1929"/>
    </row>
    <row r="39" spans="2:17" s="1886" customFormat="1" ht="14.4" customHeight="1">
      <c r="B39" s="1916" t="s">
        <v>39</v>
      </c>
      <c r="C39" s="1917"/>
      <c r="D39" s="1918" t="str">
        <f>'VI.KONDISI EXISTING'!D11</f>
        <v>PEKERJAAN KONDISI EXISTING</v>
      </c>
      <c r="E39" s="1919"/>
      <c r="F39" s="1919">
        <f>SUM(E40:E41)</f>
        <v>43917400</v>
      </c>
      <c r="G39" s="1920">
        <f>F39/F44</f>
        <v>3.6118983051944358E-3</v>
      </c>
      <c r="H39" s="1938"/>
      <c r="I39" s="1939"/>
      <c r="J39" s="1940"/>
      <c r="K39" s="1941"/>
      <c r="L39" s="1942"/>
      <c r="M39" s="1943"/>
      <c r="N39" s="1942"/>
      <c r="O39" s="1938"/>
      <c r="P39" s="1943"/>
      <c r="Q39" s="1944"/>
    </row>
    <row r="40" spans="2:17" s="1886" customFormat="1" ht="14.4" customHeight="1">
      <c r="B40" s="1916"/>
      <c r="C40" s="1932" t="s">
        <v>32</v>
      </c>
      <c r="D40" s="1933" t="s">
        <v>40</v>
      </c>
      <c r="E40" s="1937">
        <f>'VI.KONDISI EXISTING'!I18</f>
        <v>43917400</v>
      </c>
      <c r="F40" s="1919"/>
      <c r="G40" s="1930">
        <f>E40/F44</f>
        <v>3.6118983051944358E-3</v>
      </c>
      <c r="H40" s="1938"/>
      <c r="I40" s="1922">
        <f t="shared" ref="I40" si="13">+J40*G40</f>
        <v>0</v>
      </c>
      <c r="J40" s="1923">
        <f>+'I. PERSIAPAN'!M66</f>
        <v>0</v>
      </c>
      <c r="K40" s="1924"/>
      <c r="L40" s="1925">
        <f t="shared" ref="L40" si="14">+M40*G40</f>
        <v>0</v>
      </c>
      <c r="M40" s="1926">
        <f>+'I. PERSIAPAN'!P66</f>
        <v>0</v>
      </c>
      <c r="N40" s="1927"/>
      <c r="O40" s="1928">
        <f t="shared" ref="O40" si="15">+P40*G40</f>
        <v>0</v>
      </c>
      <c r="P40" s="1926">
        <f>+'I. PERSIAPAN'!S66</f>
        <v>0</v>
      </c>
      <c r="Q40" s="1944"/>
    </row>
    <row r="41" spans="2:17" s="1886" customFormat="1" ht="14.4" customHeight="1">
      <c r="B41" s="1945"/>
      <c r="C41" s="1946"/>
      <c r="D41" s="1947"/>
      <c r="E41" s="1948"/>
      <c r="F41" s="1949"/>
      <c r="G41" s="1950"/>
      <c r="H41" s="1951"/>
      <c r="I41" s="1952"/>
      <c r="J41" s="1953"/>
      <c r="K41" s="1954"/>
      <c r="L41" s="1955"/>
      <c r="M41" s="1956"/>
      <c r="N41" s="1955"/>
      <c r="O41" s="1951"/>
      <c r="P41" s="1957"/>
      <c r="Q41" s="1958"/>
    </row>
    <row r="42" spans="2:17" ht="19.8" customHeight="1">
      <c r="B42" s="2068" t="s">
        <v>41</v>
      </c>
      <c r="C42" s="2069"/>
      <c r="D42" s="2069"/>
      <c r="E42" s="1959"/>
      <c r="F42" s="1959"/>
      <c r="G42" s="1960">
        <f>G12+G14+G22+G29+G35+G39</f>
        <v>1</v>
      </c>
      <c r="H42" s="1961"/>
      <c r="I42" s="2257">
        <f>SUM(I12:I40)</f>
        <v>1.2159630726798405E-3</v>
      </c>
      <c r="J42" s="1962">
        <f>SUM(J12:J41)</f>
        <v>1.2017686587285293E-2</v>
      </c>
      <c r="K42" s="1963"/>
      <c r="L42" s="1962">
        <f>SUM(L12:L41)</f>
        <v>1.8451541552081074E-4</v>
      </c>
      <c r="M42" s="1962">
        <f>SUM(M12:M41)</f>
        <v>1.8236149469283E-3</v>
      </c>
      <c r="N42" s="1964"/>
      <c r="O42" s="1962">
        <f>SUM(O12:O41)</f>
        <v>1.4004784882006517E-3</v>
      </c>
      <c r="P42" s="1965">
        <f>SUM(P12:P41)</f>
        <v>1.3841301534213597E-2</v>
      </c>
      <c r="Q42" s="1966"/>
    </row>
    <row r="43" spans="2:17" ht="13.8" hidden="1" customHeight="1">
      <c r="B43" s="1967"/>
      <c r="C43" s="1968"/>
      <c r="D43" s="1969"/>
      <c r="E43" s="1970"/>
      <c r="F43" s="1971"/>
      <c r="G43" s="1972"/>
    </row>
    <row r="44" spans="2:17" ht="13.2" hidden="1" customHeight="1">
      <c r="B44" s="1973"/>
      <c r="C44" s="1974"/>
      <c r="D44" s="1975" t="s">
        <v>42</v>
      </c>
      <c r="E44" s="1976"/>
      <c r="F44" s="1977">
        <f>SUM(F12:F42)</f>
        <v>12159090951.381544</v>
      </c>
    </row>
    <row r="45" spans="2:17" ht="13.2" hidden="1" customHeight="1">
      <c r="B45" s="1973"/>
      <c r="C45" s="1974"/>
      <c r="D45" s="1975"/>
      <c r="E45" s="1976"/>
      <c r="F45" s="1977"/>
    </row>
    <row r="46" spans="2:17" ht="13.2" hidden="1" customHeight="1">
      <c r="B46" s="1973"/>
      <c r="C46" s="1974"/>
      <c r="D46" s="1975" t="s">
        <v>43</v>
      </c>
      <c r="E46" s="1978">
        <v>0.1</v>
      </c>
      <c r="F46" s="1977">
        <f>F44*E46</f>
        <v>1215909095.1381545</v>
      </c>
    </row>
    <row r="47" spans="2:17" ht="13.8" hidden="1" customHeight="1">
      <c r="B47" s="1973"/>
      <c r="C47" s="1974"/>
      <c r="D47" s="1975"/>
      <c r="E47" s="1979"/>
      <c r="F47" s="1980"/>
    </row>
    <row r="48" spans="2:17" ht="13.2" hidden="1" customHeight="1">
      <c r="B48" s="1973"/>
      <c r="C48" s="1974"/>
      <c r="D48" s="1975"/>
      <c r="E48" s="1978"/>
      <c r="F48" s="1977"/>
    </row>
    <row r="49" spans="2:17" ht="13.2" hidden="1" customHeight="1">
      <c r="B49" s="1973"/>
      <c r="C49" s="1974"/>
      <c r="D49" s="1975" t="s">
        <v>44</v>
      </c>
      <c r="E49" s="1978"/>
      <c r="F49" s="1977">
        <f>SUM(F44:F47)</f>
        <v>13375000046.519699</v>
      </c>
    </row>
    <row r="50" spans="2:17" ht="13.8" hidden="1" customHeight="1">
      <c r="B50" s="1973"/>
      <c r="C50" s="1974"/>
      <c r="D50" s="1975"/>
      <c r="E50" s="1978"/>
      <c r="F50" s="1977"/>
    </row>
    <row r="51" spans="2:17" ht="13.2" hidden="1" customHeight="1">
      <c r="B51" s="1973"/>
      <c r="C51" s="1974"/>
      <c r="D51" s="1975" t="s">
        <v>45</v>
      </c>
      <c r="E51" s="1978"/>
      <c r="F51" s="1977">
        <f>ROUNDDOWN(F49,-6)</f>
        <v>13375000000</v>
      </c>
    </row>
    <row r="52" spans="2:17" ht="13.2" hidden="1" customHeight="1">
      <c r="B52" s="1973"/>
      <c r="C52" s="1974"/>
      <c r="D52" s="1975"/>
      <c r="E52" s="1978"/>
      <c r="F52" s="1977"/>
    </row>
    <row r="53" spans="2:17" ht="13.8" hidden="1" customHeight="1">
      <c r="B53" s="1973"/>
      <c r="C53" s="1974"/>
      <c r="D53" s="1975" t="s">
        <v>46</v>
      </c>
      <c r="E53" s="1978">
        <v>0.11</v>
      </c>
      <c r="F53" s="1977">
        <f>E53*F51</f>
        <v>1471250000</v>
      </c>
    </row>
    <row r="54" spans="2:17" ht="13.8" hidden="1" customHeight="1">
      <c r="B54" s="1973"/>
      <c r="C54" s="1974"/>
      <c r="D54" s="1975"/>
      <c r="E54" s="1981"/>
      <c r="F54" s="1980"/>
    </row>
    <row r="55" spans="2:17" ht="13.2" hidden="1" customHeight="1">
      <c r="B55" s="1973"/>
      <c r="C55" s="1974"/>
      <c r="D55" s="1975"/>
      <c r="E55" s="1976"/>
      <c r="F55" s="1982"/>
    </row>
    <row r="56" spans="2:17" ht="13.2" hidden="1" customHeight="1">
      <c r="B56" s="1983"/>
      <c r="C56" s="1984"/>
      <c r="D56" s="1975" t="s">
        <v>47</v>
      </c>
      <c r="E56" s="1976"/>
      <c r="F56" s="1985">
        <f>SUM(F51:F53)</f>
        <v>14846250000</v>
      </c>
    </row>
    <row r="57" spans="2:17" ht="13.8" hidden="1" customHeight="1">
      <c r="B57" s="1986"/>
      <c r="C57" s="1987"/>
      <c r="D57" s="1988"/>
      <c r="E57" s="1989"/>
      <c r="F57" s="1990"/>
    </row>
    <row r="60" spans="2:17" ht="15.6">
      <c r="B60" s="1991"/>
      <c r="C60" s="1991"/>
      <c r="D60" s="1992"/>
      <c r="E60" s="1993"/>
      <c r="F60" s="1991"/>
      <c r="G60" s="1994"/>
      <c r="H60" s="1995"/>
      <c r="O60" s="1994"/>
      <c r="P60" s="1994"/>
      <c r="Q60" s="1996" t="s">
        <v>1258</v>
      </c>
    </row>
    <row r="61" spans="2:17" ht="15.6">
      <c r="B61" s="1997" t="s">
        <v>48</v>
      </c>
      <c r="C61" s="1997"/>
      <c r="D61" s="1997"/>
      <c r="E61" s="1993"/>
      <c r="F61" s="1991"/>
      <c r="G61" s="1994"/>
      <c r="H61" s="1995"/>
      <c r="O61" s="1998"/>
      <c r="P61" s="1998"/>
      <c r="Q61" s="1999" t="s">
        <v>49</v>
      </c>
    </row>
    <row r="62" spans="2:17" ht="15.6">
      <c r="B62" s="2000" t="s">
        <v>50</v>
      </c>
      <c r="C62" s="2000"/>
      <c r="D62" s="2000"/>
      <c r="E62" s="2001" t="s">
        <v>51</v>
      </c>
      <c r="F62" s="1991"/>
      <c r="G62" s="1994"/>
      <c r="H62" s="1995"/>
      <c r="J62" s="2002" t="s">
        <v>51</v>
      </c>
      <c r="K62" s="2003"/>
      <c r="L62" s="2003"/>
      <c r="O62" s="2003"/>
      <c r="P62" s="2003"/>
      <c r="Q62" s="2004" t="s">
        <v>51</v>
      </c>
    </row>
    <row r="63" spans="2:17" ht="15.6">
      <c r="B63" s="1991"/>
      <c r="C63" s="1991"/>
      <c r="D63" s="2005"/>
      <c r="E63" s="2006"/>
      <c r="F63" s="1991"/>
      <c r="G63" s="1995"/>
      <c r="H63" s="1995"/>
      <c r="J63" s="2006"/>
      <c r="K63" s="1991"/>
      <c r="O63" s="2007"/>
      <c r="P63" s="1995"/>
    </row>
    <row r="64" spans="2:17" ht="15.6">
      <c r="B64" s="1991"/>
      <c r="C64" s="1991"/>
      <c r="D64" s="2005"/>
      <c r="E64" s="2006"/>
      <c r="F64" s="1991"/>
      <c r="G64" s="1994"/>
      <c r="H64" s="1995"/>
      <c r="J64" s="2006"/>
      <c r="K64" s="1991"/>
      <c r="O64" s="2006"/>
      <c r="P64" s="1991"/>
    </row>
    <row r="65" spans="2:17" ht="15.6">
      <c r="B65" s="1991"/>
      <c r="C65" s="1991"/>
      <c r="D65" s="2005"/>
      <c r="E65" s="2006"/>
      <c r="F65" s="1991"/>
      <c r="G65" s="1994"/>
      <c r="H65" s="1995"/>
      <c r="J65" s="2006"/>
      <c r="K65" s="1991"/>
      <c r="O65" s="2006"/>
      <c r="P65" s="1991"/>
    </row>
    <row r="66" spans="2:17" ht="15.6">
      <c r="B66" s="2008" t="s">
        <v>52</v>
      </c>
      <c r="C66" s="2008"/>
      <c r="D66" s="2008"/>
      <c r="E66" s="2009" t="s">
        <v>53</v>
      </c>
      <c r="F66" s="1991"/>
      <c r="G66" s="1994"/>
      <c r="H66" s="1995"/>
      <c r="J66" s="2010" t="s">
        <v>53</v>
      </c>
      <c r="K66" s="2010"/>
      <c r="L66" s="2010"/>
      <c r="O66" s="2010"/>
      <c r="P66" s="2010"/>
      <c r="Q66" s="2011" t="s">
        <v>54</v>
      </c>
    </row>
    <row r="67" spans="2:17" ht="15.6">
      <c r="B67" s="1997" t="s">
        <v>55</v>
      </c>
      <c r="C67" s="1997"/>
      <c r="D67" s="1997"/>
      <c r="E67" s="2006" t="s">
        <v>56</v>
      </c>
      <c r="F67" s="1991"/>
      <c r="G67" s="1994"/>
      <c r="H67" s="1995"/>
      <c r="J67" s="1998" t="s">
        <v>56</v>
      </c>
      <c r="K67" s="1998"/>
      <c r="L67" s="1998"/>
      <c r="O67" s="1998"/>
      <c r="P67" s="1998"/>
      <c r="Q67" s="1999" t="s">
        <v>57</v>
      </c>
    </row>
  </sheetData>
  <mergeCells count="9">
    <mergeCell ref="B42:D42"/>
    <mergeCell ref="B9:B10"/>
    <mergeCell ref="F9:F10"/>
    <mergeCell ref="G9:G10"/>
    <mergeCell ref="Q9:Q10"/>
    <mergeCell ref="C9:D10"/>
    <mergeCell ref="I9:J9"/>
    <mergeCell ref="L9:M9"/>
    <mergeCell ref="O9:P9"/>
  </mergeCells>
  <printOptions horizontalCentered="1"/>
  <pageMargins left="0.5" right="0.25" top="0.5" bottom="0.5" header="0.196850393700787" footer="0.23622047244094499"/>
  <pageSetup paperSize="9" scale="67" orientation="landscape" r:id="rId1"/>
  <headerFooter alignWithMargins="0"/>
  <colBreaks count="1" manualBreakCount="1">
    <brk id="17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33"/>
  <sheetViews>
    <sheetView showGridLines="0" view="pageBreakPreview" topLeftCell="A14" zoomScale="70" zoomScaleNormal="100" workbookViewId="0">
      <selection activeCell="O40" sqref="O40"/>
    </sheetView>
  </sheetViews>
  <sheetFormatPr defaultColWidth="7.109375" defaultRowHeight="12.9" customHeight="1"/>
  <cols>
    <col min="1" max="1" width="7.109375" style="1762"/>
    <col min="2" max="2" width="4.6640625" style="1763" customWidth="1"/>
    <col min="3" max="3" width="1.88671875" style="1762" customWidth="1"/>
    <col min="4" max="4" width="80.5546875" style="1762" customWidth="1"/>
    <col min="5" max="5" width="4.5546875" style="1764" customWidth="1"/>
    <col min="6" max="6" width="10.88671875" style="1765" customWidth="1"/>
    <col min="7" max="7" width="14.44140625" style="1766" hidden="1" customWidth="1"/>
    <col min="8" max="8" width="17.5546875" style="1767" hidden="1" customWidth="1"/>
    <col min="9" max="9" width="21.109375" style="1767" hidden="1" customWidth="1"/>
    <col min="10" max="10" width="16" style="1768" customWidth="1"/>
    <col min="11" max="13" width="12.5546875" style="1762" customWidth="1"/>
    <col min="14" max="14" width="12.5546875" style="1769" customWidth="1"/>
    <col min="15" max="18" width="12.5546875" style="1762" customWidth="1"/>
    <col min="19" max="19" width="12.5546875" style="1770" customWidth="1"/>
    <col min="20" max="20" width="15" style="1762" customWidth="1"/>
    <col min="21" max="22" width="7.109375" style="1762"/>
    <col min="23" max="23" width="16.77734375" style="1762" customWidth="1"/>
    <col min="24" max="16384" width="7.109375" style="1762"/>
  </cols>
  <sheetData>
    <row r="1" spans="2:23" s="1267" customFormat="1" ht="16.2" customHeight="1">
      <c r="B1" s="1280" t="s">
        <v>4</v>
      </c>
      <c r="E1" s="1281"/>
      <c r="F1" s="1282"/>
      <c r="G1" s="1282"/>
      <c r="H1" s="1282"/>
      <c r="I1" s="1282"/>
      <c r="J1" s="1282"/>
      <c r="K1" s="1282"/>
      <c r="L1" s="1282"/>
      <c r="M1" s="1282"/>
      <c r="N1" s="1771"/>
      <c r="O1" s="1282"/>
      <c r="P1" s="1281"/>
      <c r="Q1" s="1281"/>
      <c r="R1" s="1281"/>
      <c r="S1" s="1772"/>
    </row>
    <row r="2" spans="2:23" s="1267" customFormat="1" ht="15" customHeight="1">
      <c r="B2" s="1773" t="s">
        <v>5</v>
      </c>
      <c r="E2" s="1283"/>
      <c r="F2" s="1284"/>
      <c r="G2" s="1284"/>
      <c r="H2" s="1284"/>
      <c r="I2" s="1284"/>
      <c r="J2" s="1284"/>
      <c r="K2" s="1284"/>
      <c r="L2" s="1284"/>
      <c r="M2" s="1284"/>
      <c r="N2" s="1774"/>
      <c r="O2" s="1284"/>
      <c r="P2" s="1283"/>
      <c r="Q2" s="1283"/>
      <c r="R2" s="1283"/>
      <c r="S2" s="1772"/>
    </row>
    <row r="3" spans="2:23" s="1267" customFormat="1" ht="15" customHeight="1">
      <c r="B3" s="1773" t="s">
        <v>6</v>
      </c>
      <c r="E3" s="1283"/>
      <c r="F3" s="1284"/>
      <c r="G3" s="1284"/>
      <c r="H3" s="1284"/>
      <c r="I3" s="1284"/>
      <c r="J3" s="1284"/>
      <c r="K3" s="1284"/>
      <c r="L3" s="1284"/>
      <c r="M3" s="1284"/>
      <c r="N3" s="1774"/>
      <c r="O3" s="1284"/>
      <c r="P3" s="1283"/>
      <c r="Q3" s="1283"/>
      <c r="R3" s="1283"/>
      <c r="S3" s="1772"/>
    </row>
    <row r="4" spans="2:23" s="1267" customFormat="1" ht="15" customHeight="1">
      <c r="B4" s="1773" t="s">
        <v>7</v>
      </c>
      <c r="E4" s="1283"/>
      <c r="F4" s="1284"/>
      <c r="G4" s="1284"/>
      <c r="H4" s="1284"/>
      <c r="I4" s="1284"/>
      <c r="J4" s="1284"/>
      <c r="K4" s="1284"/>
      <c r="L4" s="1284"/>
      <c r="M4" s="1284"/>
      <c r="N4" s="1774"/>
      <c r="O4" s="1284"/>
      <c r="P4" s="1283"/>
      <c r="Q4" s="1283"/>
      <c r="R4" s="1283"/>
      <c r="S4" s="1772"/>
    </row>
    <row r="5" spans="2:23" s="1267" customFormat="1" ht="15" customHeight="1">
      <c r="B5" s="1773" t="s">
        <v>8</v>
      </c>
      <c r="E5" s="1283"/>
      <c r="F5" s="1284"/>
      <c r="G5" s="1284"/>
      <c r="H5" s="1284"/>
      <c r="I5" s="1284"/>
      <c r="J5" s="1284"/>
      <c r="K5" s="1284"/>
      <c r="L5" s="1284"/>
      <c r="M5" s="1284"/>
      <c r="N5" s="1774"/>
      <c r="O5" s="1284"/>
      <c r="P5" s="1283"/>
      <c r="Q5" s="1283"/>
      <c r="R5" s="1283"/>
      <c r="S5" s="1772"/>
    </row>
    <row r="6" spans="2:23" s="1267" customFormat="1" ht="15" customHeight="1">
      <c r="B6" s="1773" t="s">
        <v>9</v>
      </c>
      <c r="E6" s="1283"/>
      <c r="F6" s="1284"/>
      <c r="G6" s="1284"/>
      <c r="H6" s="1284"/>
      <c r="I6" s="1284"/>
      <c r="J6" s="1284"/>
      <c r="K6" s="1284"/>
      <c r="L6" s="1284"/>
      <c r="M6" s="1284"/>
      <c r="N6" s="1774"/>
      <c r="O6" s="1284"/>
      <c r="P6" s="1283"/>
      <c r="Q6" s="1283"/>
      <c r="R6" s="1283"/>
      <c r="S6" s="1772"/>
    </row>
    <row r="7" spans="2:23" s="1758" customFormat="1" ht="13.8">
      <c r="B7" s="1775"/>
      <c r="C7" s="1775"/>
      <c r="D7" s="1775"/>
      <c r="E7" s="1776"/>
      <c r="F7" s="1777"/>
      <c r="G7" s="1778"/>
      <c r="H7" s="1775"/>
      <c r="I7" s="1779"/>
      <c r="J7" s="1780"/>
      <c r="N7" s="1781"/>
      <c r="S7" s="1782"/>
    </row>
    <row r="8" spans="2:23" s="1759" customFormat="1" ht="12.75" customHeight="1">
      <c r="B8" s="2086" t="s">
        <v>58</v>
      </c>
      <c r="C8" s="1783"/>
      <c r="D8" s="2088" t="s">
        <v>11</v>
      </c>
      <c r="E8" s="2090" t="s">
        <v>59</v>
      </c>
      <c r="F8" s="2092" t="s">
        <v>60</v>
      </c>
      <c r="G8" s="2094" t="s">
        <v>61</v>
      </c>
      <c r="H8" s="1784" t="s">
        <v>62</v>
      </c>
      <c r="I8" s="1784" t="s">
        <v>63</v>
      </c>
      <c r="J8" s="2084" t="s">
        <v>14</v>
      </c>
      <c r="K8" s="2098" t="s">
        <v>64</v>
      </c>
      <c r="L8" s="2099"/>
      <c r="M8" s="2100"/>
      <c r="N8" s="2098" t="s">
        <v>16</v>
      </c>
      <c r="O8" s="2099"/>
      <c r="P8" s="2100"/>
      <c r="Q8" s="2082" t="s">
        <v>65</v>
      </c>
      <c r="R8" s="2101"/>
      <c r="S8" s="2083"/>
      <c r="T8" s="2076" t="s">
        <v>18</v>
      </c>
      <c r="W8" s="2096" t="s">
        <v>66</v>
      </c>
    </row>
    <row r="9" spans="2:23" s="1759" customFormat="1" ht="14.4" customHeight="1">
      <c r="B9" s="2087"/>
      <c r="C9" s="1785"/>
      <c r="D9" s="2089"/>
      <c r="E9" s="2091"/>
      <c r="F9" s="2093"/>
      <c r="G9" s="2095"/>
      <c r="H9" s="1786" t="s">
        <v>19</v>
      </c>
      <c r="I9" s="1786" t="s">
        <v>19</v>
      </c>
      <c r="J9" s="2085"/>
      <c r="K9" s="1301" t="s">
        <v>20</v>
      </c>
      <c r="L9" s="341" t="s">
        <v>21</v>
      </c>
      <c r="M9" s="851" t="s">
        <v>14</v>
      </c>
      <c r="N9" s="1787" t="s">
        <v>20</v>
      </c>
      <c r="O9" s="343" t="s">
        <v>21</v>
      </c>
      <c r="P9" s="1302" t="s">
        <v>14</v>
      </c>
      <c r="Q9" s="1788" t="s">
        <v>20</v>
      </c>
      <c r="R9" s="340" t="s">
        <v>21</v>
      </c>
      <c r="S9" s="851" t="s">
        <v>14</v>
      </c>
      <c r="T9" s="2077"/>
      <c r="W9" s="2097"/>
    </row>
    <row r="10" spans="2:23" ht="13.8">
      <c r="B10" s="1789"/>
      <c r="C10" s="1790"/>
      <c r="D10" s="1791"/>
      <c r="E10" s="1792"/>
      <c r="F10" s="1793"/>
      <c r="G10" s="1794"/>
      <c r="H10" s="1795"/>
      <c r="I10" s="1795"/>
      <c r="J10" s="1796"/>
      <c r="K10" s="1797"/>
      <c r="L10" s="1798"/>
      <c r="M10" s="1799"/>
      <c r="N10" s="1800"/>
      <c r="O10" s="1798"/>
      <c r="P10" s="1799"/>
      <c r="Q10" s="1797"/>
      <c r="R10" s="1798"/>
      <c r="S10" s="1801"/>
      <c r="T10" s="1802"/>
      <c r="W10" s="1803"/>
    </row>
    <row r="11" spans="2:23" ht="13.8">
      <c r="B11" s="1804"/>
      <c r="C11" s="1805"/>
      <c r="D11" s="1806" t="s">
        <v>67</v>
      </c>
      <c r="E11" s="1807"/>
      <c r="F11" s="1808"/>
      <c r="G11" s="1148"/>
      <c r="H11" s="1809"/>
      <c r="I11" s="1809"/>
      <c r="J11" s="1810"/>
      <c r="K11" s="1811"/>
      <c r="L11" s="1812"/>
      <c r="M11" s="1813"/>
      <c r="N11" s="1814"/>
      <c r="O11" s="1812"/>
      <c r="P11" s="1813"/>
      <c r="Q11" s="1811"/>
      <c r="R11" s="1812"/>
      <c r="S11" s="1815"/>
      <c r="T11" s="1816"/>
      <c r="W11" s="1803"/>
    </row>
    <row r="12" spans="2:23" ht="13.8">
      <c r="B12" s="1804"/>
      <c r="C12" s="1805"/>
      <c r="D12" s="1817"/>
      <c r="E12" s="1807"/>
      <c r="F12" s="1808"/>
      <c r="G12" s="1148"/>
      <c r="H12" s="1809"/>
      <c r="I12" s="1809"/>
      <c r="J12" s="1810"/>
      <c r="K12" s="1811"/>
      <c r="L12" s="1812"/>
      <c r="M12" s="1813"/>
      <c r="N12" s="1814"/>
      <c r="O12" s="1812"/>
      <c r="P12" s="1813"/>
      <c r="Q12" s="1811"/>
      <c r="R12" s="1812"/>
      <c r="S12" s="1815"/>
      <c r="T12" s="1816"/>
      <c r="W12" s="1803"/>
    </row>
    <row r="13" spans="2:23" ht="13.8">
      <c r="B13" s="1818" t="s">
        <v>22</v>
      </c>
      <c r="C13" s="1819"/>
      <c r="D13" s="1820" t="s">
        <v>68</v>
      </c>
      <c r="E13" s="1821"/>
      <c r="F13" s="1822"/>
      <c r="G13" s="1823"/>
      <c r="H13" s="1824"/>
      <c r="I13" s="1824">
        <f>$I$38</f>
        <v>1230270525.5999999</v>
      </c>
      <c r="J13" s="1825">
        <f>I13/'REKAP TOTAL'!F44</f>
        <v>0.1011811269871465</v>
      </c>
      <c r="K13" s="1811"/>
      <c r="L13" s="1812"/>
      <c r="M13" s="1813"/>
      <c r="N13" s="1814"/>
      <c r="O13" s="1812"/>
      <c r="P13" s="1813"/>
      <c r="Q13" s="1811"/>
      <c r="R13" s="1812"/>
      <c r="S13" s="1815"/>
      <c r="T13" s="1816"/>
      <c r="W13" s="1803"/>
    </row>
    <row r="14" spans="2:23" ht="13.8">
      <c r="B14" s="1818"/>
      <c r="C14" s="1819"/>
      <c r="D14" s="1826"/>
      <c r="E14" s="1807"/>
      <c r="F14" s="1808"/>
      <c r="G14" s="1148"/>
      <c r="H14" s="1809"/>
      <c r="I14" s="1809"/>
      <c r="J14" s="1810"/>
      <c r="K14" s="1811"/>
      <c r="L14" s="1812"/>
      <c r="M14" s="1813"/>
      <c r="N14" s="1814"/>
      <c r="O14" s="1812"/>
      <c r="P14" s="1813"/>
      <c r="Q14" s="1811"/>
      <c r="R14" s="1812"/>
      <c r="S14" s="1815"/>
      <c r="T14" s="1816"/>
      <c r="W14" s="1803"/>
    </row>
    <row r="15" spans="2:23" s="1760" customFormat="1" ht="13.8">
      <c r="B15" s="1827"/>
      <c r="C15" s="1828"/>
      <c r="D15" s="1829"/>
      <c r="E15" s="1807"/>
      <c r="F15" s="1808"/>
      <c r="G15" s="1148"/>
      <c r="H15" s="1809"/>
      <c r="I15" s="1809"/>
      <c r="J15" s="1810"/>
      <c r="K15" s="1830"/>
      <c r="L15" s="1831"/>
      <c r="M15" s="1832"/>
      <c r="N15" s="1833"/>
      <c r="O15" s="1831"/>
      <c r="P15" s="1832"/>
      <c r="Q15" s="1830"/>
      <c r="R15" s="1831"/>
      <c r="S15" s="1834"/>
      <c r="T15" s="1835"/>
      <c r="W15" s="1836"/>
    </row>
    <row r="16" spans="2:23" ht="14.1" customHeight="1">
      <c r="B16" s="1818" t="s">
        <v>22</v>
      </c>
      <c r="C16" s="1819"/>
      <c r="D16" s="1826" t="s">
        <v>68</v>
      </c>
      <c r="E16" s="1807"/>
      <c r="F16" s="1808"/>
      <c r="G16" s="1148"/>
      <c r="H16" s="1809"/>
      <c r="I16" s="1809"/>
      <c r="J16" s="1810"/>
      <c r="K16" s="1811"/>
      <c r="L16" s="1812"/>
      <c r="M16" s="1813"/>
      <c r="N16" s="1814"/>
      <c r="O16" s="1812"/>
      <c r="P16" s="1813"/>
      <c r="Q16" s="1811"/>
      <c r="R16" s="1812"/>
      <c r="S16" s="1815"/>
      <c r="T16" s="1816"/>
      <c r="W16" s="1803"/>
    </row>
    <row r="17" spans="2:23" ht="14.25" customHeight="1">
      <c r="B17" s="1818"/>
      <c r="C17" s="1819"/>
      <c r="D17" s="1826"/>
      <c r="E17" s="1807"/>
      <c r="F17" s="1808"/>
      <c r="G17" s="1148"/>
      <c r="H17" s="1809"/>
      <c r="I17" s="1809"/>
      <c r="J17" s="1810"/>
      <c r="K17" s="1811"/>
      <c r="L17" s="1812"/>
      <c r="M17" s="1813"/>
      <c r="N17" s="1814"/>
      <c r="O17" s="1812"/>
      <c r="P17" s="1837"/>
      <c r="Q17" s="1811"/>
      <c r="R17" s="1838"/>
      <c r="S17" s="1837"/>
      <c r="T17" s="1839"/>
      <c r="W17" s="1803"/>
    </row>
    <row r="18" spans="2:23" ht="14.25" customHeight="1">
      <c r="B18" s="1804">
        <v>1</v>
      </c>
      <c r="C18" s="1840"/>
      <c r="D18" s="1216" t="s">
        <v>69</v>
      </c>
      <c r="E18" s="1807" t="s">
        <v>70</v>
      </c>
      <c r="F18" s="1808">
        <v>1</v>
      </c>
      <c r="G18" s="1148">
        <v>1</v>
      </c>
      <c r="H18" s="1237">
        <v>225000000</v>
      </c>
      <c r="I18" s="1809">
        <f>$G18*H18</f>
        <v>225000000</v>
      </c>
      <c r="J18" s="1825">
        <f>I18/'REKAP TOTAL'!F44</f>
        <v>1.8504672832835006E-2</v>
      </c>
      <c r="K18" s="1606">
        <v>0.5</v>
      </c>
      <c r="L18" s="1607">
        <v>0.5</v>
      </c>
      <c r="M18" s="1614">
        <v>9.2523364164174993E-3</v>
      </c>
      <c r="N18" s="1609">
        <f>+Q18-K18</f>
        <v>0</v>
      </c>
      <c r="O18" s="1607">
        <f>+R18-L18</f>
        <v>0</v>
      </c>
      <c r="P18" s="1610">
        <f>+S18-M18</f>
        <v>0</v>
      </c>
      <c r="Q18" s="1615">
        <f>+W18</f>
        <v>0.5</v>
      </c>
      <c r="R18" s="1612">
        <f>+Q18/F18</f>
        <v>0.5</v>
      </c>
      <c r="S18" s="1613">
        <f>+R18*J18</f>
        <v>9.2523364164175028E-3</v>
      </c>
      <c r="T18" s="1841"/>
      <c r="W18" s="1842">
        <v>0.5</v>
      </c>
    </row>
    <row r="19" spans="2:23" ht="14.25" customHeight="1">
      <c r="B19" s="1804"/>
      <c r="C19" s="1840"/>
      <c r="D19" s="1216" t="s">
        <v>71</v>
      </c>
      <c r="E19" s="1807"/>
      <c r="F19" s="1808"/>
      <c r="G19" s="1148"/>
      <c r="H19" s="1237"/>
      <c r="I19" s="1809"/>
      <c r="J19" s="1843"/>
      <c r="K19" s="1844"/>
      <c r="L19" s="1607"/>
      <c r="M19" s="1614"/>
      <c r="N19" s="1609"/>
      <c r="O19" s="1607"/>
      <c r="P19" s="1610"/>
      <c r="Q19" s="1609"/>
      <c r="R19" s="1845"/>
      <c r="S19" s="1610"/>
      <c r="T19" s="1816"/>
      <c r="W19" s="1846"/>
    </row>
    <row r="20" spans="2:23" ht="31.5" customHeight="1">
      <c r="B20" s="1804">
        <v>2</v>
      </c>
      <c r="C20" s="1840"/>
      <c r="D20" s="1847" t="s">
        <v>72</v>
      </c>
      <c r="E20" s="1807" t="s">
        <v>70</v>
      </c>
      <c r="F20" s="1808">
        <v>1</v>
      </c>
      <c r="G20" s="1148">
        <v>1</v>
      </c>
      <c r="H20" s="1237">
        <v>587645000</v>
      </c>
      <c r="I20" s="1809">
        <f t="shared" ref="I20:I36" si="0">$G20*H20</f>
        <v>587645000</v>
      </c>
      <c r="J20" s="1825">
        <f>I20/'REKAP TOTAL'!F44</f>
        <v>4.8329682074894784E-2</v>
      </c>
      <c r="K20" s="1606">
        <v>0</v>
      </c>
      <c r="L20" s="1607">
        <v>0</v>
      </c>
      <c r="M20" s="1614">
        <v>0</v>
      </c>
      <c r="N20" s="1609">
        <f t="shared" ref="N20:N36" si="1">+Q20-K20</f>
        <v>0</v>
      </c>
      <c r="O20" s="1607">
        <f t="shared" ref="O20:O36" si="2">+R20-L20</f>
        <v>0</v>
      </c>
      <c r="P20" s="1610">
        <f t="shared" ref="P20:P36" si="3">+S20-M20</f>
        <v>0</v>
      </c>
      <c r="Q20" s="1615">
        <f t="shared" ref="Q20:Q36" si="4">+W20</f>
        <v>0</v>
      </c>
      <c r="R20" s="1612">
        <f t="shared" ref="R20:R36" si="5">+Q20/F20</f>
        <v>0</v>
      </c>
      <c r="S20" s="1613">
        <f t="shared" ref="S20:S36" si="6">+R20*J20</f>
        <v>0</v>
      </c>
      <c r="T20" s="1816"/>
      <c r="W20" s="1846">
        <v>0</v>
      </c>
    </row>
    <row r="21" spans="2:23" ht="13.8" customHeight="1">
      <c r="B21" s="1804">
        <f>B20+1</f>
        <v>3</v>
      </c>
      <c r="C21" s="1840"/>
      <c r="D21" s="1216" t="s">
        <v>73</v>
      </c>
      <c r="E21" s="1807" t="s">
        <v>70</v>
      </c>
      <c r="F21" s="1808">
        <v>1</v>
      </c>
      <c r="G21" s="1148">
        <v>1</v>
      </c>
      <c r="H21" s="1237">
        <v>5000000</v>
      </c>
      <c r="I21" s="1809">
        <f t="shared" si="0"/>
        <v>5000000</v>
      </c>
      <c r="J21" s="1825">
        <f>I21/'REKAP TOTAL'!F44</f>
        <v>4.1121495184077788E-4</v>
      </c>
      <c r="K21" s="1606">
        <v>0</v>
      </c>
      <c r="L21" s="1607">
        <v>0</v>
      </c>
      <c r="M21" s="1614">
        <v>0</v>
      </c>
      <c r="N21" s="1609">
        <f t="shared" si="1"/>
        <v>0</v>
      </c>
      <c r="O21" s="1607">
        <f t="shared" si="2"/>
        <v>0</v>
      </c>
      <c r="P21" s="1610">
        <f t="shared" si="3"/>
        <v>0</v>
      </c>
      <c r="Q21" s="1615">
        <f t="shared" si="4"/>
        <v>0</v>
      </c>
      <c r="R21" s="1612">
        <f t="shared" si="5"/>
        <v>0</v>
      </c>
      <c r="S21" s="1613">
        <f t="shared" si="6"/>
        <v>0</v>
      </c>
      <c r="T21" s="1816"/>
      <c r="W21" s="1846">
        <v>0</v>
      </c>
    </row>
    <row r="22" spans="2:23" ht="14.25" customHeight="1">
      <c r="B22" s="1804">
        <f t="shared" ref="B22:B27" si="7">B21+1</f>
        <v>4</v>
      </c>
      <c r="C22" s="1840"/>
      <c r="D22" s="1216" t="s">
        <v>74</v>
      </c>
      <c r="E22" s="1807" t="s">
        <v>70</v>
      </c>
      <c r="F22" s="1808">
        <v>1</v>
      </c>
      <c r="G22" s="1148">
        <v>1</v>
      </c>
      <c r="H22" s="1237">
        <v>35000000</v>
      </c>
      <c r="I22" s="1809">
        <f t="shared" si="0"/>
        <v>35000000</v>
      </c>
      <c r="J22" s="1825">
        <f>I22/'REKAP TOTAL'!F44</f>
        <v>2.8785046628854454E-3</v>
      </c>
      <c r="K22" s="1606">
        <v>0.05</v>
      </c>
      <c r="L22" s="1607">
        <v>0.05</v>
      </c>
      <c r="M22" s="1614">
        <v>1.43925233144272E-4</v>
      </c>
      <c r="N22" s="1609">
        <f t="shared" si="1"/>
        <v>0.05</v>
      </c>
      <c r="O22" s="1607">
        <f t="shared" si="2"/>
        <v>0.05</v>
      </c>
      <c r="P22" s="1610">
        <f t="shared" si="3"/>
        <v>1.4392523314427254E-4</v>
      </c>
      <c r="Q22" s="1615">
        <f t="shared" si="4"/>
        <v>0.1</v>
      </c>
      <c r="R22" s="1612">
        <f t="shared" si="5"/>
        <v>0.1</v>
      </c>
      <c r="S22" s="1613">
        <f t="shared" si="6"/>
        <v>2.8785046628854454E-4</v>
      </c>
      <c r="T22" s="1816"/>
      <c r="W22" s="1842">
        <v>0.1</v>
      </c>
    </row>
    <row r="23" spans="2:23" ht="12" customHeight="1">
      <c r="B23" s="1804">
        <f t="shared" si="7"/>
        <v>5</v>
      </c>
      <c r="C23" s="1840"/>
      <c r="D23" s="1216" t="s">
        <v>75</v>
      </c>
      <c r="E23" s="1807" t="s">
        <v>70</v>
      </c>
      <c r="F23" s="1808">
        <v>1</v>
      </c>
      <c r="G23" s="1148">
        <v>1</v>
      </c>
      <c r="H23" s="1237">
        <v>15870000</v>
      </c>
      <c r="I23" s="1809">
        <f t="shared" si="0"/>
        <v>15870000</v>
      </c>
      <c r="J23" s="1825">
        <f>I23/'REKAP TOTAL'!F44</f>
        <v>1.305196257142629E-3</v>
      </c>
      <c r="K23" s="1606">
        <v>0</v>
      </c>
      <c r="L23" s="1607">
        <v>0</v>
      </c>
      <c r="M23" s="1614">
        <v>0</v>
      </c>
      <c r="N23" s="1609">
        <f t="shared" si="1"/>
        <v>0.05</v>
      </c>
      <c r="O23" s="1607">
        <f t="shared" si="2"/>
        <v>0.05</v>
      </c>
      <c r="P23" s="1610">
        <f t="shared" si="3"/>
        <v>6.5259812857131451E-5</v>
      </c>
      <c r="Q23" s="1615">
        <f t="shared" si="4"/>
        <v>0.05</v>
      </c>
      <c r="R23" s="1612">
        <f t="shared" si="5"/>
        <v>0.05</v>
      </c>
      <c r="S23" s="1613">
        <f t="shared" si="6"/>
        <v>6.5259812857131451E-5</v>
      </c>
      <c r="T23" s="1816"/>
      <c r="W23" s="1842">
        <v>0.05</v>
      </c>
    </row>
    <row r="24" spans="2:23" ht="14.25" customHeight="1">
      <c r="B24" s="1804">
        <f t="shared" si="7"/>
        <v>6</v>
      </c>
      <c r="C24" s="1840"/>
      <c r="D24" s="1216" t="s">
        <v>76</v>
      </c>
      <c r="E24" s="1807" t="s">
        <v>70</v>
      </c>
      <c r="F24" s="1808">
        <v>1</v>
      </c>
      <c r="G24" s="1148">
        <v>1</v>
      </c>
      <c r="H24" s="1237">
        <v>69700000</v>
      </c>
      <c r="I24" s="1809">
        <f t="shared" si="0"/>
        <v>69700000</v>
      </c>
      <c r="J24" s="1825">
        <f>I24/'REKAP TOTAL'!F44</f>
        <v>5.7323364286604441E-3</v>
      </c>
      <c r="K24" s="1606">
        <v>0</v>
      </c>
      <c r="L24" s="1607">
        <v>0</v>
      </c>
      <c r="M24" s="1614">
        <v>0</v>
      </c>
      <c r="N24" s="1609">
        <f t="shared" si="1"/>
        <v>0.1</v>
      </c>
      <c r="O24" s="1607">
        <f t="shared" si="2"/>
        <v>0.1</v>
      </c>
      <c r="P24" s="1610">
        <f t="shared" si="3"/>
        <v>5.7323364286604439E-4</v>
      </c>
      <c r="Q24" s="1615">
        <f t="shared" si="4"/>
        <v>0.1</v>
      </c>
      <c r="R24" s="1612">
        <f t="shared" si="5"/>
        <v>0.1</v>
      </c>
      <c r="S24" s="1613">
        <f t="shared" si="6"/>
        <v>5.7323364286604439E-4</v>
      </c>
      <c r="T24" s="1816"/>
      <c r="W24" s="1842">
        <v>0.1</v>
      </c>
    </row>
    <row r="25" spans="2:23" ht="14.25" customHeight="1">
      <c r="B25" s="1804">
        <f t="shared" si="7"/>
        <v>7</v>
      </c>
      <c r="C25" s="1840"/>
      <c r="D25" s="1216" t="s">
        <v>77</v>
      </c>
      <c r="E25" s="1807" t="s">
        <v>70</v>
      </c>
      <c r="F25" s="1808">
        <v>1</v>
      </c>
      <c r="G25" s="1148">
        <v>1</v>
      </c>
      <c r="H25" s="1237">
        <v>10800000</v>
      </c>
      <c r="I25" s="1809">
        <f t="shared" si="0"/>
        <v>10800000</v>
      </c>
      <c r="J25" s="1825">
        <f>I25/'REKAP TOTAL'!F44</f>
        <v>8.882242959760803E-4</v>
      </c>
      <c r="K25" s="1606">
        <v>0</v>
      </c>
      <c r="L25" s="1607">
        <v>0</v>
      </c>
      <c r="M25" s="1614">
        <v>0</v>
      </c>
      <c r="N25" s="1609">
        <f t="shared" si="1"/>
        <v>0</v>
      </c>
      <c r="O25" s="1607">
        <f t="shared" si="2"/>
        <v>0</v>
      </c>
      <c r="P25" s="1610">
        <f t="shared" si="3"/>
        <v>0</v>
      </c>
      <c r="Q25" s="1615">
        <f t="shared" si="4"/>
        <v>0</v>
      </c>
      <c r="R25" s="1612">
        <f t="shared" si="5"/>
        <v>0</v>
      </c>
      <c r="S25" s="1613">
        <f t="shared" si="6"/>
        <v>0</v>
      </c>
      <c r="T25" s="1816"/>
      <c r="W25" s="1842">
        <v>0</v>
      </c>
    </row>
    <row r="26" spans="2:23" ht="14.25" customHeight="1">
      <c r="B26" s="1804">
        <f t="shared" si="7"/>
        <v>8</v>
      </c>
      <c r="C26" s="1840"/>
      <c r="D26" s="1216" t="s">
        <v>78</v>
      </c>
      <c r="E26" s="1807" t="s">
        <v>70</v>
      </c>
      <c r="F26" s="1808">
        <v>1</v>
      </c>
      <c r="G26" s="1148">
        <v>1</v>
      </c>
      <c r="H26" s="1237">
        <v>38300000</v>
      </c>
      <c r="I26" s="1809">
        <f t="shared" si="0"/>
        <v>38300000</v>
      </c>
      <c r="J26" s="1825">
        <f>I26/'REKAP TOTAL'!F44</f>
        <v>3.1499065311003586E-3</v>
      </c>
      <c r="K26" s="1606">
        <v>0</v>
      </c>
      <c r="L26" s="1607">
        <v>0</v>
      </c>
      <c r="M26" s="1614">
        <v>0</v>
      </c>
      <c r="N26" s="1609">
        <f t="shared" si="1"/>
        <v>0.2</v>
      </c>
      <c r="O26" s="1607">
        <f t="shared" si="2"/>
        <v>0.2</v>
      </c>
      <c r="P26" s="1610">
        <f t="shared" si="3"/>
        <v>6.2998130622007181E-4</v>
      </c>
      <c r="Q26" s="1615">
        <f t="shared" si="4"/>
        <v>0.2</v>
      </c>
      <c r="R26" s="1612">
        <f t="shared" si="5"/>
        <v>0.2</v>
      </c>
      <c r="S26" s="1613">
        <f t="shared" si="6"/>
        <v>6.2998130622007181E-4</v>
      </c>
      <c r="T26" s="1816"/>
      <c r="W26" s="1842">
        <v>0.2</v>
      </c>
    </row>
    <row r="27" spans="2:23" ht="14.25" customHeight="1">
      <c r="B27" s="1804">
        <f t="shared" si="7"/>
        <v>9</v>
      </c>
      <c r="C27" s="1840"/>
      <c r="D27" s="1216" t="s">
        <v>79</v>
      </c>
      <c r="E27" s="1807" t="s">
        <v>70</v>
      </c>
      <c r="F27" s="1808">
        <v>1</v>
      </c>
      <c r="G27" s="1148">
        <v>1</v>
      </c>
      <c r="H27" s="1237">
        <v>3200000</v>
      </c>
      <c r="I27" s="1809">
        <f t="shared" si="0"/>
        <v>3200000</v>
      </c>
      <c r="J27" s="1825">
        <f>I27/'REKAP TOTAL'!F44</f>
        <v>2.6317756917809785E-4</v>
      </c>
      <c r="K27" s="1606">
        <v>0.05</v>
      </c>
      <c r="L27" s="1607">
        <v>0.05</v>
      </c>
      <c r="M27" s="1614">
        <v>1.31588784589049E-5</v>
      </c>
      <c r="N27" s="1609">
        <f t="shared" si="1"/>
        <v>0</v>
      </c>
      <c r="O27" s="1607">
        <f t="shared" si="2"/>
        <v>0</v>
      </c>
      <c r="P27" s="1610">
        <f t="shared" si="3"/>
        <v>0</v>
      </c>
      <c r="Q27" s="1615">
        <f t="shared" si="4"/>
        <v>0.05</v>
      </c>
      <c r="R27" s="1612">
        <f t="shared" si="5"/>
        <v>0.05</v>
      </c>
      <c r="S27" s="1613">
        <f t="shared" si="6"/>
        <v>1.3158878458904894E-5</v>
      </c>
      <c r="T27" s="1816"/>
      <c r="W27" s="1842">
        <v>0.05</v>
      </c>
    </row>
    <row r="28" spans="2:23" ht="14.25" customHeight="1">
      <c r="B28" s="1804">
        <v>10</v>
      </c>
      <c r="C28" s="1840"/>
      <c r="D28" s="1216" t="s">
        <v>80</v>
      </c>
      <c r="E28" s="1807" t="s">
        <v>70</v>
      </c>
      <c r="F28" s="1808">
        <v>1</v>
      </c>
      <c r="G28" s="1148">
        <v>1</v>
      </c>
      <c r="H28" s="1237">
        <v>7400000</v>
      </c>
      <c r="I28" s="1809">
        <f t="shared" si="0"/>
        <v>7400000</v>
      </c>
      <c r="J28" s="1825">
        <f>I28/'REKAP TOTAL'!F44</f>
        <v>6.0859812872435129E-4</v>
      </c>
      <c r="K28" s="1606">
        <v>0.1</v>
      </c>
      <c r="L28" s="1607">
        <v>0.1</v>
      </c>
      <c r="M28" s="1614">
        <v>6.0859812872435102E-5</v>
      </c>
      <c r="N28" s="1609">
        <f t="shared" si="1"/>
        <v>0</v>
      </c>
      <c r="O28" s="1607">
        <f t="shared" si="2"/>
        <v>0</v>
      </c>
      <c r="P28" s="1610">
        <f t="shared" si="3"/>
        <v>0</v>
      </c>
      <c r="Q28" s="1615">
        <f t="shared" si="4"/>
        <v>0.1</v>
      </c>
      <c r="R28" s="1612">
        <f t="shared" si="5"/>
        <v>0.1</v>
      </c>
      <c r="S28" s="1613">
        <f t="shared" si="6"/>
        <v>6.0859812872435129E-5</v>
      </c>
      <c r="T28" s="1816"/>
      <c r="W28" s="2067">
        <v>0.1</v>
      </c>
    </row>
    <row r="29" spans="2:23" ht="14.25" customHeight="1">
      <c r="B29" s="1804">
        <f>B28+1</f>
        <v>11</v>
      </c>
      <c r="C29" s="1840"/>
      <c r="D29" s="1216" t="s">
        <v>81</v>
      </c>
      <c r="E29" s="1807" t="s">
        <v>70</v>
      </c>
      <c r="F29" s="1808">
        <v>1</v>
      </c>
      <c r="G29" s="1148">
        <v>1</v>
      </c>
      <c r="H29" s="1237">
        <v>20000000</v>
      </c>
      <c r="I29" s="1809">
        <f t="shared" si="0"/>
        <v>20000000</v>
      </c>
      <c r="J29" s="1825">
        <f>I29/'REKAP TOTAL'!F44</f>
        <v>1.6448598073631115E-3</v>
      </c>
      <c r="K29" s="1606">
        <v>0</v>
      </c>
      <c r="L29" s="1607">
        <v>0</v>
      </c>
      <c r="M29" s="1614">
        <v>0</v>
      </c>
      <c r="N29" s="1609">
        <f t="shared" si="1"/>
        <v>0</v>
      </c>
      <c r="O29" s="1607">
        <f t="shared" si="2"/>
        <v>0</v>
      </c>
      <c r="P29" s="1610">
        <f t="shared" si="3"/>
        <v>0</v>
      </c>
      <c r="Q29" s="1615">
        <f t="shared" si="4"/>
        <v>0</v>
      </c>
      <c r="R29" s="1612">
        <f t="shared" si="5"/>
        <v>0</v>
      </c>
      <c r="S29" s="1613">
        <f t="shared" si="6"/>
        <v>0</v>
      </c>
      <c r="T29" s="1816"/>
      <c r="W29" s="1846">
        <v>0</v>
      </c>
    </row>
    <row r="30" spans="2:23" ht="14.25" customHeight="1">
      <c r="B30" s="1804">
        <f>B29+1</f>
        <v>12</v>
      </c>
      <c r="C30" s="1840"/>
      <c r="D30" s="1216" t="s">
        <v>82</v>
      </c>
      <c r="E30" s="1807" t="s">
        <v>70</v>
      </c>
      <c r="F30" s="1808">
        <v>1</v>
      </c>
      <c r="G30" s="1148">
        <v>1</v>
      </c>
      <c r="H30" s="1237">
        <v>3000000</v>
      </c>
      <c r="I30" s="1809">
        <f t="shared" si="0"/>
        <v>3000000</v>
      </c>
      <c r="J30" s="1825">
        <f>I30/'REKAP TOTAL'!F44</f>
        <v>2.4672897110446674E-4</v>
      </c>
      <c r="K30" s="1606">
        <v>0.01</v>
      </c>
      <c r="L30" s="1607">
        <v>0.01</v>
      </c>
      <c r="M30" s="1614">
        <v>2.4672897110446701E-6</v>
      </c>
      <c r="N30" s="1609">
        <f t="shared" si="1"/>
        <v>0</v>
      </c>
      <c r="O30" s="1607">
        <f t="shared" si="2"/>
        <v>0</v>
      </c>
      <c r="P30" s="1610">
        <f t="shared" si="3"/>
        <v>0</v>
      </c>
      <c r="Q30" s="1615">
        <f t="shared" si="4"/>
        <v>0.01</v>
      </c>
      <c r="R30" s="1612">
        <f t="shared" si="5"/>
        <v>0.01</v>
      </c>
      <c r="S30" s="1613">
        <f t="shared" si="6"/>
        <v>2.4672897110446676E-6</v>
      </c>
      <c r="T30" s="1816"/>
      <c r="W30" s="1846">
        <f>+F30*0.01</f>
        <v>0.01</v>
      </c>
    </row>
    <row r="31" spans="2:23" ht="14.25" customHeight="1">
      <c r="B31" s="1804">
        <f>B30+1</f>
        <v>13</v>
      </c>
      <c r="C31" s="1840"/>
      <c r="D31" s="1216" t="s">
        <v>83</v>
      </c>
      <c r="E31" s="1807" t="s">
        <v>70</v>
      </c>
      <c r="F31" s="1808">
        <v>1</v>
      </c>
      <c r="G31" s="1148">
        <v>1</v>
      </c>
      <c r="H31" s="1237">
        <v>4500000</v>
      </c>
      <c r="I31" s="1809">
        <f t="shared" si="0"/>
        <v>4500000</v>
      </c>
      <c r="J31" s="1825">
        <f>I31/'REKAP TOTAL'!F44</f>
        <v>3.7009345665670013E-4</v>
      </c>
      <c r="K31" s="1606">
        <v>0.05</v>
      </c>
      <c r="L31" s="1607">
        <v>0.05</v>
      </c>
      <c r="M31" s="1614">
        <v>1.8504672832835001E-5</v>
      </c>
      <c r="N31" s="1609">
        <f t="shared" si="1"/>
        <v>0</v>
      </c>
      <c r="O31" s="1607">
        <f t="shared" si="2"/>
        <v>0</v>
      </c>
      <c r="P31" s="1610">
        <f t="shared" si="3"/>
        <v>0</v>
      </c>
      <c r="Q31" s="1615">
        <f t="shared" si="4"/>
        <v>0.05</v>
      </c>
      <c r="R31" s="1612">
        <f t="shared" si="5"/>
        <v>0.05</v>
      </c>
      <c r="S31" s="1613">
        <f t="shared" si="6"/>
        <v>1.8504672832835007E-5</v>
      </c>
      <c r="T31" s="1816"/>
      <c r="W31" s="2067">
        <v>0.05</v>
      </c>
    </row>
    <row r="32" spans="2:23" ht="14.25" customHeight="1">
      <c r="B32" s="1804">
        <f>B31+1</f>
        <v>14</v>
      </c>
      <c r="C32" s="1840"/>
      <c r="D32" s="1216" t="s">
        <v>84</v>
      </c>
      <c r="E32" s="1807" t="s">
        <v>70</v>
      </c>
      <c r="F32" s="1808">
        <v>1</v>
      </c>
      <c r="G32" s="1148">
        <v>1</v>
      </c>
      <c r="H32" s="1237">
        <v>100000000</v>
      </c>
      <c r="I32" s="1809">
        <f t="shared" si="0"/>
        <v>100000000</v>
      </c>
      <c r="J32" s="1825">
        <f>I32/'REKAP TOTAL'!F44</f>
        <v>8.2242990368155584E-3</v>
      </c>
      <c r="K32" s="1606">
        <v>0</v>
      </c>
      <c r="L32" s="1607">
        <v>0</v>
      </c>
      <c r="M32" s="1614">
        <v>0</v>
      </c>
      <c r="N32" s="1609">
        <f t="shared" si="1"/>
        <v>0.05</v>
      </c>
      <c r="O32" s="1607">
        <f t="shared" si="2"/>
        <v>0.05</v>
      </c>
      <c r="P32" s="1610">
        <f t="shared" si="3"/>
        <v>4.1121495184077793E-4</v>
      </c>
      <c r="Q32" s="1615">
        <f t="shared" si="4"/>
        <v>0.05</v>
      </c>
      <c r="R32" s="1612">
        <f t="shared" si="5"/>
        <v>0.05</v>
      </c>
      <c r="S32" s="1613">
        <f t="shared" si="6"/>
        <v>4.1121495184077793E-4</v>
      </c>
      <c r="T32" s="1816"/>
      <c r="W32" s="1846">
        <f>+F32*0.05</f>
        <v>0.05</v>
      </c>
    </row>
    <row r="33" spans="1:24" ht="14.25" customHeight="1">
      <c r="B33" s="1804">
        <f>B32+1</f>
        <v>15</v>
      </c>
      <c r="C33" s="1840"/>
      <c r="D33" s="1216" t="s">
        <v>85</v>
      </c>
      <c r="E33" s="1807" t="s">
        <v>70</v>
      </c>
      <c r="F33" s="1808">
        <v>1</v>
      </c>
      <c r="G33" s="1148">
        <v>1</v>
      </c>
      <c r="H33" s="1237">
        <v>31600000</v>
      </c>
      <c r="I33" s="1809">
        <f t="shared" si="0"/>
        <v>31600000</v>
      </c>
      <c r="J33" s="1825">
        <f>I33/'REKAP TOTAL'!F44</f>
        <v>2.5988784956337161E-3</v>
      </c>
      <c r="K33" s="1606">
        <v>0.5</v>
      </c>
      <c r="L33" s="1607">
        <v>0.5</v>
      </c>
      <c r="M33" s="1614">
        <v>1.29943924781686E-3</v>
      </c>
      <c r="N33" s="1609">
        <f t="shared" si="1"/>
        <v>0</v>
      </c>
      <c r="O33" s="1607">
        <f t="shared" si="2"/>
        <v>0</v>
      </c>
      <c r="P33" s="1610">
        <f t="shared" si="3"/>
        <v>-1.951563910473908E-18</v>
      </c>
      <c r="Q33" s="1615">
        <f t="shared" si="4"/>
        <v>0.5</v>
      </c>
      <c r="R33" s="1612">
        <f t="shared" si="5"/>
        <v>0.5</v>
      </c>
      <c r="S33" s="1613">
        <f t="shared" si="6"/>
        <v>1.2994392478168581E-3</v>
      </c>
      <c r="T33" s="1816"/>
      <c r="W33" s="1846">
        <f>+F33*0.5</f>
        <v>0.5</v>
      </c>
    </row>
    <row r="34" spans="1:24" ht="14.25" customHeight="1">
      <c r="B34" s="1804">
        <f t="shared" ref="B34" si="8">B33+1</f>
        <v>16</v>
      </c>
      <c r="C34" s="1840"/>
      <c r="D34" s="1216" t="s">
        <v>86</v>
      </c>
      <c r="E34" s="1807" t="s">
        <v>70</v>
      </c>
      <c r="F34" s="1808">
        <v>1</v>
      </c>
      <c r="G34" s="1148">
        <v>1</v>
      </c>
      <c r="H34" s="1237">
        <v>5000000</v>
      </c>
      <c r="I34" s="1809">
        <f t="shared" si="0"/>
        <v>5000000</v>
      </c>
      <c r="J34" s="1825">
        <f>I34/'REKAP TOTAL'!F44</f>
        <v>4.1121495184077788E-4</v>
      </c>
      <c r="K34" s="1606">
        <v>0</v>
      </c>
      <c r="L34" s="1607">
        <v>0</v>
      </c>
      <c r="M34" s="1614">
        <v>0</v>
      </c>
      <c r="N34" s="1609">
        <f t="shared" si="1"/>
        <v>0</v>
      </c>
      <c r="O34" s="1607">
        <f t="shared" si="2"/>
        <v>0</v>
      </c>
      <c r="P34" s="1610">
        <f t="shared" si="3"/>
        <v>0</v>
      </c>
      <c r="Q34" s="1615">
        <f t="shared" si="4"/>
        <v>0</v>
      </c>
      <c r="R34" s="1612">
        <f t="shared" si="5"/>
        <v>0</v>
      </c>
      <c r="S34" s="1613">
        <f t="shared" si="6"/>
        <v>0</v>
      </c>
      <c r="T34" s="1816"/>
      <c r="W34" s="1846">
        <v>0</v>
      </c>
    </row>
    <row r="35" spans="1:24" ht="29.25" customHeight="1">
      <c r="B35" s="1804">
        <v>17</v>
      </c>
      <c r="C35" s="1848"/>
      <c r="D35" s="1847" t="s">
        <v>87</v>
      </c>
      <c r="E35" s="1807" t="s">
        <v>88</v>
      </c>
      <c r="F35" s="1808">
        <f>107+17.202</f>
        <v>124.202</v>
      </c>
      <c r="G35" s="1148">
        <v>124.202</v>
      </c>
      <c r="H35" s="1809">
        <v>300300</v>
      </c>
      <c r="I35" s="1809">
        <f t="shared" si="0"/>
        <v>37297860.600000001</v>
      </c>
      <c r="J35" s="1825">
        <f>I35/'REKAP TOTAL'!F44</f>
        <v>3.0674875900786095E-3</v>
      </c>
      <c r="K35" s="1606">
        <v>49.680799999999998</v>
      </c>
      <c r="L35" s="1607">
        <v>0.4</v>
      </c>
      <c r="M35" s="1614">
        <v>1.22699503603144E-3</v>
      </c>
      <c r="N35" s="1609">
        <f t="shared" si="1"/>
        <v>0</v>
      </c>
      <c r="O35" s="1607">
        <f t="shared" si="2"/>
        <v>0</v>
      </c>
      <c r="P35" s="1610">
        <f t="shared" si="3"/>
        <v>3.903127820947816E-18</v>
      </c>
      <c r="Q35" s="1615">
        <f t="shared" si="4"/>
        <v>49.680800000000005</v>
      </c>
      <c r="R35" s="1612">
        <f t="shared" si="5"/>
        <v>0.4</v>
      </c>
      <c r="S35" s="1613">
        <f t="shared" si="6"/>
        <v>1.2269950360314439E-3</v>
      </c>
      <c r="T35" s="1816"/>
      <c r="W35" s="1846">
        <f>+F35*0.4</f>
        <v>49.680800000000005</v>
      </c>
    </row>
    <row r="36" spans="1:24" s="1761" customFormat="1" ht="18" customHeight="1">
      <c r="A36" s="1762"/>
      <c r="B36" s="1804">
        <v>18</v>
      </c>
      <c r="C36" s="1848"/>
      <c r="D36" s="1847" t="s">
        <v>89</v>
      </c>
      <c r="E36" s="1849" t="s">
        <v>70</v>
      </c>
      <c r="F36" s="1850">
        <v>1</v>
      </c>
      <c r="G36" s="1851">
        <v>1</v>
      </c>
      <c r="H36" s="1852">
        <v>30957665</v>
      </c>
      <c r="I36" s="1809">
        <f t="shared" si="0"/>
        <v>30957665</v>
      </c>
      <c r="J36" s="1825">
        <f>I36/'REKAP TOTAL'!F44</f>
        <v>2.5460509444155872E-3</v>
      </c>
      <c r="K36" s="1606">
        <v>0</v>
      </c>
      <c r="L36" s="1607">
        <v>0</v>
      </c>
      <c r="M36" s="1614">
        <v>0</v>
      </c>
      <c r="N36" s="1609">
        <f t="shared" si="1"/>
        <v>0</v>
      </c>
      <c r="O36" s="1607">
        <f t="shared" si="2"/>
        <v>0</v>
      </c>
      <c r="P36" s="1610">
        <f t="shared" si="3"/>
        <v>0</v>
      </c>
      <c r="Q36" s="1615">
        <f t="shared" si="4"/>
        <v>0</v>
      </c>
      <c r="R36" s="1612">
        <f t="shared" si="5"/>
        <v>0</v>
      </c>
      <c r="S36" s="1613">
        <f t="shared" si="6"/>
        <v>0</v>
      </c>
      <c r="T36" s="1816"/>
      <c r="U36" s="1762"/>
      <c r="V36" s="1762"/>
      <c r="W36" s="1846">
        <v>0</v>
      </c>
      <c r="X36" s="1762"/>
    </row>
    <row r="37" spans="1:24" ht="14.4" thickBot="1">
      <c r="B37" s="1853"/>
      <c r="C37" s="1854"/>
      <c r="D37" s="1855"/>
      <c r="E37" s="1856"/>
      <c r="F37" s="1857"/>
      <c r="G37" s="1858"/>
      <c r="H37" s="1859"/>
      <c r="I37" s="1859"/>
      <c r="J37" s="1860"/>
      <c r="K37" s="1861"/>
      <c r="L37" s="1862"/>
      <c r="M37" s="1863"/>
      <c r="N37" s="1864"/>
      <c r="O37" s="1862"/>
      <c r="P37" s="1863"/>
      <c r="Q37" s="1861"/>
      <c r="R37" s="1865"/>
      <c r="S37" s="1863"/>
      <c r="T37" s="1866"/>
      <c r="W37" s="1803"/>
    </row>
    <row r="38" spans="1:24" s="1760" customFormat="1" ht="17.100000000000001" customHeight="1" thickTop="1" thickBot="1">
      <c r="B38" s="1867"/>
      <c r="C38" s="1868"/>
      <c r="D38" s="1869" t="s">
        <v>90</v>
      </c>
      <c r="E38" s="1870"/>
      <c r="F38" s="1871"/>
      <c r="G38" s="1471"/>
      <c r="H38" s="1872"/>
      <c r="I38" s="1872">
        <f>SUM(I17:I37)</f>
        <v>1230270525.5999999</v>
      </c>
      <c r="J38" s="1873">
        <f>I38/'REKAP TOTAL'!F44</f>
        <v>0.1011811269871465</v>
      </c>
      <c r="K38" s="1874"/>
      <c r="L38" s="1875"/>
      <c r="M38" s="1876">
        <f>SUM(M18:M37)</f>
        <v>1.2017686587285293E-2</v>
      </c>
      <c r="N38" s="1877"/>
      <c r="O38" s="1875"/>
      <c r="P38" s="1876">
        <f>SUM(P18:P37)</f>
        <v>1.8236149469283E-3</v>
      </c>
      <c r="Q38" s="1878"/>
      <c r="R38" s="1879"/>
      <c r="S38" s="1880">
        <f>SUM(S18:S37)</f>
        <v>1.3841301534213597E-2</v>
      </c>
      <c r="T38" s="1881"/>
      <c r="W38" s="1836"/>
    </row>
    <row r="39" spans="1:24" ht="12.9" customHeight="1" thickTop="1">
      <c r="E39" s="1763"/>
      <c r="W39" s="1882"/>
    </row>
    <row r="40" spans="1:24" ht="12.9" customHeight="1">
      <c r="E40" s="1763"/>
      <c r="R40" s="1762" t="s">
        <v>91</v>
      </c>
    </row>
    <row r="41" spans="1:24" ht="12.9" customHeight="1">
      <c r="E41" s="1763"/>
    </row>
    <row r="42" spans="1:24" ht="12.9" customHeight="1">
      <c r="E42" s="1763"/>
    </row>
    <row r="43" spans="1:24" ht="12.9" customHeight="1">
      <c r="E43" s="1763"/>
    </row>
    <row r="44" spans="1:24" ht="12.9" customHeight="1">
      <c r="E44" s="1763"/>
    </row>
    <row r="45" spans="1:24" ht="12.9" customHeight="1">
      <c r="D45" s="1762" t="s">
        <v>92</v>
      </c>
      <c r="E45" s="1763"/>
    </row>
    <row r="46" spans="1:24" ht="12.9" customHeight="1">
      <c r="E46" s="1763"/>
    </row>
    <row r="47" spans="1:24" ht="12.9" customHeight="1">
      <c r="E47" s="1763"/>
    </row>
    <row r="48" spans="1:24" ht="12.9" customHeight="1">
      <c r="E48" s="1763"/>
    </row>
    <row r="49" spans="5:5" ht="12.9" customHeight="1">
      <c r="E49" s="1763"/>
    </row>
    <row r="50" spans="5:5" ht="12.9" customHeight="1">
      <c r="E50" s="1763"/>
    </row>
    <row r="51" spans="5:5" ht="12.9" customHeight="1">
      <c r="E51" s="1763"/>
    </row>
    <row r="52" spans="5:5" ht="12.9" customHeight="1">
      <c r="E52" s="1763"/>
    </row>
    <row r="53" spans="5:5" ht="12.9" customHeight="1">
      <c r="E53" s="1763"/>
    </row>
    <row r="54" spans="5:5" ht="12.9" customHeight="1">
      <c r="E54" s="1763"/>
    </row>
    <row r="55" spans="5:5" ht="12.9" customHeight="1">
      <c r="E55" s="1763"/>
    </row>
    <row r="56" spans="5:5" ht="12.9" customHeight="1">
      <c r="E56" s="1763"/>
    </row>
    <row r="57" spans="5:5" ht="12.9" customHeight="1">
      <c r="E57" s="1763"/>
    </row>
    <row r="58" spans="5:5" ht="12.9" customHeight="1">
      <c r="E58" s="1763"/>
    </row>
    <row r="59" spans="5:5" ht="12.9" customHeight="1">
      <c r="E59" s="1763"/>
    </row>
    <row r="60" spans="5:5" ht="12.9" customHeight="1">
      <c r="E60" s="1763"/>
    </row>
    <row r="61" spans="5:5" ht="12.9" customHeight="1">
      <c r="E61" s="1763"/>
    </row>
    <row r="62" spans="5:5" ht="12.9" customHeight="1">
      <c r="E62" s="1763"/>
    </row>
    <row r="63" spans="5:5" ht="12.9" customHeight="1">
      <c r="E63" s="1763"/>
    </row>
    <row r="64" spans="5:5" ht="12.9" customHeight="1">
      <c r="E64" s="1763"/>
    </row>
    <row r="65" spans="5:5" ht="12.9" customHeight="1">
      <c r="E65" s="1763"/>
    </row>
    <row r="66" spans="5:5" ht="12.9" customHeight="1">
      <c r="E66" s="1763"/>
    </row>
    <row r="67" spans="5:5" ht="12.9" customHeight="1">
      <c r="E67" s="1763"/>
    </row>
    <row r="68" spans="5:5" ht="12.9" customHeight="1">
      <c r="E68" s="1763"/>
    </row>
    <row r="69" spans="5:5" ht="12.9" customHeight="1">
      <c r="E69" s="1763"/>
    </row>
    <row r="70" spans="5:5" ht="12.9" customHeight="1">
      <c r="E70" s="1763"/>
    </row>
    <row r="71" spans="5:5" ht="12.9" customHeight="1">
      <c r="E71" s="1763"/>
    </row>
    <row r="72" spans="5:5" ht="12.9" customHeight="1">
      <c r="E72" s="1763"/>
    </row>
    <row r="73" spans="5:5" ht="12.9" customHeight="1">
      <c r="E73" s="1763"/>
    </row>
    <row r="74" spans="5:5" ht="12.9" customHeight="1">
      <c r="E74" s="1763"/>
    </row>
    <row r="75" spans="5:5" ht="12.9" customHeight="1">
      <c r="E75" s="1763"/>
    </row>
    <row r="76" spans="5:5" ht="12.9" customHeight="1">
      <c r="E76" s="1763"/>
    </row>
    <row r="77" spans="5:5" ht="12.9" customHeight="1">
      <c r="E77" s="1763"/>
    </row>
    <row r="78" spans="5:5" ht="12.9" customHeight="1">
      <c r="E78" s="1763"/>
    </row>
    <row r="79" spans="5:5" ht="12.9" customHeight="1">
      <c r="E79" s="1763"/>
    </row>
    <row r="80" spans="5:5" ht="12.9" customHeight="1">
      <c r="E80" s="1763"/>
    </row>
    <row r="81" spans="5:5" ht="12.9" customHeight="1">
      <c r="E81" s="1763"/>
    </row>
    <row r="82" spans="5:5" ht="12.9" customHeight="1">
      <c r="E82" s="1763"/>
    </row>
    <row r="83" spans="5:5" ht="12.9" customHeight="1">
      <c r="E83" s="1763"/>
    </row>
    <row r="84" spans="5:5" ht="12.9" customHeight="1">
      <c r="E84" s="1763"/>
    </row>
    <row r="85" spans="5:5" ht="12.9" customHeight="1">
      <c r="E85" s="1763"/>
    </row>
    <row r="86" spans="5:5" ht="12.9" customHeight="1">
      <c r="E86" s="1763"/>
    </row>
    <row r="87" spans="5:5" ht="12.9" customHeight="1">
      <c r="E87" s="1763"/>
    </row>
    <row r="88" spans="5:5" ht="12.9" customHeight="1">
      <c r="E88" s="1763"/>
    </row>
    <row r="89" spans="5:5" ht="12.9" customHeight="1">
      <c r="E89" s="1763"/>
    </row>
    <row r="90" spans="5:5" ht="12.9" customHeight="1">
      <c r="E90" s="1763"/>
    </row>
    <row r="91" spans="5:5" ht="12.9" customHeight="1">
      <c r="E91" s="1763"/>
    </row>
    <row r="92" spans="5:5" ht="12.9" customHeight="1">
      <c r="E92" s="1763"/>
    </row>
    <row r="93" spans="5:5" ht="12.9" customHeight="1">
      <c r="E93" s="1763"/>
    </row>
    <row r="94" spans="5:5" ht="12.9" customHeight="1">
      <c r="E94" s="1763"/>
    </row>
    <row r="95" spans="5:5" ht="12.9" customHeight="1">
      <c r="E95" s="1763"/>
    </row>
    <row r="96" spans="5:5" ht="12.9" customHeight="1">
      <c r="E96" s="1763"/>
    </row>
    <row r="97" spans="5:5" ht="12.9" customHeight="1">
      <c r="E97" s="1763"/>
    </row>
    <row r="98" spans="5:5" ht="12.9" customHeight="1">
      <c r="E98" s="1763"/>
    </row>
    <row r="99" spans="5:5" ht="12.9" customHeight="1">
      <c r="E99" s="1763"/>
    </row>
    <row r="100" spans="5:5" ht="12.9" customHeight="1">
      <c r="E100" s="1763"/>
    </row>
    <row r="101" spans="5:5" ht="12.9" customHeight="1">
      <c r="E101" s="1763"/>
    </row>
    <row r="102" spans="5:5" ht="12.9" customHeight="1">
      <c r="E102" s="1763"/>
    </row>
    <row r="103" spans="5:5" ht="12.9" customHeight="1">
      <c r="E103" s="1763"/>
    </row>
    <row r="104" spans="5:5" ht="12.9" customHeight="1">
      <c r="E104" s="1763"/>
    </row>
    <row r="105" spans="5:5" ht="12.9" customHeight="1">
      <c r="E105" s="1763"/>
    </row>
    <row r="106" spans="5:5" ht="12.9" customHeight="1">
      <c r="E106" s="1763"/>
    </row>
    <row r="107" spans="5:5" ht="12.9" customHeight="1">
      <c r="E107" s="1763"/>
    </row>
    <row r="108" spans="5:5" ht="12.9" customHeight="1">
      <c r="E108" s="1763"/>
    </row>
    <row r="109" spans="5:5" ht="12.9" customHeight="1">
      <c r="E109" s="1763"/>
    </row>
    <row r="110" spans="5:5" ht="12.9" customHeight="1">
      <c r="E110" s="1763"/>
    </row>
    <row r="111" spans="5:5" ht="12.9" customHeight="1">
      <c r="E111" s="1763"/>
    </row>
    <row r="112" spans="5:5" ht="12.9" customHeight="1">
      <c r="E112" s="1763"/>
    </row>
    <row r="113" spans="5:5" ht="12.9" customHeight="1">
      <c r="E113" s="1763"/>
    </row>
    <row r="114" spans="5:5" ht="12.9" customHeight="1">
      <c r="E114" s="1763"/>
    </row>
    <row r="115" spans="5:5" ht="12.9" customHeight="1">
      <c r="E115" s="1763"/>
    </row>
    <row r="116" spans="5:5" ht="12.9" customHeight="1">
      <c r="E116" s="1763"/>
    </row>
    <row r="117" spans="5:5" ht="12.9" customHeight="1">
      <c r="E117" s="1763"/>
    </row>
    <row r="118" spans="5:5" ht="12.9" customHeight="1">
      <c r="E118" s="1763"/>
    </row>
    <row r="119" spans="5:5" ht="12.9" customHeight="1">
      <c r="E119" s="1763"/>
    </row>
    <row r="120" spans="5:5" ht="12.9" customHeight="1">
      <c r="E120" s="1763"/>
    </row>
    <row r="121" spans="5:5" ht="12.9" customHeight="1">
      <c r="E121" s="1763"/>
    </row>
    <row r="122" spans="5:5" ht="12.9" customHeight="1">
      <c r="E122" s="1763"/>
    </row>
    <row r="123" spans="5:5" ht="12.9" customHeight="1">
      <c r="E123" s="1763"/>
    </row>
    <row r="124" spans="5:5" ht="12.9" customHeight="1">
      <c r="E124" s="1763"/>
    </row>
    <row r="125" spans="5:5" ht="12.9" customHeight="1">
      <c r="E125" s="1763"/>
    </row>
    <row r="126" spans="5:5" ht="12.9" customHeight="1">
      <c r="E126" s="1763"/>
    </row>
    <row r="127" spans="5:5" ht="12.9" customHeight="1">
      <c r="E127" s="1763"/>
    </row>
    <row r="128" spans="5:5" ht="12.9" customHeight="1">
      <c r="E128" s="1763"/>
    </row>
    <row r="129" spans="5:5" ht="12.9" customHeight="1">
      <c r="E129" s="1763"/>
    </row>
    <row r="130" spans="5:5" ht="12.9" customHeight="1">
      <c r="E130" s="1763"/>
    </row>
    <row r="131" spans="5:5" ht="12.9" customHeight="1">
      <c r="E131" s="1763"/>
    </row>
    <row r="132" spans="5:5" ht="12.9" customHeight="1">
      <c r="E132" s="1763"/>
    </row>
    <row r="133" spans="5:5" ht="12.9" customHeight="1">
      <c r="E133" s="1763"/>
    </row>
  </sheetData>
  <mergeCells count="11">
    <mergeCell ref="T8:T9"/>
    <mergeCell ref="W8:W9"/>
    <mergeCell ref="K8:M8"/>
    <mergeCell ref="N8:P8"/>
    <mergeCell ref="Q8:S8"/>
    <mergeCell ref="J8:J9"/>
    <mergeCell ref="B8:B9"/>
    <mergeCell ref="D8:D9"/>
    <mergeCell ref="E8:E9"/>
    <mergeCell ref="F8:F9"/>
    <mergeCell ref="G8:G9"/>
  </mergeCells>
  <printOptions horizontalCentered="1"/>
  <pageMargins left="0.59055118110236204" right="0.39370078740157499" top="0.78740157480314998" bottom="0.78740157480314998" header="0.78740157480314998" footer="0.78740157480314998"/>
  <pageSetup paperSize="9" scale="47" orientation="landscape" r:id="rId1"/>
  <headerFooter alignWithMargins="0">
    <oddFooter>&amp;LBill Quantity
&amp;8Proyek : SHOWROOM &amp; WORKSHOP 
DSO CABANG BATAM KEPULAUAN RIAU&amp;C&amp;A&amp;RPage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W89"/>
  <sheetViews>
    <sheetView showGridLines="0" view="pageBreakPreview" topLeftCell="A7" zoomScale="70" zoomScaleNormal="75" workbookViewId="0">
      <pane xSplit="4" ySplit="3" topLeftCell="K10" activePane="bottomRight" state="frozen"/>
      <selection pane="topRight"/>
      <selection pane="bottomLeft"/>
      <selection pane="bottomRight" activeCell="V64" sqref="V64"/>
    </sheetView>
  </sheetViews>
  <sheetFormatPr defaultColWidth="9.109375" defaultRowHeight="18.899999999999999" customHeight="1"/>
  <cols>
    <col min="1" max="1" width="9.109375" style="1540"/>
    <col min="2" max="2" width="6.109375" style="1541" customWidth="1"/>
    <col min="3" max="3" width="3.33203125" style="1541" customWidth="1"/>
    <col min="4" max="4" width="82.44140625" style="1540" customWidth="1"/>
    <col min="5" max="5" width="9.88671875" style="1542" customWidth="1"/>
    <col min="6" max="6" width="14.6640625" style="1543" customWidth="1"/>
    <col min="7" max="7" width="19.109375" style="1544" hidden="1" customWidth="1"/>
    <col min="8" max="8" width="17" style="1545" hidden="1" customWidth="1"/>
    <col min="9" max="9" width="17.33203125" style="1545" hidden="1" customWidth="1"/>
    <col min="10" max="10" width="12.109375" style="1540" customWidth="1"/>
    <col min="11" max="19" width="16.5546875" style="1540" customWidth="1"/>
    <col min="20" max="22" width="9.109375" style="1540"/>
    <col min="23" max="23" width="9.109375" style="1546"/>
    <col min="24" max="16384" width="9.109375" style="1540"/>
  </cols>
  <sheetData>
    <row r="1" spans="1:23" s="1267" customFormat="1" ht="16.2" customHeight="1">
      <c r="A1" s="1547"/>
      <c r="B1" s="1280" t="str">
        <f>'I. PERSIAPAN'!B1</f>
        <v>PROGRESS MINGGUAN</v>
      </c>
      <c r="E1" s="1281"/>
      <c r="F1" s="1548"/>
      <c r="G1" s="1282"/>
      <c r="H1" s="1282"/>
      <c r="I1" s="1282"/>
      <c r="J1" s="1282"/>
      <c r="K1" s="1282"/>
      <c r="L1" s="1282"/>
      <c r="M1" s="1282"/>
      <c r="N1" s="1282"/>
      <c r="O1" s="1282"/>
      <c r="P1" s="1281"/>
      <c r="Q1" s="1281"/>
      <c r="R1" s="1281"/>
      <c r="W1" s="1549"/>
    </row>
    <row r="2" spans="1:23" s="1267" customFormat="1" ht="15" customHeight="1">
      <c r="A2" s="1547"/>
      <c r="B2" s="1280" t="str">
        <f>'I. PERSIAPAN'!B2</f>
        <v>PROYEK SHOWROOM &amp; WORKSHOP</v>
      </c>
      <c r="E2" s="1283"/>
      <c r="F2" s="1550"/>
      <c r="G2" s="1284"/>
      <c r="H2" s="1284"/>
      <c r="I2" s="1284"/>
      <c r="J2" s="1284"/>
      <c r="K2" s="1284"/>
      <c r="L2" s="1284"/>
      <c r="M2" s="1284"/>
      <c r="N2" s="1284"/>
      <c r="O2" s="1284"/>
      <c r="P2" s="1283"/>
      <c r="Q2" s="1283"/>
      <c r="R2" s="1283"/>
      <c r="W2" s="1549"/>
    </row>
    <row r="3" spans="1:23" s="1267" customFormat="1" ht="15" customHeight="1">
      <c r="A3" s="1547"/>
      <c r="B3" s="1280" t="str">
        <f>'I. PERSIAPAN'!B3</f>
        <v>DAIHATSU Cabang BATAM-KEPULAUAN RIAU</v>
      </c>
      <c r="E3" s="1283"/>
      <c r="F3" s="1550"/>
      <c r="G3" s="1284"/>
      <c r="H3" s="1284"/>
      <c r="I3" s="1284"/>
      <c r="J3" s="1284"/>
      <c r="K3" s="1284"/>
      <c r="L3" s="1284"/>
      <c r="M3" s="1284"/>
      <c r="N3" s="1284"/>
      <c r="O3" s="1284"/>
      <c r="P3" s="1283"/>
      <c r="Q3" s="1283"/>
      <c r="R3" s="1283"/>
      <c r="W3" s="1549"/>
    </row>
    <row r="4" spans="1:23" s="1267" customFormat="1" ht="15" customHeight="1">
      <c r="A4" s="1547"/>
      <c r="B4" s="1280" t="str">
        <f>'I. PERSIAPAN'!B4</f>
        <v xml:space="preserve">PT. ASTRA INTERNATIONAL Tbk </v>
      </c>
      <c r="E4" s="1283"/>
      <c r="F4" s="1550"/>
      <c r="G4" s="1284"/>
      <c r="H4" s="1284"/>
      <c r="I4" s="1284"/>
      <c r="J4" s="1284"/>
      <c r="K4" s="1284"/>
      <c r="L4" s="1284"/>
      <c r="M4" s="1284"/>
      <c r="N4" s="1284"/>
      <c r="O4" s="1284"/>
      <c r="P4" s="1283"/>
      <c r="Q4" s="1283"/>
      <c r="R4" s="1283"/>
      <c r="W4" s="1549"/>
    </row>
    <row r="5" spans="1:23" s="1267" customFormat="1" ht="15" customHeight="1">
      <c r="A5" s="1547"/>
      <c r="B5" s="1280" t="str">
        <f>'I. PERSIAPAN'!B5</f>
        <v>PERIODE : 6- 18 April2026</v>
      </c>
      <c r="E5" s="1283"/>
      <c r="F5" s="1550"/>
      <c r="G5" s="1284"/>
      <c r="H5" s="1284"/>
      <c r="I5" s="1284"/>
      <c r="J5" s="1284"/>
      <c r="K5" s="1284"/>
      <c r="L5" s="1284"/>
      <c r="M5" s="1284"/>
      <c r="N5" s="1284"/>
      <c r="O5" s="1284"/>
      <c r="P5" s="1283"/>
      <c r="Q5" s="1283"/>
      <c r="R5" s="1283"/>
      <c r="W5" s="1549"/>
    </row>
    <row r="6" spans="1:23" s="1267" customFormat="1" ht="15" customHeight="1">
      <c r="A6" s="1547"/>
      <c r="B6" s="1280" t="str">
        <f>'I. PERSIAPAN'!B6</f>
        <v>MINGGU KE 2 (Dua)</v>
      </c>
      <c r="E6" s="1283"/>
      <c r="F6" s="1550"/>
      <c r="G6" s="1284"/>
      <c r="H6" s="1284"/>
      <c r="I6" s="1284"/>
      <c r="J6" s="1284"/>
      <c r="K6" s="1284"/>
      <c r="L6" s="1284"/>
      <c r="M6" s="1284"/>
      <c r="N6" s="1284"/>
      <c r="O6" s="1284"/>
      <c r="P6" s="1283"/>
      <c r="Q6" s="1283"/>
      <c r="R6" s="1283"/>
      <c r="W6" s="1549"/>
    </row>
    <row r="7" spans="1:23" ht="13.8">
      <c r="B7" s="1551"/>
      <c r="C7" s="1552"/>
      <c r="D7" s="1552"/>
      <c r="E7" s="1552"/>
      <c r="F7" s="1553"/>
      <c r="G7" s="1554"/>
      <c r="H7" s="1552"/>
      <c r="I7" s="1552"/>
    </row>
    <row r="8" spans="1:23" ht="22.5" customHeight="1">
      <c r="B8" s="2108" t="s">
        <v>93</v>
      </c>
      <c r="C8" s="2110" t="s">
        <v>94</v>
      </c>
      <c r="D8" s="2110"/>
      <c r="E8" s="2110" t="s">
        <v>59</v>
      </c>
      <c r="F8" s="2112" t="s">
        <v>95</v>
      </c>
      <c r="G8" s="2114" t="s">
        <v>96</v>
      </c>
      <c r="H8" s="2123" t="s">
        <v>97</v>
      </c>
      <c r="I8" s="2123" t="s">
        <v>98</v>
      </c>
      <c r="J8" s="2125" t="s">
        <v>14</v>
      </c>
      <c r="K8" s="2116" t="s">
        <v>64</v>
      </c>
      <c r="L8" s="2101"/>
      <c r="M8" s="2117"/>
      <c r="N8" s="2116" t="s">
        <v>16</v>
      </c>
      <c r="O8" s="2101"/>
      <c r="P8" s="2117"/>
      <c r="Q8" s="336" t="s">
        <v>65</v>
      </c>
      <c r="R8" s="336"/>
      <c r="S8" s="336"/>
      <c r="T8" s="2102" t="s">
        <v>18</v>
      </c>
      <c r="U8" s="2103"/>
    </row>
    <row r="9" spans="1:23" ht="22.5" customHeight="1">
      <c r="B9" s="2109"/>
      <c r="C9" s="2111"/>
      <c r="D9" s="2111"/>
      <c r="E9" s="2111"/>
      <c r="F9" s="2113"/>
      <c r="G9" s="2115"/>
      <c r="H9" s="2124"/>
      <c r="I9" s="2124"/>
      <c r="J9" s="2126"/>
      <c r="K9" s="340" t="s">
        <v>20</v>
      </c>
      <c r="L9" s="341" t="s">
        <v>21</v>
      </c>
      <c r="M9" s="342" t="s">
        <v>14</v>
      </c>
      <c r="N9" s="340" t="s">
        <v>20</v>
      </c>
      <c r="O9" s="343" t="s">
        <v>21</v>
      </c>
      <c r="P9" s="343" t="s">
        <v>14</v>
      </c>
      <c r="Q9" s="344" t="s">
        <v>20</v>
      </c>
      <c r="R9" s="340" t="s">
        <v>21</v>
      </c>
      <c r="S9" s="342" t="s">
        <v>14</v>
      </c>
      <c r="T9" s="2104"/>
      <c r="U9" s="2105"/>
    </row>
    <row r="10" spans="1:23" ht="20.25" customHeight="1">
      <c r="B10" s="1555"/>
      <c r="C10" s="1556"/>
      <c r="D10" s="1557"/>
      <c r="E10" s="1558"/>
      <c r="F10" s="1559"/>
      <c r="G10" s="1560"/>
      <c r="H10" s="1561"/>
      <c r="I10" s="1562"/>
      <c r="J10" s="1563"/>
      <c r="K10" s="1564"/>
      <c r="L10" s="1564"/>
      <c r="M10" s="1565"/>
      <c r="N10" s="1566"/>
      <c r="O10" s="1564"/>
      <c r="P10" s="1567"/>
      <c r="Q10" s="1566"/>
      <c r="R10" s="1564"/>
      <c r="S10" s="1567"/>
      <c r="T10" s="1563"/>
      <c r="U10" s="1568"/>
    </row>
    <row r="11" spans="1:23" ht="20.25" customHeight="1">
      <c r="B11" s="1569" t="s">
        <v>23</v>
      </c>
      <c r="C11" s="1570"/>
      <c r="D11" s="1571" t="s">
        <v>99</v>
      </c>
      <c r="E11" s="1572"/>
      <c r="F11" s="1573"/>
      <c r="G11" s="1574"/>
      <c r="H11" s="1575"/>
      <c r="I11" s="1576"/>
      <c r="J11" s="1577"/>
      <c r="K11" s="1578"/>
      <c r="L11" s="1578"/>
      <c r="M11" s="1579"/>
      <c r="N11" s="1580"/>
      <c r="O11" s="1578"/>
      <c r="P11" s="1581"/>
      <c r="Q11" s="1580"/>
      <c r="R11" s="1578"/>
      <c r="S11" s="1581"/>
      <c r="T11" s="1577"/>
      <c r="U11" s="1582"/>
    </row>
    <row r="12" spans="1:23" ht="20.25" customHeight="1">
      <c r="B12" s="1569"/>
      <c r="C12" s="1570"/>
      <c r="D12" s="1583"/>
      <c r="E12" s="1572"/>
      <c r="F12" s="1573"/>
      <c r="G12" s="1574"/>
      <c r="H12" s="1575"/>
      <c r="I12" s="1576"/>
      <c r="J12" s="1577"/>
      <c r="K12" s="1578"/>
      <c r="L12" s="1578"/>
      <c r="M12" s="1579"/>
      <c r="N12" s="1580"/>
      <c r="O12" s="1578"/>
      <c r="P12" s="1581"/>
      <c r="Q12" s="1580"/>
      <c r="R12" s="1578"/>
      <c r="S12" s="1581"/>
      <c r="T12" s="1577"/>
      <c r="U12" s="1582"/>
    </row>
    <row r="13" spans="1:23" ht="20.25" customHeight="1">
      <c r="B13" s="1584"/>
      <c r="C13" s="1570" t="s">
        <v>32</v>
      </c>
      <c r="D13" s="1585" t="str">
        <f>D18</f>
        <v>PEKERJAAN BONGKARAN</v>
      </c>
      <c r="E13" s="1586"/>
      <c r="F13" s="1573"/>
      <c r="G13" s="1574"/>
      <c r="H13" s="1587"/>
      <c r="I13" s="1588">
        <f>$I$45</f>
        <v>99063134.959999993</v>
      </c>
      <c r="J13" s="744">
        <f>I13/'REKAP TOTAL'!F44</f>
        <v>8.1472484543545758E-3</v>
      </c>
      <c r="K13" s="1578"/>
      <c r="L13" s="1578"/>
      <c r="M13" s="1579"/>
      <c r="N13" s="1580"/>
      <c r="O13" s="1578"/>
      <c r="P13" s="1581"/>
      <c r="Q13" s="1580"/>
      <c r="R13" s="1578"/>
      <c r="S13" s="1581"/>
      <c r="T13" s="1577"/>
      <c r="U13" s="1582"/>
    </row>
    <row r="14" spans="1:23" ht="20.25" customHeight="1">
      <c r="B14" s="1584"/>
      <c r="C14" s="1570" t="s">
        <v>34</v>
      </c>
      <c r="D14" s="1585" t="str">
        <f>D46</f>
        <v>PEKERJAAN SALURAN</v>
      </c>
      <c r="E14" s="1586"/>
      <c r="F14" s="1573"/>
      <c r="G14" s="1574"/>
      <c r="H14" s="1587"/>
      <c r="I14" s="1588">
        <f>$I$56</f>
        <v>274745887.80000001</v>
      </c>
      <c r="J14" s="744">
        <f>I14/'REKAP TOTAL'!F44</f>
        <v>2.2595923404025754E-2</v>
      </c>
      <c r="K14" s="1578"/>
      <c r="L14" s="1578"/>
      <c r="M14" s="1579"/>
      <c r="N14" s="1580"/>
      <c r="O14" s="1578"/>
      <c r="P14" s="1581"/>
      <c r="Q14" s="1580"/>
      <c r="R14" s="1578"/>
      <c r="S14" s="1581"/>
      <c r="T14" s="1577"/>
      <c r="U14" s="1582"/>
    </row>
    <row r="15" spans="1:23" ht="20.25" customHeight="1">
      <c r="B15" s="1584"/>
      <c r="C15" s="1570" t="s">
        <v>24</v>
      </c>
      <c r="D15" s="1585" t="str">
        <f>D58</f>
        <v>PEKERJAAN PAVING BLOCK, EX. LOKAL / SNI</v>
      </c>
      <c r="E15" s="1586"/>
      <c r="F15" s="1573"/>
      <c r="G15" s="1574"/>
      <c r="H15" s="1587"/>
      <c r="I15" s="1588">
        <f>$I$68</f>
        <v>773081348</v>
      </c>
      <c r="J15" s="744">
        <f>I15/'REKAP TOTAL'!F44</f>
        <v>6.3580521857364736E-2</v>
      </c>
      <c r="K15" s="1578"/>
      <c r="L15" s="1578"/>
      <c r="M15" s="1579"/>
      <c r="N15" s="1580"/>
      <c r="O15" s="1578"/>
      <c r="P15" s="1581"/>
      <c r="Q15" s="1580"/>
      <c r="R15" s="1578"/>
      <c r="S15" s="1581"/>
      <c r="T15" s="1577"/>
      <c r="U15" s="1582"/>
    </row>
    <row r="16" spans="1:23" ht="20.25" customHeight="1">
      <c r="B16" s="1584"/>
      <c r="C16" s="1570" t="s">
        <v>25</v>
      </c>
      <c r="D16" s="1585" t="str">
        <f>D70</f>
        <v>PEKERJAAN LAIN-LAIN</v>
      </c>
      <c r="E16" s="1586"/>
      <c r="F16" s="1573"/>
      <c r="G16" s="1574"/>
      <c r="H16" s="1587"/>
      <c r="I16" s="1588">
        <f>$I$87</f>
        <v>64413739</v>
      </c>
      <c r="J16" s="744">
        <f>I16/'REKAP TOTAL'!F44</f>
        <v>5.2975785161538877E-3</v>
      </c>
      <c r="K16" s="1578"/>
      <c r="L16" s="1578"/>
      <c r="M16" s="1579"/>
      <c r="N16" s="1580"/>
      <c r="O16" s="1578"/>
      <c r="P16" s="1581"/>
      <c r="Q16" s="1580"/>
      <c r="R16" s="1578"/>
      <c r="S16" s="1581"/>
      <c r="T16" s="1577"/>
      <c r="U16" s="1582"/>
    </row>
    <row r="17" spans="2:21" ht="19.5" customHeight="1">
      <c r="B17" s="1589"/>
      <c r="C17" s="1590"/>
      <c r="D17" s="1591"/>
      <c r="E17" s="1592"/>
      <c r="F17" s="1593"/>
      <c r="G17" s="1594"/>
      <c r="H17" s="1595"/>
      <c r="I17" s="1596"/>
      <c r="J17" s="744">
        <f>SUM(J13:J16)</f>
        <v>9.9621272231898955E-2</v>
      </c>
      <c r="K17" s="1578"/>
      <c r="L17" s="1578"/>
      <c r="M17" s="1579"/>
      <c r="N17" s="1580"/>
      <c r="O17" s="1578"/>
      <c r="P17" s="1581"/>
      <c r="Q17" s="1580"/>
      <c r="R17" s="1578"/>
      <c r="S17" s="1581"/>
      <c r="T17" s="1577"/>
      <c r="U17" s="1582"/>
    </row>
    <row r="18" spans="2:21" ht="13.8">
      <c r="B18" s="1597" t="s">
        <v>32</v>
      </c>
      <c r="C18" s="1590"/>
      <c r="D18" s="1591" t="s">
        <v>100</v>
      </c>
      <c r="E18" s="1592"/>
      <c r="F18" s="1593"/>
      <c r="G18" s="1594"/>
      <c r="H18" s="1595"/>
      <c r="I18" s="1596"/>
      <c r="J18" s="1577"/>
      <c r="K18" s="1578"/>
      <c r="L18" s="1578"/>
      <c r="M18" s="1579"/>
      <c r="N18" s="1580"/>
      <c r="O18" s="1578"/>
      <c r="P18" s="1581"/>
      <c r="Q18" s="1580"/>
      <c r="R18" s="1578"/>
      <c r="S18" s="1581"/>
      <c r="T18" s="1577"/>
      <c r="U18" s="1582"/>
    </row>
    <row r="19" spans="2:21" ht="17.25" customHeight="1">
      <c r="B19" s="1598"/>
      <c r="C19" s="1599"/>
      <c r="D19" s="1600"/>
      <c r="E19" s="1592"/>
      <c r="F19" s="1601"/>
      <c r="G19" s="946"/>
      <c r="H19" s="1595"/>
      <c r="I19" s="1596"/>
      <c r="J19" s="1577"/>
      <c r="K19" s="1578"/>
      <c r="L19" s="1578"/>
      <c r="M19" s="1579"/>
      <c r="N19" s="1580"/>
      <c r="O19" s="1578"/>
      <c r="P19" s="1581"/>
      <c r="Q19" s="1580"/>
      <c r="R19" s="1578"/>
      <c r="S19" s="1581"/>
      <c r="T19" s="1577"/>
      <c r="U19" s="1582"/>
    </row>
    <row r="20" spans="2:21" ht="27" customHeight="1">
      <c r="B20" s="1602">
        <v>1</v>
      </c>
      <c r="C20" s="1603"/>
      <c r="D20" s="1604" t="s">
        <v>101</v>
      </c>
      <c r="E20" s="1592"/>
      <c r="F20" s="1601"/>
      <c r="G20" s="946"/>
      <c r="H20" s="1595"/>
      <c r="I20" s="1596"/>
      <c r="J20" s="1577"/>
      <c r="K20" s="1578"/>
      <c r="L20" s="1578"/>
      <c r="M20" s="1579"/>
      <c r="N20" s="1580"/>
      <c r="O20" s="1578"/>
      <c r="P20" s="1581"/>
      <c r="Q20" s="1580"/>
      <c r="R20" s="1578"/>
      <c r="S20" s="1581"/>
      <c r="T20" s="1577"/>
      <c r="U20" s="1582"/>
    </row>
    <row r="21" spans="2:21" ht="29.25" customHeight="1">
      <c r="B21" s="1602"/>
      <c r="C21" s="1603"/>
      <c r="D21" s="1604" t="s">
        <v>102</v>
      </c>
      <c r="E21" s="1592" t="s">
        <v>103</v>
      </c>
      <c r="F21" s="1601">
        <v>76.607699999999994</v>
      </c>
      <c r="G21" s="946">
        <v>76.607699999999994</v>
      </c>
      <c r="H21" s="1595">
        <v>130400</v>
      </c>
      <c r="I21" s="1605">
        <f>$G21*H21</f>
        <v>9989644.0800000001</v>
      </c>
      <c r="J21" s="1330">
        <f>I21/'REKAP TOTAL'!F44</f>
        <v>8.2157820185274242E-4</v>
      </c>
      <c r="K21" s="1606">
        <v>0</v>
      </c>
      <c r="L21" s="1607">
        <v>0</v>
      </c>
      <c r="M21" s="1608">
        <v>0</v>
      </c>
      <c r="N21" s="1609">
        <f>+Q21-K21</f>
        <v>0</v>
      </c>
      <c r="O21" s="1607">
        <f>+R21-L21</f>
        <v>0</v>
      </c>
      <c r="P21" s="1610">
        <f>+S21-M21</f>
        <v>0</v>
      </c>
      <c r="Q21" s="1611">
        <f>+W21</f>
        <v>0</v>
      </c>
      <c r="R21" s="1612">
        <f>+Q21/F21</f>
        <v>0</v>
      </c>
      <c r="S21" s="1613">
        <f>+R21*J21</f>
        <v>0</v>
      </c>
      <c r="T21" s="1579"/>
      <c r="U21" s="1582"/>
    </row>
    <row r="22" spans="2:21" ht="21.75" customHeight="1">
      <c r="B22" s="1602"/>
      <c r="C22" s="1603"/>
      <c r="D22" s="1604" t="s">
        <v>104</v>
      </c>
      <c r="E22" s="1592" t="s">
        <v>103</v>
      </c>
      <c r="F22" s="1601">
        <v>58.46</v>
      </c>
      <c r="G22" s="946">
        <v>58.46</v>
      </c>
      <c r="H22" s="1595">
        <v>172000</v>
      </c>
      <c r="I22" s="1605">
        <f>$G22*H22</f>
        <v>10055120</v>
      </c>
      <c r="J22" s="1330">
        <f>I22/'REKAP TOTAL'!F44</f>
        <v>8.2696313731064853E-4</v>
      </c>
      <c r="K22" s="1606">
        <v>0</v>
      </c>
      <c r="L22" s="1607">
        <v>0</v>
      </c>
      <c r="M22" s="1608">
        <v>0</v>
      </c>
      <c r="N22" s="1609">
        <f t="shared" ref="N22:N23" si="0">+Q22-K22</f>
        <v>0</v>
      </c>
      <c r="O22" s="1607">
        <f t="shared" ref="O22:O23" si="1">+R22-L22</f>
        <v>0</v>
      </c>
      <c r="P22" s="1610">
        <f t="shared" ref="P22:P23" si="2">+S22-M22</f>
        <v>0</v>
      </c>
      <c r="Q22" s="1611">
        <f>+W22</f>
        <v>0</v>
      </c>
      <c r="R22" s="1612">
        <f t="shared" ref="R22:R23" si="3">+Q22/F22</f>
        <v>0</v>
      </c>
      <c r="S22" s="1613">
        <f t="shared" ref="S22:S23" si="4">+R22*J22</f>
        <v>0</v>
      </c>
      <c r="T22" s="1579"/>
      <c r="U22" s="1582"/>
    </row>
    <row r="23" spans="2:21" ht="25.5" customHeight="1">
      <c r="B23" s="1602"/>
      <c r="C23" s="1603"/>
      <c r="D23" s="1604" t="s">
        <v>105</v>
      </c>
      <c r="E23" s="1592" t="s">
        <v>103</v>
      </c>
      <c r="F23" s="1601">
        <v>28.6</v>
      </c>
      <c r="G23" s="946">
        <v>28.6</v>
      </c>
      <c r="H23" s="1595">
        <v>101300</v>
      </c>
      <c r="I23" s="1605">
        <f>$G23*H23</f>
        <v>2897180</v>
      </c>
      <c r="J23" s="1330">
        <f>I23/'REKAP TOTAL'!F44</f>
        <v>2.3827274683481297E-4</v>
      </c>
      <c r="K23" s="1606">
        <v>0</v>
      </c>
      <c r="L23" s="1607">
        <v>0</v>
      </c>
      <c r="M23" s="1608">
        <v>0</v>
      </c>
      <c r="N23" s="1609">
        <f t="shared" si="0"/>
        <v>0</v>
      </c>
      <c r="O23" s="1607">
        <f t="shared" si="1"/>
        <v>0</v>
      </c>
      <c r="P23" s="1610">
        <f t="shared" si="2"/>
        <v>0</v>
      </c>
      <c r="Q23" s="1611">
        <f>+W23</f>
        <v>0</v>
      </c>
      <c r="R23" s="1612">
        <f t="shared" si="3"/>
        <v>0</v>
      </c>
      <c r="S23" s="1613">
        <f t="shared" si="4"/>
        <v>0</v>
      </c>
      <c r="T23" s="1579"/>
      <c r="U23" s="1582"/>
    </row>
    <row r="24" spans="2:21" ht="25.5" customHeight="1">
      <c r="B24" s="1602"/>
      <c r="C24" s="1603"/>
      <c r="D24" s="1604" t="s">
        <v>106</v>
      </c>
      <c r="E24" s="1592"/>
      <c r="F24" s="1601"/>
      <c r="G24" s="946"/>
      <c r="H24" s="1595"/>
      <c r="I24" s="1605"/>
      <c r="J24" s="1330"/>
      <c r="K24" s="1606"/>
      <c r="L24" s="1607"/>
      <c r="M24" s="1608"/>
      <c r="N24" s="1609"/>
      <c r="O24" s="1607"/>
      <c r="P24" s="1610"/>
      <c r="Q24" s="1611"/>
      <c r="R24" s="1612"/>
      <c r="S24" s="1613"/>
      <c r="T24" s="1579"/>
      <c r="U24" s="1582"/>
    </row>
    <row r="25" spans="2:21" ht="25.5" customHeight="1">
      <c r="B25" s="1602"/>
      <c r="C25" s="1603"/>
      <c r="D25" s="1604" t="s">
        <v>107</v>
      </c>
      <c r="E25" s="1592" t="s">
        <v>103</v>
      </c>
      <c r="F25" s="1601">
        <v>58.46</v>
      </c>
      <c r="G25" s="946">
        <v>58.46</v>
      </c>
      <c r="H25" s="1595">
        <v>95300</v>
      </c>
      <c r="I25" s="1605">
        <f>$G25*H25</f>
        <v>5571238</v>
      </c>
      <c r="J25" s="1330">
        <f>I25/'REKAP TOTAL'!F44</f>
        <v>4.5819527317270234E-4</v>
      </c>
      <c r="K25" s="1606">
        <v>0</v>
      </c>
      <c r="L25" s="1607">
        <v>0</v>
      </c>
      <c r="M25" s="1608">
        <v>0</v>
      </c>
      <c r="N25" s="1609">
        <f t="shared" ref="N25:N29" si="5">+Q25-K25</f>
        <v>0</v>
      </c>
      <c r="O25" s="1607">
        <f t="shared" ref="O25:O29" si="6">+R25-L25</f>
        <v>0</v>
      </c>
      <c r="P25" s="1610">
        <f t="shared" ref="P25:P29" si="7">+S25-M25</f>
        <v>0</v>
      </c>
      <c r="Q25" s="1611">
        <f>+W25</f>
        <v>0</v>
      </c>
      <c r="R25" s="1612">
        <f t="shared" ref="R25:R29" si="8">+Q25/F25</f>
        <v>0</v>
      </c>
      <c r="S25" s="1613">
        <f t="shared" ref="S25:S29" si="9">+R25*J25</f>
        <v>0</v>
      </c>
      <c r="T25" s="1579"/>
      <c r="U25" s="1582"/>
    </row>
    <row r="26" spans="2:21" ht="25.5" customHeight="1">
      <c r="B26" s="1602"/>
      <c r="C26" s="1603"/>
      <c r="D26" s="1604" t="s">
        <v>108</v>
      </c>
      <c r="E26" s="1592" t="s">
        <v>103</v>
      </c>
      <c r="F26" s="1601">
        <v>7.2560000000000002</v>
      </c>
      <c r="G26" s="946">
        <v>7.2560000000000002</v>
      </c>
      <c r="H26" s="1595">
        <v>95300</v>
      </c>
      <c r="I26" s="1605">
        <f>$G26*H26</f>
        <v>691496.8</v>
      </c>
      <c r="J26" s="1330">
        <f>I26/'REKAP TOTAL'!F44</f>
        <v>5.687076466201041E-5</v>
      </c>
      <c r="K26" s="1606">
        <v>0</v>
      </c>
      <c r="L26" s="1607">
        <v>0</v>
      </c>
      <c r="M26" s="1614">
        <v>0</v>
      </c>
      <c r="N26" s="1609">
        <f t="shared" si="5"/>
        <v>0</v>
      </c>
      <c r="O26" s="1607">
        <f t="shared" si="6"/>
        <v>0</v>
      </c>
      <c r="P26" s="1610">
        <f t="shared" si="7"/>
        <v>0</v>
      </c>
      <c r="Q26" s="1615">
        <f>+W26</f>
        <v>0</v>
      </c>
      <c r="R26" s="1612">
        <f t="shared" si="8"/>
        <v>0</v>
      </c>
      <c r="S26" s="1613">
        <f t="shared" si="9"/>
        <v>0</v>
      </c>
      <c r="T26" s="1579"/>
      <c r="U26" s="1582"/>
    </row>
    <row r="27" spans="2:21" ht="25.5" customHeight="1">
      <c r="B27" s="1602"/>
      <c r="C27" s="1603"/>
      <c r="D27" s="1604" t="s">
        <v>109</v>
      </c>
      <c r="E27" s="1592" t="s">
        <v>103</v>
      </c>
      <c r="F27" s="1601">
        <v>10</v>
      </c>
      <c r="G27" s="946">
        <v>10</v>
      </c>
      <c r="H27" s="1595">
        <v>95300</v>
      </c>
      <c r="I27" s="1605">
        <f>$G27*H27</f>
        <v>953000</v>
      </c>
      <c r="J27" s="1330">
        <f>I27/'REKAP TOTAL'!F44</f>
        <v>7.8377569820852272E-5</v>
      </c>
      <c r="K27" s="1606">
        <v>0</v>
      </c>
      <c r="L27" s="1607">
        <v>0</v>
      </c>
      <c r="M27" s="1614">
        <v>0</v>
      </c>
      <c r="N27" s="1609">
        <f t="shared" si="5"/>
        <v>0</v>
      </c>
      <c r="O27" s="1607">
        <f t="shared" si="6"/>
        <v>0</v>
      </c>
      <c r="P27" s="1610">
        <f t="shared" si="7"/>
        <v>0</v>
      </c>
      <c r="Q27" s="1615">
        <f>+W27</f>
        <v>0</v>
      </c>
      <c r="R27" s="1612">
        <f t="shared" si="8"/>
        <v>0</v>
      </c>
      <c r="S27" s="1613">
        <f t="shared" si="9"/>
        <v>0</v>
      </c>
      <c r="T27" s="1579"/>
      <c r="U27" s="1582"/>
    </row>
    <row r="28" spans="2:21" ht="25.5" customHeight="1">
      <c r="B28" s="1602"/>
      <c r="C28" s="1603"/>
      <c r="D28" s="1604" t="s">
        <v>110</v>
      </c>
      <c r="E28" s="1592" t="s">
        <v>103</v>
      </c>
      <c r="F28" s="1601">
        <v>13.45</v>
      </c>
      <c r="G28" s="946">
        <v>13.45</v>
      </c>
      <c r="H28" s="1595">
        <v>95300</v>
      </c>
      <c r="I28" s="1605">
        <f>$G28*H28</f>
        <v>1281785</v>
      </c>
      <c r="J28" s="1330">
        <f>I28/'REKAP TOTAL'!F44</f>
        <v>1.054178314090463E-4</v>
      </c>
      <c r="K28" s="1606">
        <v>0</v>
      </c>
      <c r="L28" s="1607">
        <v>0</v>
      </c>
      <c r="M28" s="1614">
        <v>0</v>
      </c>
      <c r="N28" s="1609">
        <f t="shared" si="5"/>
        <v>0</v>
      </c>
      <c r="O28" s="1607">
        <f t="shared" si="6"/>
        <v>0</v>
      </c>
      <c r="P28" s="1610">
        <f t="shared" si="7"/>
        <v>0</v>
      </c>
      <c r="Q28" s="1615">
        <f>+W28</f>
        <v>0</v>
      </c>
      <c r="R28" s="1612">
        <f t="shared" si="8"/>
        <v>0</v>
      </c>
      <c r="S28" s="1613">
        <f t="shared" si="9"/>
        <v>0</v>
      </c>
      <c r="T28" s="1579"/>
      <c r="U28" s="1582"/>
    </row>
    <row r="29" spans="2:21" ht="21.75" customHeight="1">
      <c r="B29" s="1602"/>
      <c r="C29" s="1603"/>
      <c r="D29" s="1604" t="s">
        <v>111</v>
      </c>
      <c r="E29" s="1592" t="s">
        <v>103</v>
      </c>
      <c r="F29" s="1601">
        <v>13.743600000000001</v>
      </c>
      <c r="G29" s="946">
        <v>13.743600000000001</v>
      </c>
      <c r="H29" s="1595">
        <v>130400</v>
      </c>
      <c r="I29" s="1605">
        <f>$G29*H29</f>
        <v>1792165.44</v>
      </c>
      <c r="J29" s="1330">
        <f>I29/'REKAP TOTAL'!F44</f>
        <v>1.473930450200613E-4</v>
      </c>
      <c r="K29" s="1606">
        <v>0</v>
      </c>
      <c r="L29" s="1607">
        <v>0</v>
      </c>
      <c r="M29" s="1614">
        <v>0</v>
      </c>
      <c r="N29" s="1609">
        <f t="shared" si="5"/>
        <v>0</v>
      </c>
      <c r="O29" s="1607">
        <f t="shared" si="6"/>
        <v>0</v>
      </c>
      <c r="P29" s="1610">
        <f t="shared" si="7"/>
        <v>0</v>
      </c>
      <c r="Q29" s="1615">
        <f>+W29</f>
        <v>0</v>
      </c>
      <c r="R29" s="1612">
        <f t="shared" si="8"/>
        <v>0</v>
      </c>
      <c r="S29" s="1613">
        <f t="shared" si="9"/>
        <v>0</v>
      </c>
      <c r="T29" s="1579"/>
      <c r="U29" s="1582"/>
    </row>
    <row r="30" spans="2:21" ht="45" customHeight="1">
      <c r="B30" s="1602"/>
      <c r="C30" s="1603"/>
      <c r="D30" s="1604" t="s">
        <v>112</v>
      </c>
      <c r="E30" s="1592"/>
      <c r="F30" s="1601"/>
      <c r="G30" s="946">
        <v>0</v>
      </c>
      <c r="H30" s="1595">
        <v>0</v>
      </c>
      <c r="I30" s="1605"/>
      <c r="J30" s="1330"/>
      <c r="K30" s="1606"/>
      <c r="L30" s="1607"/>
      <c r="M30" s="1614"/>
      <c r="N30" s="1609"/>
      <c r="O30" s="1607"/>
      <c r="P30" s="1610"/>
      <c r="Q30" s="1615"/>
      <c r="R30" s="1612"/>
      <c r="S30" s="1613"/>
      <c r="T30" s="1579"/>
      <c r="U30" s="1582"/>
    </row>
    <row r="31" spans="2:21" ht="21.75" customHeight="1">
      <c r="B31" s="1602"/>
      <c r="C31" s="1603"/>
      <c r="D31" s="1604" t="s">
        <v>113</v>
      </c>
      <c r="E31" s="1592" t="s">
        <v>103</v>
      </c>
      <c r="F31" s="1601">
        <v>34.633000000000003</v>
      </c>
      <c r="G31" s="946">
        <v>34.633000000000003</v>
      </c>
      <c r="H31" s="1595">
        <v>172000</v>
      </c>
      <c r="I31" s="1605">
        <f t="shared" ref="I31:I36" si="10">$G31*H31</f>
        <v>5956876</v>
      </c>
      <c r="J31" s="1330">
        <f>I31/'REKAP TOTAL'!F44</f>
        <v>4.8991129549229718E-4</v>
      </c>
      <c r="K31" s="1606">
        <v>0</v>
      </c>
      <c r="L31" s="1607">
        <v>0</v>
      </c>
      <c r="M31" s="1614">
        <v>0</v>
      </c>
      <c r="N31" s="1609">
        <f t="shared" ref="N31:N44" si="11">+Q31-K31</f>
        <v>0</v>
      </c>
      <c r="O31" s="1607">
        <f t="shared" ref="O31:O44" si="12">+R31-L31</f>
        <v>0</v>
      </c>
      <c r="P31" s="1610">
        <f t="shared" ref="P31:P44" si="13">+S31-M31</f>
        <v>0</v>
      </c>
      <c r="Q31" s="1615">
        <f t="shared" ref="Q31:Q36" si="14">+W31</f>
        <v>0</v>
      </c>
      <c r="R31" s="1612">
        <f t="shared" ref="R31:R44" si="15">+Q31/F31</f>
        <v>0</v>
      </c>
      <c r="S31" s="1613">
        <f t="shared" ref="S31:S44" si="16">+R31*J31</f>
        <v>0</v>
      </c>
      <c r="T31" s="1579"/>
      <c r="U31" s="1582"/>
    </row>
    <row r="32" spans="2:21" ht="21.75" customHeight="1">
      <c r="B32" s="1602"/>
      <c r="C32" s="1603"/>
      <c r="D32" s="1604" t="s">
        <v>114</v>
      </c>
      <c r="E32" s="1592" t="s">
        <v>103</v>
      </c>
      <c r="F32" s="1601">
        <v>7.9349999999999996</v>
      </c>
      <c r="G32" s="946">
        <v>7.9349999999999996</v>
      </c>
      <c r="H32" s="1595">
        <v>172000</v>
      </c>
      <c r="I32" s="1605">
        <f t="shared" si="10"/>
        <v>1364820</v>
      </c>
      <c r="J32" s="1330">
        <f>I32/'REKAP TOTAL'!F44</f>
        <v>1.122468781142661E-4</v>
      </c>
      <c r="K32" s="1606">
        <v>0</v>
      </c>
      <c r="L32" s="1607">
        <v>0</v>
      </c>
      <c r="M32" s="1614">
        <v>0</v>
      </c>
      <c r="N32" s="1609">
        <f t="shared" si="11"/>
        <v>0</v>
      </c>
      <c r="O32" s="1607">
        <f t="shared" si="12"/>
        <v>0</v>
      </c>
      <c r="P32" s="1610">
        <f t="shared" si="13"/>
        <v>0</v>
      </c>
      <c r="Q32" s="1615">
        <f t="shared" si="14"/>
        <v>0</v>
      </c>
      <c r="R32" s="1612">
        <f t="shared" si="15"/>
        <v>0</v>
      </c>
      <c r="S32" s="1613">
        <f t="shared" si="16"/>
        <v>0</v>
      </c>
      <c r="T32" s="1579"/>
      <c r="U32" s="1582"/>
    </row>
    <row r="33" spans="1:23" ht="21.75" customHeight="1">
      <c r="B33" s="1602"/>
      <c r="C33" s="1603"/>
      <c r="D33" s="1604" t="s">
        <v>115</v>
      </c>
      <c r="E33" s="1592" t="s">
        <v>103</v>
      </c>
      <c r="F33" s="1601">
        <v>17.100000000000001</v>
      </c>
      <c r="G33" s="946">
        <v>17.100000000000001</v>
      </c>
      <c r="H33" s="1595">
        <v>172000</v>
      </c>
      <c r="I33" s="1605">
        <f t="shared" si="10"/>
        <v>2941200</v>
      </c>
      <c r="J33" s="1330">
        <f>I33/'REKAP TOTAL'!F44</f>
        <v>2.4189308327081919E-4</v>
      </c>
      <c r="K33" s="1606">
        <v>0</v>
      </c>
      <c r="L33" s="1607">
        <v>0</v>
      </c>
      <c r="M33" s="1614">
        <v>0</v>
      </c>
      <c r="N33" s="1609">
        <f t="shared" si="11"/>
        <v>0</v>
      </c>
      <c r="O33" s="1607">
        <f t="shared" si="12"/>
        <v>0</v>
      </c>
      <c r="P33" s="1610">
        <f t="shared" si="13"/>
        <v>0</v>
      </c>
      <c r="Q33" s="1615">
        <f t="shared" si="14"/>
        <v>0</v>
      </c>
      <c r="R33" s="1612">
        <f t="shared" si="15"/>
        <v>0</v>
      </c>
      <c r="S33" s="1613">
        <f t="shared" si="16"/>
        <v>0</v>
      </c>
      <c r="T33" s="1579"/>
      <c r="U33" s="1582"/>
    </row>
    <row r="34" spans="1:23" ht="21.75" customHeight="1">
      <c r="B34" s="1602"/>
      <c r="C34" s="1603"/>
      <c r="D34" s="1604" t="s">
        <v>116</v>
      </c>
      <c r="E34" s="1592" t="s">
        <v>103</v>
      </c>
      <c r="F34" s="1601">
        <v>9.85</v>
      </c>
      <c r="G34" s="946">
        <v>9.85</v>
      </c>
      <c r="H34" s="1595">
        <v>172000</v>
      </c>
      <c r="I34" s="1605">
        <f t="shared" si="10"/>
        <v>1694200</v>
      </c>
      <c r="J34" s="1330">
        <f>I34/'REKAP TOTAL'!F44</f>
        <v>1.3933607428172917E-4</v>
      </c>
      <c r="K34" s="1606">
        <v>0</v>
      </c>
      <c r="L34" s="1607">
        <v>0</v>
      </c>
      <c r="M34" s="1614">
        <v>0</v>
      </c>
      <c r="N34" s="1609">
        <f t="shared" si="11"/>
        <v>0</v>
      </c>
      <c r="O34" s="1607">
        <f t="shared" si="12"/>
        <v>0</v>
      </c>
      <c r="P34" s="1610">
        <f t="shared" si="13"/>
        <v>0</v>
      </c>
      <c r="Q34" s="1615">
        <f t="shared" si="14"/>
        <v>0</v>
      </c>
      <c r="R34" s="1612">
        <f t="shared" si="15"/>
        <v>0</v>
      </c>
      <c r="S34" s="1613">
        <f t="shared" si="16"/>
        <v>0</v>
      </c>
      <c r="T34" s="1579"/>
      <c r="U34" s="1582"/>
    </row>
    <row r="35" spans="1:23" ht="22.5" customHeight="1">
      <c r="B35" s="1602"/>
      <c r="C35" s="1603"/>
      <c r="D35" s="1604" t="s">
        <v>117</v>
      </c>
      <c r="E35" s="1592" t="s">
        <v>103</v>
      </c>
      <c r="F35" s="1601">
        <v>9.4068000000000005</v>
      </c>
      <c r="G35" s="946">
        <v>9.4068000000000005</v>
      </c>
      <c r="H35" s="1595">
        <v>191300</v>
      </c>
      <c r="I35" s="1605">
        <f t="shared" si="10"/>
        <v>1799520.84</v>
      </c>
      <c r="J35" s="1330">
        <f>I35/'REKAP TOTAL'!F44</f>
        <v>1.4799797511141525E-4</v>
      </c>
      <c r="K35" s="1606">
        <v>0</v>
      </c>
      <c r="L35" s="1607">
        <v>0</v>
      </c>
      <c r="M35" s="1614">
        <v>0</v>
      </c>
      <c r="N35" s="1609">
        <f t="shared" si="11"/>
        <v>0</v>
      </c>
      <c r="O35" s="1607">
        <f t="shared" si="12"/>
        <v>0</v>
      </c>
      <c r="P35" s="1610">
        <f t="shared" si="13"/>
        <v>0</v>
      </c>
      <c r="Q35" s="1615">
        <f t="shared" si="14"/>
        <v>0</v>
      </c>
      <c r="R35" s="1612">
        <f t="shared" si="15"/>
        <v>0</v>
      </c>
      <c r="S35" s="1613">
        <f t="shared" si="16"/>
        <v>0</v>
      </c>
      <c r="T35" s="1579"/>
      <c r="U35" s="1582"/>
    </row>
    <row r="36" spans="1:23" s="1533" customFormat="1" ht="45" customHeight="1">
      <c r="A36" s="1540"/>
      <c r="B36" s="1616"/>
      <c r="C36" s="1617"/>
      <c r="D36" s="1618" t="s">
        <v>118</v>
      </c>
      <c r="E36" s="1619" t="s">
        <v>103</v>
      </c>
      <c r="F36" s="1620">
        <v>73.819999999999993</v>
      </c>
      <c r="G36" s="963">
        <v>73.819999999999993</v>
      </c>
      <c r="H36" s="1621">
        <v>103600</v>
      </c>
      <c r="I36" s="1605">
        <f t="shared" si="10"/>
        <v>7647752</v>
      </c>
      <c r="J36" s="1330">
        <f>I36/'REKAP TOTAL'!F44</f>
        <v>6.289739940740426E-4</v>
      </c>
      <c r="K36" s="1606">
        <v>0</v>
      </c>
      <c r="L36" s="1607">
        <v>0</v>
      </c>
      <c r="M36" s="1614">
        <v>0</v>
      </c>
      <c r="N36" s="1609">
        <f t="shared" si="11"/>
        <v>0</v>
      </c>
      <c r="O36" s="1607">
        <f t="shared" si="12"/>
        <v>0</v>
      </c>
      <c r="P36" s="1610">
        <f t="shared" si="13"/>
        <v>0</v>
      </c>
      <c r="Q36" s="1615">
        <f t="shared" si="14"/>
        <v>0</v>
      </c>
      <c r="R36" s="1612">
        <f t="shared" si="15"/>
        <v>0</v>
      </c>
      <c r="S36" s="1613">
        <f t="shared" si="16"/>
        <v>0</v>
      </c>
      <c r="T36" s="1579"/>
      <c r="U36" s="1582"/>
      <c r="W36" s="1546"/>
    </row>
    <row r="37" spans="1:23" ht="27" customHeight="1">
      <c r="B37" s="1602">
        <v>2</v>
      </c>
      <c r="C37" s="1603"/>
      <c r="D37" s="1604" t="s">
        <v>119</v>
      </c>
      <c r="E37" s="1592"/>
      <c r="F37" s="1601"/>
      <c r="G37" s="946"/>
      <c r="H37" s="1595"/>
      <c r="I37" s="1605"/>
      <c r="J37" s="1330"/>
      <c r="K37" s="1606"/>
      <c r="L37" s="1607"/>
      <c r="M37" s="1614"/>
      <c r="N37" s="1609"/>
      <c r="O37" s="1607"/>
      <c r="P37" s="1610"/>
      <c r="Q37" s="1615"/>
      <c r="R37" s="1612"/>
      <c r="S37" s="1613"/>
      <c r="T37" s="1579"/>
      <c r="U37" s="1582"/>
    </row>
    <row r="38" spans="1:23" ht="21.75" customHeight="1">
      <c r="B38" s="1602"/>
      <c r="C38" s="1603"/>
      <c r="D38" s="1604" t="s">
        <v>120</v>
      </c>
      <c r="E38" s="1592" t="s">
        <v>103</v>
      </c>
      <c r="F38" s="1601">
        <v>30.341999999999999</v>
      </c>
      <c r="G38" s="946">
        <v>30.341999999999999</v>
      </c>
      <c r="H38" s="1595">
        <v>112900</v>
      </c>
      <c r="I38" s="1605">
        <f>$G38*H38</f>
        <v>3425611.8</v>
      </c>
      <c r="J38" s="1330">
        <f>I38/'REKAP TOTAL'!F44</f>
        <v>2.8173255827244008E-4</v>
      </c>
      <c r="K38" s="1606">
        <v>0</v>
      </c>
      <c r="L38" s="1607">
        <v>0</v>
      </c>
      <c r="M38" s="1614">
        <v>0</v>
      </c>
      <c r="N38" s="1609">
        <f t="shared" si="11"/>
        <v>0</v>
      </c>
      <c r="O38" s="1607">
        <f t="shared" si="12"/>
        <v>0</v>
      </c>
      <c r="P38" s="1610">
        <f t="shared" si="13"/>
        <v>0</v>
      </c>
      <c r="Q38" s="1615">
        <f>+W38</f>
        <v>0</v>
      </c>
      <c r="R38" s="1612">
        <f t="shared" si="15"/>
        <v>0</v>
      </c>
      <c r="S38" s="1613">
        <f t="shared" si="16"/>
        <v>0</v>
      </c>
      <c r="T38" s="1579"/>
      <c r="U38" s="1582"/>
    </row>
    <row r="39" spans="1:23" ht="21.75" customHeight="1">
      <c r="B39" s="1602"/>
      <c r="C39" s="1603"/>
      <c r="D39" s="1604" t="s">
        <v>121</v>
      </c>
      <c r="E39" s="1592" t="s">
        <v>103</v>
      </c>
      <c r="F39" s="1601">
        <v>28</v>
      </c>
      <c r="G39" s="946">
        <v>28</v>
      </c>
      <c r="H39" s="1595">
        <v>95300</v>
      </c>
      <c r="I39" s="1605">
        <f>$G39*H39</f>
        <v>2668400</v>
      </c>
      <c r="J39" s="1330">
        <f>I39/'REKAP TOTAL'!F44</f>
        <v>2.1945719549838636E-4</v>
      </c>
      <c r="K39" s="1606">
        <v>0</v>
      </c>
      <c r="L39" s="1607">
        <v>0</v>
      </c>
      <c r="M39" s="1614">
        <v>0</v>
      </c>
      <c r="N39" s="1609">
        <f t="shared" si="11"/>
        <v>0</v>
      </c>
      <c r="O39" s="1607">
        <f t="shared" si="12"/>
        <v>0</v>
      </c>
      <c r="P39" s="1610">
        <f t="shared" si="13"/>
        <v>0</v>
      </c>
      <c r="Q39" s="1615">
        <f>+W39</f>
        <v>0</v>
      </c>
      <c r="R39" s="1612">
        <f t="shared" si="15"/>
        <v>0</v>
      </c>
      <c r="S39" s="1613">
        <f t="shared" si="16"/>
        <v>0</v>
      </c>
      <c r="T39" s="1579"/>
      <c r="U39" s="1582"/>
    </row>
    <row r="40" spans="1:23" ht="27" customHeight="1">
      <c r="B40" s="1602">
        <v>3</v>
      </c>
      <c r="C40" s="1603"/>
      <c r="D40" s="1604" t="s">
        <v>122</v>
      </c>
      <c r="E40" s="1592"/>
      <c r="F40" s="1601"/>
      <c r="G40" s="946"/>
      <c r="H40" s="1595"/>
      <c r="I40" s="1605"/>
      <c r="J40" s="1330"/>
      <c r="K40" s="1606"/>
      <c r="L40" s="1607"/>
      <c r="M40" s="1614"/>
      <c r="N40" s="1609"/>
      <c r="O40" s="1607"/>
      <c r="P40" s="1610"/>
      <c r="Q40" s="1615"/>
      <c r="R40" s="1612"/>
      <c r="S40" s="1613"/>
      <c r="T40" s="1579"/>
      <c r="U40" s="1582"/>
    </row>
    <row r="41" spans="1:23" ht="42" customHeight="1">
      <c r="B41" s="1602"/>
      <c r="C41" s="1603"/>
      <c r="D41" s="1604" t="s">
        <v>123</v>
      </c>
      <c r="E41" s="1592" t="s">
        <v>103</v>
      </c>
      <c r="F41" s="1601">
        <v>37.580399999999997</v>
      </c>
      <c r="G41" s="946">
        <v>37.580399999999997</v>
      </c>
      <c r="H41" s="1595">
        <v>250000</v>
      </c>
      <c r="I41" s="1605">
        <f>$G41*H41</f>
        <v>9395100</v>
      </c>
      <c r="J41" s="1330">
        <f>I41/'REKAP TOTAL'!F44</f>
        <v>7.7268111880785851E-4</v>
      </c>
      <c r="K41" s="1606">
        <v>0</v>
      </c>
      <c r="L41" s="1607">
        <v>0</v>
      </c>
      <c r="M41" s="1614">
        <v>0</v>
      </c>
      <c r="N41" s="1609">
        <f t="shared" si="11"/>
        <v>0</v>
      </c>
      <c r="O41" s="1607">
        <f t="shared" si="12"/>
        <v>0</v>
      </c>
      <c r="P41" s="1610">
        <f t="shared" si="13"/>
        <v>0</v>
      </c>
      <c r="Q41" s="1615">
        <f t="shared" ref="Q41:Q44" si="17">+W41</f>
        <v>0</v>
      </c>
      <c r="R41" s="1612">
        <f t="shared" si="15"/>
        <v>0</v>
      </c>
      <c r="S41" s="1613">
        <f t="shared" si="16"/>
        <v>0</v>
      </c>
      <c r="T41" s="1579"/>
      <c r="U41" s="1582"/>
    </row>
    <row r="42" spans="1:23" ht="21.75" customHeight="1">
      <c r="B42" s="1602"/>
      <c r="C42" s="1603"/>
      <c r="D42" s="1604" t="s">
        <v>124</v>
      </c>
      <c r="E42" s="1592" t="s">
        <v>103</v>
      </c>
      <c r="F42" s="1601">
        <v>77.05</v>
      </c>
      <c r="G42" s="946">
        <v>77.05</v>
      </c>
      <c r="H42" s="1595">
        <v>95300</v>
      </c>
      <c r="I42" s="1605">
        <f>$G42*H42</f>
        <v>7342865</v>
      </c>
      <c r="J42" s="1330">
        <f>I42/'REKAP TOTAL'!F44</f>
        <v>6.0389917546966676E-4</v>
      </c>
      <c r="K42" s="1606">
        <v>0</v>
      </c>
      <c r="L42" s="1607">
        <v>0</v>
      </c>
      <c r="M42" s="1614">
        <v>0</v>
      </c>
      <c r="N42" s="1609">
        <f t="shared" si="11"/>
        <v>0</v>
      </c>
      <c r="O42" s="1607">
        <f t="shared" si="12"/>
        <v>0</v>
      </c>
      <c r="P42" s="1610">
        <f t="shared" si="13"/>
        <v>0</v>
      </c>
      <c r="Q42" s="1615">
        <f t="shared" si="17"/>
        <v>0</v>
      </c>
      <c r="R42" s="1612">
        <f t="shared" si="15"/>
        <v>0</v>
      </c>
      <c r="S42" s="1613">
        <f t="shared" si="16"/>
        <v>0</v>
      </c>
      <c r="T42" s="1579"/>
      <c r="U42" s="1582"/>
    </row>
    <row r="43" spans="1:23" ht="47.25" customHeight="1">
      <c r="B43" s="1602">
        <v>4</v>
      </c>
      <c r="C43" s="1603"/>
      <c r="D43" s="1618" t="s">
        <v>125</v>
      </c>
      <c r="E43" s="1592" t="s">
        <v>70</v>
      </c>
      <c r="F43" s="1601">
        <v>1</v>
      </c>
      <c r="G43" s="946">
        <v>1</v>
      </c>
      <c r="H43" s="1595">
        <v>3405800</v>
      </c>
      <c r="I43" s="1605">
        <f>$G43*H43</f>
        <v>3405800</v>
      </c>
      <c r="J43" s="1330">
        <f>I43/'REKAP TOTAL'!F44</f>
        <v>2.8010317659586426E-4</v>
      </c>
      <c r="K43" s="1606">
        <v>0</v>
      </c>
      <c r="L43" s="1607">
        <v>0</v>
      </c>
      <c r="M43" s="1614">
        <v>0</v>
      </c>
      <c r="N43" s="1609">
        <f t="shared" si="11"/>
        <v>0</v>
      </c>
      <c r="O43" s="1607">
        <f t="shared" si="12"/>
        <v>0</v>
      </c>
      <c r="P43" s="1610">
        <f t="shared" si="13"/>
        <v>0</v>
      </c>
      <c r="Q43" s="1615">
        <f t="shared" si="17"/>
        <v>0</v>
      </c>
      <c r="R43" s="1612">
        <f t="shared" si="15"/>
        <v>0</v>
      </c>
      <c r="S43" s="1613">
        <f t="shared" si="16"/>
        <v>0</v>
      </c>
      <c r="T43" s="1579"/>
      <c r="U43" s="1582"/>
    </row>
    <row r="44" spans="1:23" s="1533" customFormat="1" ht="70.5" customHeight="1">
      <c r="A44" s="1540"/>
      <c r="B44" s="1616">
        <v>5</v>
      </c>
      <c r="C44" s="1617"/>
      <c r="D44" s="1618" t="s">
        <v>126</v>
      </c>
      <c r="E44" s="1619" t="s">
        <v>88</v>
      </c>
      <c r="F44" s="1620">
        <v>7.2</v>
      </c>
      <c r="G44" s="963">
        <v>7.2</v>
      </c>
      <c r="H44" s="1621">
        <v>2526300</v>
      </c>
      <c r="I44" s="1605">
        <f>$G44*H44</f>
        <v>18189360</v>
      </c>
      <c r="J44" s="1330">
        <f>I44/'REKAP TOTAL'!F44</f>
        <v>1.4959473592829145E-3</v>
      </c>
      <c r="K44" s="1606">
        <v>0</v>
      </c>
      <c r="L44" s="1607">
        <v>0</v>
      </c>
      <c r="M44" s="1614">
        <v>0</v>
      </c>
      <c r="N44" s="1609">
        <f t="shared" si="11"/>
        <v>0</v>
      </c>
      <c r="O44" s="1607">
        <f t="shared" si="12"/>
        <v>0</v>
      </c>
      <c r="P44" s="1610">
        <f t="shared" si="13"/>
        <v>0</v>
      </c>
      <c r="Q44" s="1615">
        <f t="shared" si="17"/>
        <v>0</v>
      </c>
      <c r="R44" s="1612">
        <f t="shared" si="15"/>
        <v>0</v>
      </c>
      <c r="S44" s="1613">
        <f t="shared" si="16"/>
        <v>0</v>
      </c>
      <c r="T44" s="1579"/>
      <c r="U44" s="1582"/>
      <c r="W44" s="1546"/>
    </row>
    <row r="45" spans="1:23" ht="27" customHeight="1">
      <c r="B45" s="2118" t="s">
        <v>127</v>
      </c>
      <c r="C45" s="2119"/>
      <c r="D45" s="2119"/>
      <c r="E45" s="2119"/>
      <c r="F45" s="1622"/>
      <c r="G45" s="1623"/>
      <c r="H45" s="1624"/>
      <c r="I45" s="1625">
        <f>SUM(I19:I44)</f>
        <v>99063134.959999993</v>
      </c>
      <c r="J45" s="1626">
        <f>SUM(J21:J44)</f>
        <v>8.1472484543545758E-3</v>
      </c>
      <c r="K45" s="1627"/>
      <c r="L45" s="1628"/>
      <c r="M45" s="1629">
        <f>SUM(M20:M44)</f>
        <v>0</v>
      </c>
      <c r="N45" s="1628"/>
      <c r="O45" s="1628"/>
      <c r="P45" s="1629">
        <f>SUM(P20:P44)</f>
        <v>0</v>
      </c>
      <c r="Q45" s="1628"/>
      <c r="R45" s="1628"/>
      <c r="S45" s="1629">
        <f>SUM(S20:S44)</f>
        <v>0</v>
      </c>
      <c r="T45" s="1630"/>
      <c r="U45" s="1631"/>
    </row>
    <row r="46" spans="1:23" s="1534" customFormat="1" ht="26.25" customHeight="1">
      <c r="B46" s="1632" t="s">
        <v>34</v>
      </c>
      <c r="C46" s="1633"/>
      <c r="D46" s="1634" t="s">
        <v>128</v>
      </c>
      <c r="E46" s="1635"/>
      <c r="F46" s="1636"/>
      <c r="G46" s="1637"/>
      <c r="H46" s="1638"/>
      <c r="I46" s="1639"/>
      <c r="J46" s="1330"/>
      <c r="K46" s="1606"/>
      <c r="L46" s="1607"/>
      <c r="M46" s="1614"/>
      <c r="N46" s="1609"/>
      <c r="O46" s="1607"/>
      <c r="P46" s="1610"/>
      <c r="Q46" s="1615"/>
      <c r="R46" s="1612"/>
      <c r="S46" s="1613"/>
      <c r="T46" s="1640"/>
      <c r="U46" s="1641"/>
      <c r="W46" s="1642"/>
    </row>
    <row r="47" spans="1:23" s="1534" customFormat="1" ht="26.25" customHeight="1">
      <c r="B47" s="1632"/>
      <c r="C47" s="1633"/>
      <c r="D47" s="1643" t="s">
        <v>129</v>
      </c>
      <c r="E47" s="1635"/>
      <c r="F47" s="1644"/>
      <c r="G47" s="1645"/>
      <c r="H47" s="1638"/>
      <c r="I47" s="1639"/>
      <c r="J47" s="1330"/>
      <c r="K47" s="1606"/>
      <c r="L47" s="1607"/>
      <c r="M47" s="1614"/>
      <c r="N47" s="1609"/>
      <c r="O47" s="1607"/>
      <c r="P47" s="1610"/>
      <c r="Q47" s="1615"/>
      <c r="R47" s="1612"/>
      <c r="S47" s="1613"/>
      <c r="T47" s="1640"/>
      <c r="U47" s="1641"/>
      <c r="W47" s="1642"/>
    </row>
    <row r="48" spans="1:23" s="1534" customFormat="1" ht="36.75" customHeight="1">
      <c r="B48" s="1632"/>
      <c r="C48" s="1633"/>
      <c r="D48" s="1646" t="s">
        <v>130</v>
      </c>
      <c r="E48" s="1635"/>
      <c r="F48" s="1644"/>
      <c r="G48" s="1645"/>
      <c r="H48" s="1638"/>
      <c r="I48" s="1639"/>
      <c r="J48" s="1330"/>
      <c r="K48" s="1606"/>
      <c r="L48" s="1607"/>
      <c r="M48" s="1614"/>
      <c r="N48" s="1609"/>
      <c r="O48" s="1607"/>
      <c r="P48" s="1610"/>
      <c r="Q48" s="1615"/>
      <c r="R48" s="1612"/>
      <c r="S48" s="1613"/>
      <c r="T48" s="1640"/>
      <c r="U48" s="1641"/>
      <c r="W48" s="1642"/>
    </row>
    <row r="49" spans="2:23" s="1534" customFormat="1" ht="21.75" customHeight="1">
      <c r="B49" s="1632"/>
      <c r="C49" s="1633"/>
      <c r="D49" s="1647"/>
      <c r="E49" s="1635"/>
      <c r="F49" s="1644"/>
      <c r="G49" s="1645"/>
      <c r="H49" s="1638"/>
      <c r="I49" s="1639"/>
      <c r="J49" s="1330"/>
      <c r="K49" s="1606"/>
      <c r="L49" s="1607"/>
      <c r="M49" s="1614"/>
      <c r="N49" s="1609"/>
      <c r="O49" s="1607"/>
      <c r="P49" s="1610"/>
      <c r="Q49" s="1615"/>
      <c r="R49" s="1612"/>
      <c r="S49" s="1613"/>
      <c r="T49" s="1640"/>
      <c r="U49" s="1641"/>
      <c r="W49" s="1642"/>
    </row>
    <row r="50" spans="2:23" ht="23.25" customHeight="1">
      <c r="B50" s="1648">
        <v>1</v>
      </c>
      <c r="C50" s="1603"/>
      <c r="D50" s="1649" t="s">
        <v>131</v>
      </c>
      <c r="E50" s="1592"/>
      <c r="F50" s="1650"/>
      <c r="G50" s="1651"/>
      <c r="H50" s="1652"/>
      <c r="I50" s="1653"/>
      <c r="J50" s="1330"/>
      <c r="K50" s="1606"/>
      <c r="L50" s="1607"/>
      <c r="M50" s="1614"/>
      <c r="N50" s="1609"/>
      <c r="O50" s="1607"/>
      <c r="P50" s="1610"/>
      <c r="Q50" s="1615"/>
      <c r="R50" s="1612"/>
      <c r="S50" s="1613"/>
      <c r="T50" s="1579"/>
      <c r="U50" s="1582"/>
    </row>
    <row r="51" spans="2:23" ht="23.25" customHeight="1">
      <c r="B51" s="1648"/>
      <c r="C51" s="1603"/>
      <c r="D51" s="2022" t="s">
        <v>132</v>
      </c>
      <c r="E51" s="1654" t="s">
        <v>88</v>
      </c>
      <c r="F51" s="1650">
        <v>61.573</v>
      </c>
      <c r="G51" s="1651">
        <v>61.573</v>
      </c>
      <c r="H51" s="1655">
        <v>713600</v>
      </c>
      <c r="I51" s="1605">
        <f>$G51*H51</f>
        <v>43938492.799999997</v>
      </c>
      <c r="J51" s="1330">
        <f>I51/'REKAP TOTAL'!F44</f>
        <v>3.6136330401416732E-3</v>
      </c>
      <c r="K51" s="1606">
        <v>0</v>
      </c>
      <c r="L51" s="1607">
        <v>0</v>
      </c>
      <c r="M51" s="1614">
        <v>0</v>
      </c>
      <c r="N51" s="1609">
        <f t="shared" ref="N51:N54" si="18">+Q51-K51</f>
        <v>0</v>
      </c>
      <c r="O51" s="1607">
        <f t="shared" ref="O51:O54" si="19">+R51-L51</f>
        <v>0</v>
      </c>
      <c r="P51" s="1610">
        <f t="shared" ref="P51:P54" si="20">+S51-M51</f>
        <v>0</v>
      </c>
      <c r="Q51" s="1615">
        <f t="shared" ref="Q51:Q54" si="21">+W51</f>
        <v>0</v>
      </c>
      <c r="R51" s="1612">
        <f t="shared" ref="R51:R54" si="22">+Q51/F51</f>
        <v>0</v>
      </c>
      <c r="S51" s="1613">
        <f t="shared" ref="S51:S54" si="23">+R51*J51</f>
        <v>0</v>
      </c>
      <c r="T51" s="1579"/>
      <c r="U51" s="1582"/>
    </row>
    <row r="52" spans="2:23" ht="23.25" customHeight="1">
      <c r="B52" s="1648">
        <v>2</v>
      </c>
      <c r="C52" s="1603"/>
      <c r="D52" s="1649" t="s">
        <v>133</v>
      </c>
      <c r="E52" s="1656"/>
      <c r="F52" s="1657"/>
      <c r="G52" s="1651"/>
      <c r="H52" s="1655"/>
      <c r="I52" s="1605"/>
      <c r="J52" s="1330"/>
      <c r="K52" s="1606"/>
      <c r="L52" s="1607"/>
      <c r="M52" s="1614"/>
      <c r="N52" s="1609"/>
      <c r="O52" s="1607"/>
      <c r="P52" s="1610"/>
      <c r="Q52" s="1615"/>
      <c r="R52" s="1612"/>
      <c r="S52" s="1613"/>
      <c r="T52" s="1579"/>
      <c r="U52" s="1582"/>
    </row>
    <row r="53" spans="2:23" ht="23.25" customHeight="1">
      <c r="B53" s="1648"/>
      <c r="C53" s="1603"/>
      <c r="D53" s="2023" t="s">
        <v>134</v>
      </c>
      <c r="E53" s="1656" t="s">
        <v>135</v>
      </c>
      <c r="F53" s="1657">
        <v>19</v>
      </c>
      <c r="G53" s="1651">
        <v>19</v>
      </c>
      <c r="H53" s="1655">
        <v>11142000</v>
      </c>
      <c r="I53" s="1605">
        <f>$G53*H53</f>
        <v>211698000</v>
      </c>
      <c r="J53" s="1330">
        <f>I53/'REKAP TOTAL'!F44</f>
        <v>1.74106765749578E-2</v>
      </c>
      <c r="K53" s="1606">
        <v>0</v>
      </c>
      <c r="L53" s="1607">
        <v>0</v>
      </c>
      <c r="M53" s="1614">
        <v>0</v>
      </c>
      <c r="N53" s="1609">
        <f t="shared" si="18"/>
        <v>0</v>
      </c>
      <c r="O53" s="1607">
        <f t="shared" si="19"/>
        <v>0</v>
      </c>
      <c r="P53" s="1610">
        <f t="shared" si="20"/>
        <v>0</v>
      </c>
      <c r="Q53" s="1615">
        <f t="shared" si="21"/>
        <v>0</v>
      </c>
      <c r="R53" s="1612">
        <f t="shared" si="22"/>
        <v>0</v>
      </c>
      <c r="S53" s="1613">
        <f t="shared" si="23"/>
        <v>0</v>
      </c>
      <c r="T53" s="1579"/>
      <c r="U53" s="1582"/>
    </row>
    <row r="54" spans="2:23" ht="23.25" customHeight="1">
      <c r="B54" s="1648">
        <v>3</v>
      </c>
      <c r="C54" s="1603"/>
      <c r="D54" s="1649" t="s">
        <v>136</v>
      </c>
      <c r="E54" s="1654" t="s">
        <v>88</v>
      </c>
      <c r="F54" s="1650">
        <v>7.7750000000000004</v>
      </c>
      <c r="G54" s="1651">
        <v>7.7750000000000004</v>
      </c>
      <c r="H54" s="1655">
        <v>2457800</v>
      </c>
      <c r="I54" s="1605">
        <f>$G54*H54</f>
        <v>19109395</v>
      </c>
      <c r="J54" s="1330">
        <f>I54/'REKAP TOTAL'!F44</f>
        <v>1.5716137889262803E-3</v>
      </c>
      <c r="K54" s="1606">
        <v>0</v>
      </c>
      <c r="L54" s="1607">
        <v>0</v>
      </c>
      <c r="M54" s="1614">
        <v>0</v>
      </c>
      <c r="N54" s="1609">
        <f t="shared" si="18"/>
        <v>0</v>
      </c>
      <c r="O54" s="1607">
        <f t="shared" si="19"/>
        <v>0</v>
      </c>
      <c r="P54" s="1610">
        <f t="shared" si="20"/>
        <v>0</v>
      </c>
      <c r="Q54" s="1615">
        <f t="shared" si="21"/>
        <v>0</v>
      </c>
      <c r="R54" s="1612">
        <f t="shared" si="22"/>
        <v>0</v>
      </c>
      <c r="S54" s="1613">
        <f t="shared" si="23"/>
        <v>0</v>
      </c>
      <c r="T54" s="1579"/>
      <c r="U54" s="1582"/>
    </row>
    <row r="55" spans="2:23" ht="26.25" customHeight="1">
      <c r="B55" s="1658"/>
      <c r="C55" s="1659"/>
      <c r="D55" s="1660"/>
      <c r="E55" s="1661"/>
      <c r="F55" s="1662"/>
      <c r="G55" s="1446"/>
      <c r="H55" s="1663"/>
      <c r="I55" s="1664"/>
      <c r="J55" s="1665"/>
      <c r="K55" s="1606"/>
      <c r="L55" s="1607"/>
      <c r="M55" s="1614"/>
      <c r="N55" s="1609"/>
      <c r="O55" s="1607"/>
      <c r="P55" s="1610"/>
      <c r="Q55" s="1615"/>
      <c r="R55" s="1612"/>
      <c r="S55" s="1613"/>
      <c r="T55" s="1666"/>
      <c r="U55" s="1667"/>
    </row>
    <row r="56" spans="2:23" ht="25.5" customHeight="1">
      <c r="B56" s="2120" t="s">
        <v>137</v>
      </c>
      <c r="C56" s="2121"/>
      <c r="D56" s="2122"/>
      <c r="E56" s="1668"/>
      <c r="F56" s="1669"/>
      <c r="G56" s="1670"/>
      <c r="H56" s="1671"/>
      <c r="I56" s="1672">
        <f>SUM(I50:I55)</f>
        <v>274745887.80000001</v>
      </c>
      <c r="J56" s="1673">
        <f>SUM(J51:J55)</f>
        <v>2.2595923404025754E-2</v>
      </c>
      <c r="K56" s="1627"/>
      <c r="L56" s="1628"/>
      <c r="M56" s="1629">
        <f>SUM(M46:M55)</f>
        <v>0</v>
      </c>
      <c r="N56" s="1628"/>
      <c r="O56" s="1628"/>
      <c r="P56" s="1629">
        <f>SUM(P46:P55)</f>
        <v>0</v>
      </c>
      <c r="Q56" s="1628"/>
      <c r="R56" s="1628"/>
      <c r="S56" s="1629">
        <f>SUM(S46:S55)</f>
        <v>0</v>
      </c>
      <c r="T56" s="1630"/>
      <c r="U56" s="1631"/>
    </row>
    <row r="57" spans="2:23" ht="18.899999999999999" customHeight="1">
      <c r="B57" s="1674"/>
      <c r="C57" s="1675"/>
      <c r="D57" s="1676"/>
      <c r="E57" s="1677"/>
      <c r="F57" s="1678"/>
      <c r="G57" s="1679"/>
      <c r="H57" s="1680"/>
      <c r="I57" s="1681"/>
      <c r="J57" s="1682"/>
      <c r="K57" s="1606"/>
      <c r="L57" s="1607"/>
      <c r="M57" s="1614"/>
      <c r="N57" s="1609"/>
      <c r="O57" s="1607"/>
      <c r="P57" s="1610"/>
      <c r="Q57" s="1615"/>
      <c r="R57" s="1612"/>
      <c r="S57" s="1613"/>
      <c r="T57" s="1683"/>
      <c r="U57" s="1684"/>
    </row>
    <row r="58" spans="2:23" s="1534" customFormat="1" ht="19.5" customHeight="1">
      <c r="B58" s="1632" t="s">
        <v>24</v>
      </c>
      <c r="C58" s="1633"/>
      <c r="D58" s="1634" t="s">
        <v>138</v>
      </c>
      <c r="E58" s="1635"/>
      <c r="F58" s="1636"/>
      <c r="G58" s="1637"/>
      <c r="H58" s="1638"/>
      <c r="I58" s="1639"/>
      <c r="J58" s="1330"/>
      <c r="K58" s="1606"/>
      <c r="L58" s="1607"/>
      <c r="M58" s="1614"/>
      <c r="N58" s="1609"/>
      <c r="O58" s="1607"/>
      <c r="P58" s="1610"/>
      <c r="Q58" s="1615"/>
      <c r="R58" s="1612"/>
      <c r="S58" s="1613"/>
      <c r="T58" s="1640"/>
      <c r="U58" s="1641"/>
      <c r="W58" s="1642"/>
    </row>
    <row r="59" spans="2:23" s="1534" customFormat="1" ht="19.5" customHeight="1">
      <c r="B59" s="1632"/>
      <c r="C59" s="1633"/>
      <c r="D59" s="1634" t="s">
        <v>139</v>
      </c>
      <c r="E59" s="1635"/>
      <c r="F59" s="1644"/>
      <c r="G59" s="1645"/>
      <c r="H59" s="1638"/>
      <c r="I59" s="1639"/>
      <c r="J59" s="1330"/>
      <c r="K59" s="1606"/>
      <c r="L59" s="1607"/>
      <c r="M59" s="1614"/>
      <c r="N59" s="1609"/>
      <c r="O59" s="1607"/>
      <c r="P59" s="1610"/>
      <c r="Q59" s="1615"/>
      <c r="R59" s="1612"/>
      <c r="S59" s="1613"/>
      <c r="T59" s="1640"/>
      <c r="U59" s="1641"/>
      <c r="W59" s="1642"/>
    </row>
    <row r="60" spans="2:23" s="1534" customFormat="1" ht="14.4">
      <c r="B60" s="1632"/>
      <c r="C60" s="1633"/>
      <c r="D60" s="1647"/>
      <c r="E60" s="1635"/>
      <c r="F60" s="1644"/>
      <c r="G60" s="1645"/>
      <c r="H60" s="1638"/>
      <c r="I60" s="1639"/>
      <c r="J60" s="1330"/>
      <c r="K60" s="1606"/>
      <c r="L60" s="1607"/>
      <c r="M60" s="1614"/>
      <c r="N60" s="1609"/>
      <c r="O60" s="1607"/>
      <c r="P60" s="1610"/>
      <c r="Q60" s="1615"/>
      <c r="R60" s="1612"/>
      <c r="S60" s="1613"/>
      <c r="T60" s="1640"/>
      <c r="U60" s="1641"/>
      <c r="W60" s="1642"/>
    </row>
    <row r="61" spans="2:23" ht="38.25" customHeight="1">
      <c r="B61" s="1648">
        <v>1</v>
      </c>
      <c r="C61" s="1603"/>
      <c r="D61" s="2024" t="s">
        <v>140</v>
      </c>
      <c r="E61" s="1685" t="s">
        <v>103</v>
      </c>
      <c r="F61" s="1686">
        <v>1612</v>
      </c>
      <c r="G61" s="1687">
        <v>1612</v>
      </c>
      <c r="H61" s="1688">
        <v>7400</v>
      </c>
      <c r="I61" s="1605">
        <f>$G61*H61</f>
        <v>11928800</v>
      </c>
      <c r="J61" s="1330">
        <f>I61/'REKAP TOTAL'!F44</f>
        <v>9.8106018350365429E-4</v>
      </c>
      <c r="K61" s="1606">
        <v>0</v>
      </c>
      <c r="L61" s="1607">
        <v>0</v>
      </c>
      <c r="M61" s="1614">
        <v>0</v>
      </c>
      <c r="N61" s="1609">
        <f t="shared" ref="N61:N66" si="24">+Q61-K61</f>
        <v>10</v>
      </c>
      <c r="O61" s="1607">
        <f t="shared" ref="O61:O66" si="25">+R61-L61</f>
        <v>6.2034739454094297E-3</v>
      </c>
      <c r="P61" s="1610">
        <f t="shared" ref="P61:P66" si="26">+S61-M61</f>
        <v>6.0859812872435137E-6</v>
      </c>
      <c r="Q61" s="1615">
        <f>+W61</f>
        <v>10</v>
      </c>
      <c r="R61" s="1612">
        <f t="shared" ref="R61:R66" si="27">+Q61/F61</f>
        <v>6.2034739454094297E-3</v>
      </c>
      <c r="S61" s="1613">
        <f t="shared" ref="S61:S66" si="28">+R61*J61</f>
        <v>6.0859812872435137E-6</v>
      </c>
      <c r="T61" s="1579"/>
      <c r="U61" s="1582"/>
      <c r="W61" s="1546">
        <v>10</v>
      </c>
    </row>
    <row r="62" spans="2:23" ht="38.25" customHeight="1">
      <c r="B62" s="1648">
        <v>2</v>
      </c>
      <c r="C62" s="1603"/>
      <c r="D62" s="2024" t="s">
        <v>141</v>
      </c>
      <c r="E62" s="1685" t="s">
        <v>103</v>
      </c>
      <c r="F62" s="1686">
        <v>1612</v>
      </c>
      <c r="G62" s="1687">
        <v>1612</v>
      </c>
      <c r="H62" s="1688">
        <v>41600</v>
      </c>
      <c r="I62" s="1605">
        <f>$G62*H62</f>
        <v>67059200</v>
      </c>
      <c r="J62" s="1330">
        <f>I62/'REKAP TOTAL'!F44</f>
        <v>5.5151491396962186E-3</v>
      </c>
      <c r="K62" s="1606">
        <v>0</v>
      </c>
      <c r="L62" s="1607">
        <v>0</v>
      </c>
      <c r="M62" s="1614">
        <v>0</v>
      </c>
      <c r="N62" s="1609">
        <f t="shared" si="24"/>
        <v>0</v>
      </c>
      <c r="O62" s="1607">
        <f t="shared" si="25"/>
        <v>0</v>
      </c>
      <c r="P62" s="1610">
        <f t="shared" si="26"/>
        <v>0</v>
      </c>
      <c r="Q62" s="1615">
        <f t="shared" ref="Q62:Q66" si="29">+W62</f>
        <v>0</v>
      </c>
      <c r="R62" s="1612">
        <f t="shared" si="27"/>
        <v>0</v>
      </c>
      <c r="S62" s="1613">
        <f t="shared" si="28"/>
        <v>0</v>
      </c>
      <c r="T62" s="1579"/>
      <c r="U62" s="1582"/>
    </row>
    <row r="63" spans="2:23" ht="38.25" customHeight="1">
      <c r="B63" s="1648">
        <v>3</v>
      </c>
      <c r="C63" s="1603"/>
      <c r="D63" s="2024" t="s">
        <v>142</v>
      </c>
      <c r="E63" s="1685" t="s">
        <v>143</v>
      </c>
      <c r="F63" s="1686">
        <v>483.6</v>
      </c>
      <c r="G63" s="1687">
        <v>483.6</v>
      </c>
      <c r="H63" s="1689">
        <v>1080500</v>
      </c>
      <c r="I63" s="1605">
        <f>$G63*H63</f>
        <v>522529800</v>
      </c>
      <c r="J63" s="1330">
        <f>I63/'REKAP TOTAL'!F44</f>
        <v>4.2974413308474263E-2</v>
      </c>
      <c r="K63" s="1606">
        <v>0</v>
      </c>
      <c r="L63" s="1607">
        <v>0</v>
      </c>
      <c r="M63" s="1614">
        <v>0</v>
      </c>
      <c r="N63" s="1609">
        <f t="shared" si="24"/>
        <v>0</v>
      </c>
      <c r="O63" s="1607">
        <f t="shared" si="25"/>
        <v>0</v>
      </c>
      <c r="P63" s="1610">
        <f t="shared" si="26"/>
        <v>0</v>
      </c>
      <c r="Q63" s="1615">
        <f t="shared" si="29"/>
        <v>0</v>
      </c>
      <c r="R63" s="1612">
        <f t="shared" si="27"/>
        <v>0</v>
      </c>
      <c r="S63" s="1613">
        <f t="shared" si="28"/>
        <v>0</v>
      </c>
      <c r="T63" s="1579"/>
      <c r="U63" s="1582"/>
    </row>
    <row r="64" spans="2:23" ht="38.25" customHeight="1">
      <c r="B64" s="1648">
        <v>4</v>
      </c>
      <c r="C64" s="1603"/>
      <c r="D64" s="2024" t="s">
        <v>144</v>
      </c>
      <c r="E64" s="1685" t="s">
        <v>143</v>
      </c>
      <c r="F64" s="1686">
        <v>112.84</v>
      </c>
      <c r="G64" s="1687">
        <v>112.84</v>
      </c>
      <c r="H64" s="1689">
        <v>984700</v>
      </c>
      <c r="I64" s="1605">
        <f>$G64*H64</f>
        <v>111113548</v>
      </c>
      <c r="J64" s="1330">
        <f>I64/'REKAP TOTAL'!F44</f>
        <v>9.1383104579355924E-3</v>
      </c>
      <c r="K64" s="1606">
        <v>0</v>
      </c>
      <c r="L64" s="1607">
        <v>0</v>
      </c>
      <c r="M64" s="1614">
        <v>0</v>
      </c>
      <c r="N64" s="1609">
        <f t="shared" si="24"/>
        <v>0</v>
      </c>
      <c r="O64" s="1607">
        <f t="shared" si="25"/>
        <v>0</v>
      </c>
      <c r="P64" s="1610">
        <f t="shared" si="26"/>
        <v>0</v>
      </c>
      <c r="Q64" s="1615">
        <f t="shared" si="29"/>
        <v>0</v>
      </c>
      <c r="R64" s="1612">
        <f t="shared" si="27"/>
        <v>0</v>
      </c>
      <c r="S64" s="1613">
        <f t="shared" si="28"/>
        <v>0</v>
      </c>
      <c r="T64" s="1579"/>
      <c r="U64" s="1582"/>
    </row>
    <row r="65" spans="1:23" s="1535" customFormat="1" ht="38.25" customHeight="1">
      <c r="A65" s="1690"/>
      <c r="B65" s="1691">
        <v>5</v>
      </c>
      <c r="C65" s="1692"/>
      <c r="D65" s="1693" t="s">
        <v>145</v>
      </c>
      <c r="E65" s="1694" t="s">
        <v>143</v>
      </c>
      <c r="F65" s="1695"/>
      <c r="G65" s="1696">
        <v>0</v>
      </c>
      <c r="H65" s="1697">
        <v>0</v>
      </c>
      <c r="I65" s="1698" t="s">
        <v>146</v>
      </c>
      <c r="J65" s="1330"/>
      <c r="K65" s="1606"/>
      <c r="L65" s="1607"/>
      <c r="M65" s="1614"/>
      <c r="N65" s="1609"/>
      <c r="O65" s="1607"/>
      <c r="P65" s="1610"/>
      <c r="Q65" s="1615"/>
      <c r="R65" s="1612"/>
      <c r="S65" s="1613"/>
      <c r="T65" s="1699"/>
      <c r="U65" s="1700"/>
    </row>
    <row r="66" spans="1:23" ht="38.25" customHeight="1">
      <c r="B66" s="1648">
        <v>6</v>
      </c>
      <c r="C66" s="1599"/>
      <c r="D66" s="2025" t="s">
        <v>147</v>
      </c>
      <c r="E66" s="1685" t="s">
        <v>103</v>
      </c>
      <c r="F66" s="1701">
        <v>1612</v>
      </c>
      <c r="G66" s="1702">
        <v>1612</v>
      </c>
      <c r="H66" s="1688">
        <v>37500</v>
      </c>
      <c r="I66" s="1605">
        <f>$G66*H66</f>
        <v>60450000</v>
      </c>
      <c r="J66" s="1330">
        <f>I66/'REKAP TOTAL'!F44</f>
        <v>4.9715887677550044E-3</v>
      </c>
      <c r="K66" s="1606">
        <v>0</v>
      </c>
      <c r="L66" s="1607">
        <v>0</v>
      </c>
      <c r="M66" s="1614">
        <v>0</v>
      </c>
      <c r="N66" s="1609">
        <f t="shared" si="24"/>
        <v>0</v>
      </c>
      <c r="O66" s="1607">
        <f t="shared" si="25"/>
        <v>0</v>
      </c>
      <c r="P66" s="1610">
        <f t="shared" si="26"/>
        <v>0</v>
      </c>
      <c r="Q66" s="1615">
        <f t="shared" si="29"/>
        <v>0</v>
      </c>
      <c r="R66" s="1612">
        <f t="shared" si="27"/>
        <v>0</v>
      </c>
      <c r="S66" s="1613">
        <f t="shared" si="28"/>
        <v>0</v>
      </c>
      <c r="T66" s="1579"/>
      <c r="U66" s="1582"/>
    </row>
    <row r="67" spans="1:23" ht="18.899999999999999" customHeight="1">
      <c r="B67" s="1658"/>
      <c r="C67" s="1659"/>
      <c r="D67" s="1703"/>
      <c r="E67" s="1661"/>
      <c r="F67" s="1662"/>
      <c r="G67" s="1446"/>
      <c r="H67" s="1663"/>
      <c r="I67" s="1704"/>
      <c r="J67" s="1665"/>
      <c r="K67" s="1606"/>
      <c r="L67" s="1607"/>
      <c r="M67" s="1614"/>
      <c r="N67" s="1609"/>
      <c r="O67" s="1607"/>
      <c r="P67" s="1610"/>
      <c r="Q67" s="1615"/>
      <c r="R67" s="1612"/>
      <c r="S67" s="1613"/>
      <c r="T67" s="1666"/>
      <c r="U67" s="1667"/>
    </row>
    <row r="68" spans="1:23" ht="36.75" customHeight="1">
      <c r="B68" s="2120" t="s">
        <v>148</v>
      </c>
      <c r="C68" s="2121"/>
      <c r="D68" s="2122"/>
      <c r="E68" s="1668"/>
      <c r="F68" s="1669"/>
      <c r="G68" s="1670"/>
      <c r="H68" s="1671"/>
      <c r="I68" s="1672">
        <f>SUM(I60:I67)</f>
        <v>773081348</v>
      </c>
      <c r="J68" s="1673">
        <f>SUM(J61:J67)</f>
        <v>6.3580521857364736E-2</v>
      </c>
      <c r="K68" s="1627"/>
      <c r="L68" s="1628"/>
      <c r="M68" s="1629">
        <f>SUM(M57:M67)</f>
        <v>0</v>
      </c>
      <c r="N68" s="1705"/>
      <c r="O68" s="1706"/>
      <c r="P68" s="1629">
        <f>SUM(P57:P67)</f>
        <v>6.0859812872435137E-6</v>
      </c>
      <c r="Q68" s="1707"/>
      <c r="R68" s="1706"/>
      <c r="S68" s="1629">
        <f>SUM(S57:S67)</f>
        <v>6.0859812872435137E-6</v>
      </c>
      <c r="T68" s="1630"/>
      <c r="U68" s="1631"/>
    </row>
    <row r="69" spans="1:23" s="1536" customFormat="1" ht="14.4">
      <c r="B69" s="1708"/>
      <c r="C69" s="1709"/>
      <c r="D69" s="1196"/>
      <c r="E69" s="1186"/>
      <c r="F69" s="1710"/>
      <c r="G69" s="1711"/>
      <c r="H69" s="1712"/>
      <c r="I69" s="1713"/>
      <c r="J69" s="1682"/>
      <c r="K69" s="1606"/>
      <c r="L69" s="1607"/>
      <c r="M69" s="1614"/>
      <c r="N69" s="1609"/>
      <c r="O69" s="1607"/>
      <c r="P69" s="1610"/>
      <c r="Q69" s="1615"/>
      <c r="R69" s="1612"/>
      <c r="S69" s="1613"/>
      <c r="T69" s="1714"/>
      <c r="U69" s="1715"/>
      <c r="W69" s="1716"/>
    </row>
    <row r="70" spans="1:23" s="1534" customFormat="1" ht="14.4">
      <c r="B70" s="1717" t="s">
        <v>25</v>
      </c>
      <c r="C70" s="1718"/>
      <c r="D70" s="1719" t="s">
        <v>149</v>
      </c>
      <c r="E70" s="1656"/>
      <c r="F70" s="1657"/>
      <c r="G70" s="1388"/>
      <c r="H70" s="1655"/>
      <c r="I70" s="1720"/>
      <c r="J70" s="1330"/>
      <c r="K70" s="1606"/>
      <c r="L70" s="1607"/>
      <c r="M70" s="1614"/>
      <c r="N70" s="1609"/>
      <c r="O70" s="1607"/>
      <c r="P70" s="1610"/>
      <c r="Q70" s="1615"/>
      <c r="R70" s="1612"/>
      <c r="S70" s="1613"/>
      <c r="T70" s="1640"/>
      <c r="U70" s="1641"/>
      <c r="W70" s="1642"/>
    </row>
    <row r="71" spans="1:23" s="1534" customFormat="1" ht="14.4">
      <c r="B71" s="1717"/>
      <c r="C71" s="1719"/>
      <c r="D71" s="1719"/>
      <c r="E71" s="1656"/>
      <c r="F71" s="1657"/>
      <c r="G71" s="1388"/>
      <c r="H71" s="1655"/>
      <c r="I71" s="1720"/>
      <c r="J71" s="1330"/>
      <c r="K71" s="1606"/>
      <c r="L71" s="1607"/>
      <c r="M71" s="1614"/>
      <c r="N71" s="1609"/>
      <c r="O71" s="1607"/>
      <c r="P71" s="1610"/>
      <c r="Q71" s="1615"/>
      <c r="R71" s="1612"/>
      <c r="S71" s="1613"/>
      <c r="T71" s="1640"/>
      <c r="U71" s="1641"/>
      <c r="W71" s="1642"/>
    </row>
    <row r="72" spans="1:23" s="1534" customFormat="1" ht="24" customHeight="1">
      <c r="B72" s="1721">
        <v>1</v>
      </c>
      <c r="C72" s="1719"/>
      <c r="D72" s="952" t="s">
        <v>150</v>
      </c>
      <c r="E72" s="1722" t="s">
        <v>135</v>
      </c>
      <c r="F72" s="1657">
        <v>1</v>
      </c>
      <c r="G72" s="946">
        <v>1</v>
      </c>
      <c r="H72" s="947">
        <v>15427900</v>
      </c>
      <c r="I72" s="1723">
        <f t="shared" ref="I72:I85" si="30">$G72*H72</f>
        <v>15427900</v>
      </c>
      <c r="J72" s="1330">
        <f>I72/'REKAP TOTAL'!F44</f>
        <v>1.2688366311008675E-3</v>
      </c>
      <c r="K72" s="1606">
        <v>0</v>
      </c>
      <c r="L72" s="1607">
        <v>0</v>
      </c>
      <c r="M72" s="1614">
        <v>0</v>
      </c>
      <c r="N72" s="1609">
        <f t="shared" ref="N72:N85" si="31">+Q72-K72</f>
        <v>0</v>
      </c>
      <c r="O72" s="1607">
        <f t="shared" ref="O72:O85" si="32">+R72-L72</f>
        <v>0</v>
      </c>
      <c r="P72" s="1610">
        <f t="shared" ref="P72:P85" si="33">+S72-M72</f>
        <v>0</v>
      </c>
      <c r="Q72" s="1615">
        <f t="shared" ref="Q72:Q85" si="34">+W72</f>
        <v>0</v>
      </c>
      <c r="R72" s="1612">
        <f t="shared" ref="R72:R85" si="35">+Q72/F72</f>
        <v>0</v>
      </c>
      <c r="S72" s="1613">
        <f t="shared" ref="S72:S85" si="36">+R72*J72</f>
        <v>0</v>
      </c>
      <c r="T72" s="1640"/>
      <c r="U72" s="1641"/>
      <c r="W72" s="1642"/>
    </row>
    <row r="73" spans="1:23" s="1534" customFormat="1" ht="24" customHeight="1">
      <c r="B73" s="1724">
        <v>2</v>
      </c>
      <c r="C73" s="1719"/>
      <c r="D73" s="941" t="s">
        <v>151</v>
      </c>
      <c r="E73" s="1656" t="s">
        <v>88</v>
      </c>
      <c r="F73" s="1657">
        <v>270.8</v>
      </c>
      <c r="G73" s="946">
        <v>270.8</v>
      </c>
      <c r="H73" s="947">
        <v>89300</v>
      </c>
      <c r="I73" s="1723">
        <f t="shared" si="30"/>
        <v>24182440</v>
      </c>
      <c r="J73" s="1330">
        <f>I73/'REKAP TOTAL'!F44</f>
        <v>1.9888361799985004E-3</v>
      </c>
      <c r="K73" s="1606">
        <v>0</v>
      </c>
      <c r="L73" s="1607">
        <v>0</v>
      </c>
      <c r="M73" s="1614">
        <v>0</v>
      </c>
      <c r="N73" s="1609">
        <f t="shared" si="31"/>
        <v>0</v>
      </c>
      <c r="O73" s="1607">
        <f t="shared" si="32"/>
        <v>0</v>
      </c>
      <c r="P73" s="1610">
        <f t="shared" si="33"/>
        <v>0</v>
      </c>
      <c r="Q73" s="1615">
        <f t="shared" si="34"/>
        <v>0</v>
      </c>
      <c r="R73" s="1612">
        <f t="shared" si="35"/>
        <v>0</v>
      </c>
      <c r="S73" s="1613">
        <f t="shared" si="36"/>
        <v>0</v>
      </c>
      <c r="T73" s="1640"/>
      <c r="U73" s="1641"/>
      <c r="W73" s="1642"/>
    </row>
    <row r="74" spans="1:23" s="1534" customFormat="1" ht="24" customHeight="1">
      <c r="B74" s="1721">
        <v>3</v>
      </c>
      <c r="C74" s="1719"/>
      <c r="D74" s="952" t="s">
        <v>152</v>
      </c>
      <c r="E74" s="1722" t="s">
        <v>135</v>
      </c>
      <c r="F74" s="1657">
        <v>1</v>
      </c>
      <c r="G74" s="946">
        <v>1</v>
      </c>
      <c r="H74" s="947">
        <v>19018600</v>
      </c>
      <c r="I74" s="1723">
        <f t="shared" si="30"/>
        <v>19018600</v>
      </c>
      <c r="J74" s="1330">
        <f>I74/'REKAP TOTAL'!F44</f>
        <v>1.5641465366158036E-3</v>
      </c>
      <c r="K74" s="1606">
        <v>0</v>
      </c>
      <c r="L74" s="1607">
        <v>0</v>
      </c>
      <c r="M74" s="1614">
        <v>0</v>
      </c>
      <c r="N74" s="1609">
        <f t="shared" si="31"/>
        <v>0</v>
      </c>
      <c r="O74" s="1607">
        <f t="shared" si="32"/>
        <v>0</v>
      </c>
      <c r="P74" s="1610">
        <f t="shared" si="33"/>
        <v>0</v>
      </c>
      <c r="Q74" s="1615">
        <f t="shared" si="34"/>
        <v>0</v>
      </c>
      <c r="R74" s="1612">
        <f t="shared" si="35"/>
        <v>0</v>
      </c>
      <c r="S74" s="1613">
        <f t="shared" si="36"/>
        <v>0</v>
      </c>
      <c r="T74" s="1640"/>
      <c r="U74" s="1641"/>
      <c r="W74" s="1642"/>
    </row>
    <row r="75" spans="1:23" s="1537" customFormat="1" ht="24" customHeight="1">
      <c r="A75" s="1539"/>
      <c r="B75" s="1725">
        <v>4</v>
      </c>
      <c r="C75" s="1726"/>
      <c r="D75" s="1726" t="s">
        <v>153</v>
      </c>
      <c r="E75" s="1727"/>
      <c r="F75" s="1728"/>
      <c r="G75" s="1729"/>
      <c r="H75" s="1730"/>
      <c r="I75" s="1723">
        <f t="shared" si="30"/>
        <v>0</v>
      </c>
      <c r="J75" s="1330"/>
      <c r="K75" s="1606"/>
      <c r="L75" s="1607"/>
      <c r="M75" s="1614"/>
      <c r="N75" s="1609"/>
      <c r="O75" s="1607"/>
      <c r="P75" s="1610"/>
      <c r="Q75" s="1615"/>
      <c r="R75" s="1612"/>
      <c r="S75" s="1613"/>
      <c r="T75" s="1731"/>
      <c r="U75" s="1732"/>
      <c r="W75" s="1733"/>
    </row>
    <row r="76" spans="1:23" s="1538" customFormat="1" ht="24" customHeight="1">
      <c r="A76" s="803"/>
      <c r="B76" s="1734"/>
      <c r="C76" s="1735">
        <v>1</v>
      </c>
      <c r="D76" s="1736" t="s">
        <v>154</v>
      </c>
      <c r="E76" s="1737" t="s">
        <v>155</v>
      </c>
      <c r="F76" s="1728">
        <v>0.24804999999999999</v>
      </c>
      <c r="G76" s="1729">
        <v>0.26</v>
      </c>
      <c r="H76" s="1738">
        <v>1186300</v>
      </c>
      <c r="I76" s="1723">
        <f t="shared" si="30"/>
        <v>308438</v>
      </c>
      <c r="J76" s="1330">
        <f>I76/'REKAP TOTAL'!F44</f>
        <v>2.5366863463173172E-5</v>
      </c>
      <c r="K76" s="1606">
        <v>0</v>
      </c>
      <c r="L76" s="1607">
        <v>0</v>
      </c>
      <c r="M76" s="1614">
        <v>0</v>
      </c>
      <c r="N76" s="1609">
        <f t="shared" si="31"/>
        <v>0</v>
      </c>
      <c r="O76" s="1607">
        <f t="shared" si="32"/>
        <v>0</v>
      </c>
      <c r="P76" s="1610">
        <f t="shared" si="33"/>
        <v>0</v>
      </c>
      <c r="Q76" s="1615">
        <f t="shared" si="34"/>
        <v>0</v>
      </c>
      <c r="R76" s="1612">
        <f t="shared" si="35"/>
        <v>0</v>
      </c>
      <c r="S76" s="1613">
        <f t="shared" si="36"/>
        <v>0</v>
      </c>
      <c r="T76" s="889"/>
      <c r="U76" s="998"/>
      <c r="W76" s="1739"/>
    </row>
    <row r="77" spans="1:23" s="1538" customFormat="1" ht="24" customHeight="1">
      <c r="A77" s="803"/>
      <c r="B77" s="1734"/>
      <c r="C77" s="1735">
        <v>2</v>
      </c>
      <c r="D77" s="1736" t="s">
        <v>156</v>
      </c>
      <c r="E77" s="1737" t="s">
        <v>155</v>
      </c>
      <c r="F77" s="1728">
        <v>0.90200000000000002</v>
      </c>
      <c r="G77" s="1729">
        <v>1.03</v>
      </c>
      <c r="H77" s="1738">
        <v>1080500</v>
      </c>
      <c r="I77" s="1723">
        <f t="shared" si="30"/>
        <v>1112915</v>
      </c>
      <c r="J77" s="1330">
        <f>I77/'REKAP TOTAL'!F44</f>
        <v>9.1529457625575872E-5</v>
      </c>
      <c r="K77" s="1606">
        <v>0</v>
      </c>
      <c r="L77" s="1607">
        <v>0</v>
      </c>
      <c r="M77" s="1614">
        <v>0</v>
      </c>
      <c r="N77" s="1609">
        <f t="shared" si="31"/>
        <v>0</v>
      </c>
      <c r="O77" s="1607">
        <f t="shared" si="32"/>
        <v>0</v>
      </c>
      <c r="P77" s="1610">
        <f t="shared" si="33"/>
        <v>0</v>
      </c>
      <c r="Q77" s="1615">
        <f t="shared" si="34"/>
        <v>0</v>
      </c>
      <c r="R77" s="1612">
        <f t="shared" si="35"/>
        <v>0</v>
      </c>
      <c r="S77" s="1613">
        <f t="shared" si="36"/>
        <v>0</v>
      </c>
      <c r="T77" s="889"/>
      <c r="U77" s="998"/>
      <c r="W77" s="1739"/>
    </row>
    <row r="78" spans="1:23" s="1538" customFormat="1" ht="24" customHeight="1">
      <c r="A78" s="803"/>
      <c r="B78" s="1734"/>
      <c r="C78" s="1735">
        <v>3</v>
      </c>
      <c r="D78" s="1736" t="s">
        <v>157</v>
      </c>
      <c r="E78" s="1737" t="s">
        <v>103</v>
      </c>
      <c r="F78" s="1728">
        <v>4.51</v>
      </c>
      <c r="G78" s="1729">
        <v>5.15</v>
      </c>
      <c r="H78" s="1738">
        <v>41600</v>
      </c>
      <c r="I78" s="1723">
        <f t="shared" si="30"/>
        <v>214240</v>
      </c>
      <c r="J78" s="1330">
        <f>I78/'REKAP TOTAL'!F44</f>
        <v>1.7619738256473652E-5</v>
      </c>
      <c r="K78" s="1606">
        <v>0</v>
      </c>
      <c r="L78" s="1607">
        <v>0</v>
      </c>
      <c r="M78" s="1614">
        <v>0</v>
      </c>
      <c r="N78" s="1609">
        <f t="shared" si="31"/>
        <v>0</v>
      </c>
      <c r="O78" s="1607">
        <f t="shared" si="32"/>
        <v>0</v>
      </c>
      <c r="P78" s="1610">
        <f t="shared" si="33"/>
        <v>0</v>
      </c>
      <c r="Q78" s="1615">
        <f t="shared" si="34"/>
        <v>0</v>
      </c>
      <c r="R78" s="1612">
        <f t="shared" si="35"/>
        <v>0</v>
      </c>
      <c r="S78" s="1613">
        <f t="shared" si="36"/>
        <v>0</v>
      </c>
      <c r="T78" s="889"/>
      <c r="U78" s="998"/>
      <c r="W78" s="1739"/>
    </row>
    <row r="79" spans="1:23" s="1538" customFormat="1" ht="24" customHeight="1">
      <c r="A79" s="803"/>
      <c r="B79" s="1740"/>
      <c r="C79" s="1735">
        <v>4</v>
      </c>
      <c r="D79" s="1736" t="s">
        <v>158</v>
      </c>
      <c r="E79" s="1737"/>
      <c r="F79" s="1728"/>
      <c r="G79" s="1729"/>
      <c r="H79" s="1741"/>
      <c r="I79" s="1723">
        <f t="shared" si="30"/>
        <v>0</v>
      </c>
      <c r="J79" s="1330"/>
      <c r="K79" s="1606"/>
      <c r="L79" s="1607"/>
      <c r="M79" s="1614"/>
      <c r="N79" s="1609"/>
      <c r="O79" s="1607"/>
      <c r="P79" s="1610"/>
      <c r="Q79" s="1615"/>
      <c r="R79" s="1612"/>
      <c r="S79" s="1613"/>
      <c r="T79" s="889"/>
      <c r="U79" s="998"/>
      <c r="W79" s="1739"/>
    </row>
    <row r="80" spans="1:23" s="1538" customFormat="1" ht="24" customHeight="1">
      <c r="A80" s="803"/>
      <c r="B80" s="1742"/>
      <c r="C80" s="1735"/>
      <c r="D80" s="1736" t="s">
        <v>159</v>
      </c>
      <c r="E80" s="1737" t="s">
        <v>155</v>
      </c>
      <c r="F80" s="1728">
        <v>0.16500000000000001</v>
      </c>
      <c r="G80" s="1729">
        <v>0.15</v>
      </c>
      <c r="H80" s="1738">
        <v>1774600</v>
      </c>
      <c r="I80" s="1723">
        <f t="shared" si="30"/>
        <v>266190</v>
      </c>
      <c r="J80" s="1330">
        <f>I80/'REKAP TOTAL'!F44</f>
        <v>2.1892261606099335E-5</v>
      </c>
      <c r="K80" s="1606">
        <v>0</v>
      </c>
      <c r="L80" s="1607">
        <v>0</v>
      </c>
      <c r="M80" s="1614">
        <v>0</v>
      </c>
      <c r="N80" s="1609">
        <f t="shared" si="31"/>
        <v>0</v>
      </c>
      <c r="O80" s="1607">
        <f t="shared" si="32"/>
        <v>0</v>
      </c>
      <c r="P80" s="1610">
        <f t="shared" si="33"/>
        <v>0</v>
      </c>
      <c r="Q80" s="1615">
        <f t="shared" si="34"/>
        <v>0</v>
      </c>
      <c r="R80" s="1612">
        <f t="shared" si="35"/>
        <v>0</v>
      </c>
      <c r="S80" s="1613">
        <f t="shared" si="36"/>
        <v>0</v>
      </c>
      <c r="T80" s="889"/>
      <c r="U80" s="998"/>
      <c r="W80" s="1739"/>
    </row>
    <row r="81" spans="1:23" s="1538" customFormat="1" ht="24" customHeight="1">
      <c r="A81" s="803"/>
      <c r="B81" s="1742"/>
      <c r="C81" s="1735"/>
      <c r="D81" s="1736" t="s">
        <v>160</v>
      </c>
      <c r="E81" s="1737" t="s">
        <v>155</v>
      </c>
      <c r="F81" s="1728">
        <v>0.7722</v>
      </c>
      <c r="G81" s="1729">
        <v>0.7</v>
      </c>
      <c r="H81" s="1738">
        <v>1774600</v>
      </c>
      <c r="I81" s="1723">
        <f t="shared" si="30"/>
        <v>1242220</v>
      </c>
      <c r="J81" s="1330">
        <f>I81/'REKAP TOTAL'!F44</f>
        <v>1.0216388749513022E-4</v>
      </c>
      <c r="K81" s="1606">
        <v>0</v>
      </c>
      <c r="L81" s="1607">
        <v>0</v>
      </c>
      <c r="M81" s="1614">
        <v>0</v>
      </c>
      <c r="N81" s="1609">
        <f t="shared" si="31"/>
        <v>0</v>
      </c>
      <c r="O81" s="1607">
        <f t="shared" si="32"/>
        <v>0</v>
      </c>
      <c r="P81" s="1610">
        <f t="shared" si="33"/>
        <v>0</v>
      </c>
      <c r="Q81" s="1615">
        <f t="shared" si="34"/>
        <v>0</v>
      </c>
      <c r="R81" s="1612">
        <f t="shared" si="35"/>
        <v>0</v>
      </c>
      <c r="S81" s="1613">
        <f t="shared" si="36"/>
        <v>0</v>
      </c>
      <c r="T81" s="889"/>
      <c r="U81" s="998"/>
      <c r="W81" s="1739"/>
    </row>
    <row r="82" spans="1:23" s="1538" customFormat="1" ht="24" customHeight="1">
      <c r="A82" s="803"/>
      <c r="B82" s="1742"/>
      <c r="C82" s="1735">
        <v>5</v>
      </c>
      <c r="D82" s="1736" t="s">
        <v>161</v>
      </c>
      <c r="E82" s="1737" t="s">
        <v>162</v>
      </c>
      <c r="F82" s="1728">
        <v>0.15620000000000001</v>
      </c>
      <c r="G82" s="1729">
        <v>2.2000000000000002</v>
      </c>
      <c r="H82" s="1738">
        <v>235600</v>
      </c>
      <c r="I82" s="1723">
        <f t="shared" si="30"/>
        <v>518320</v>
      </c>
      <c r="J82" s="1330">
        <f>I82/'REKAP TOTAL'!F44</f>
        <v>4.2628186767622404E-5</v>
      </c>
      <c r="K82" s="1606">
        <v>0</v>
      </c>
      <c r="L82" s="1607">
        <v>0</v>
      </c>
      <c r="M82" s="1614">
        <v>0</v>
      </c>
      <c r="N82" s="1609">
        <f t="shared" si="31"/>
        <v>0</v>
      </c>
      <c r="O82" s="1607">
        <f t="shared" si="32"/>
        <v>0</v>
      </c>
      <c r="P82" s="1610">
        <f t="shared" si="33"/>
        <v>0</v>
      </c>
      <c r="Q82" s="1615">
        <f t="shared" si="34"/>
        <v>0</v>
      </c>
      <c r="R82" s="1612">
        <f t="shared" si="35"/>
        <v>0</v>
      </c>
      <c r="S82" s="1613">
        <f t="shared" si="36"/>
        <v>0</v>
      </c>
      <c r="T82" s="889"/>
      <c r="U82" s="998"/>
      <c r="W82" s="1739"/>
    </row>
    <row r="83" spans="1:23" s="1538" customFormat="1" ht="24" customHeight="1">
      <c r="A83" s="803"/>
      <c r="B83" s="1742"/>
      <c r="C83" s="1735">
        <v>6</v>
      </c>
      <c r="D83" s="1743" t="s">
        <v>163</v>
      </c>
      <c r="E83" s="1737"/>
      <c r="F83" s="1728"/>
      <c r="G83" s="1729"/>
      <c r="H83" s="1738"/>
      <c r="I83" s="1723">
        <f t="shared" si="30"/>
        <v>0</v>
      </c>
      <c r="J83" s="1330"/>
      <c r="K83" s="1606"/>
      <c r="L83" s="1607"/>
      <c r="M83" s="1614"/>
      <c r="N83" s="1609"/>
      <c r="O83" s="1607"/>
      <c r="P83" s="1610"/>
      <c r="Q83" s="1615"/>
      <c r="R83" s="1612"/>
      <c r="S83" s="1613"/>
      <c r="T83" s="889"/>
      <c r="U83" s="998"/>
      <c r="W83" s="1739"/>
    </row>
    <row r="84" spans="1:23" s="1538" customFormat="1" ht="24" customHeight="1">
      <c r="A84" s="803"/>
      <c r="B84" s="1742"/>
      <c r="C84" s="1735"/>
      <c r="D84" s="1736" t="s">
        <v>164</v>
      </c>
      <c r="E84" s="1737" t="s">
        <v>165</v>
      </c>
      <c r="F84" s="1728">
        <v>30.561959999999999</v>
      </c>
      <c r="G84" s="1729">
        <v>28.02</v>
      </c>
      <c r="H84" s="1738">
        <v>16600</v>
      </c>
      <c r="I84" s="1723">
        <f t="shared" si="30"/>
        <v>465132</v>
      </c>
      <c r="J84" s="1330">
        <f>I84/'REKAP TOTAL'!F44</f>
        <v>3.8253846595920938E-5</v>
      </c>
      <c r="K84" s="1606">
        <v>0</v>
      </c>
      <c r="L84" s="1607">
        <v>0</v>
      </c>
      <c r="M84" s="1614">
        <v>0</v>
      </c>
      <c r="N84" s="1609">
        <f t="shared" si="31"/>
        <v>0</v>
      </c>
      <c r="O84" s="1607">
        <f t="shared" si="32"/>
        <v>0</v>
      </c>
      <c r="P84" s="1610">
        <f t="shared" si="33"/>
        <v>0</v>
      </c>
      <c r="Q84" s="1615">
        <f t="shared" si="34"/>
        <v>0</v>
      </c>
      <c r="R84" s="1612">
        <f t="shared" si="35"/>
        <v>0</v>
      </c>
      <c r="S84" s="1613">
        <f t="shared" si="36"/>
        <v>0</v>
      </c>
      <c r="T84" s="889"/>
      <c r="U84" s="998"/>
      <c r="W84" s="1739"/>
    </row>
    <row r="85" spans="1:23" s="1538" customFormat="1" ht="24" customHeight="1">
      <c r="A85" s="803"/>
      <c r="B85" s="1740"/>
      <c r="C85" s="1735"/>
      <c r="D85" s="1736" t="s">
        <v>166</v>
      </c>
      <c r="E85" s="1737" t="s">
        <v>165</v>
      </c>
      <c r="F85" s="1728">
        <v>107.2724796</v>
      </c>
      <c r="G85" s="1729">
        <v>99.84</v>
      </c>
      <c r="H85" s="1738">
        <v>16600</v>
      </c>
      <c r="I85" s="1723">
        <f t="shared" si="30"/>
        <v>1657344</v>
      </c>
      <c r="J85" s="1330">
        <f>I85/'REKAP TOTAL'!F44</f>
        <v>1.3630492662872044E-4</v>
      </c>
      <c r="K85" s="1606">
        <v>0</v>
      </c>
      <c r="L85" s="1607">
        <v>0</v>
      </c>
      <c r="M85" s="1614">
        <v>0</v>
      </c>
      <c r="N85" s="1609">
        <f t="shared" si="31"/>
        <v>0</v>
      </c>
      <c r="O85" s="1607">
        <f t="shared" si="32"/>
        <v>0</v>
      </c>
      <c r="P85" s="1610">
        <f t="shared" si="33"/>
        <v>0</v>
      </c>
      <c r="Q85" s="1615">
        <f t="shared" si="34"/>
        <v>0</v>
      </c>
      <c r="R85" s="1612">
        <f t="shared" si="35"/>
        <v>0</v>
      </c>
      <c r="S85" s="1613">
        <f t="shared" si="36"/>
        <v>0</v>
      </c>
      <c r="T85" s="889"/>
      <c r="U85" s="998"/>
      <c r="W85" s="1739"/>
    </row>
    <row r="86" spans="1:23" s="1534" customFormat="1" ht="14.4">
      <c r="B86" s="1744"/>
      <c r="C86" s="1745"/>
      <c r="D86" s="1746"/>
      <c r="E86" s="1747"/>
      <c r="F86" s="1662"/>
      <c r="G86" s="1220"/>
      <c r="H86" s="1365"/>
      <c r="I86" s="1748"/>
      <c r="J86" s="1330"/>
      <c r="K86" s="1606"/>
      <c r="L86" s="1607"/>
      <c r="M86" s="1614"/>
      <c r="N86" s="1609"/>
      <c r="O86" s="1607"/>
      <c r="P86" s="1610"/>
      <c r="Q86" s="1615"/>
      <c r="R86" s="1612"/>
      <c r="S86" s="1613"/>
      <c r="T86" s="1749"/>
      <c r="U86" s="1750"/>
      <c r="W86" s="1642"/>
    </row>
    <row r="87" spans="1:23" s="1539" customFormat="1" ht="27" customHeight="1">
      <c r="B87" s="2106" t="s">
        <v>167</v>
      </c>
      <c r="C87" s="2107"/>
      <c r="D87" s="2107"/>
      <c r="E87" s="1751"/>
      <c r="F87" s="1669"/>
      <c r="G87" s="1670"/>
      <c r="H87" s="1671"/>
      <c r="I87" s="1752">
        <f>SUM(I71:I86)</f>
        <v>64413739</v>
      </c>
      <c r="J87" s="1673">
        <f>SUM(J72:J86)</f>
        <v>5.2975785161538877E-3</v>
      </c>
      <c r="K87" s="1753"/>
      <c r="L87" s="1706"/>
      <c r="M87" s="1629">
        <f>SUM(M69:M86)</f>
        <v>0</v>
      </c>
      <c r="N87" s="1705"/>
      <c r="O87" s="1706"/>
      <c r="P87" s="1754">
        <f>SUM(P69:P86)</f>
        <v>0</v>
      </c>
      <c r="Q87" s="1707"/>
      <c r="R87" s="1706"/>
      <c r="S87" s="1754">
        <f>SUM(S69:S86)</f>
        <v>0</v>
      </c>
      <c r="T87" s="1755"/>
      <c r="U87" s="1756"/>
      <c r="W87" s="1733"/>
    </row>
    <row r="89" spans="1:23" ht="18.899999999999999" customHeight="1">
      <c r="J89" s="1757"/>
    </row>
  </sheetData>
  <mergeCells count="15">
    <mergeCell ref="T8:U9"/>
    <mergeCell ref="B87:D87"/>
    <mergeCell ref="B8:B9"/>
    <mergeCell ref="E8:E9"/>
    <mergeCell ref="F8:F9"/>
    <mergeCell ref="G8:G9"/>
    <mergeCell ref="C8:D9"/>
    <mergeCell ref="K8:M8"/>
    <mergeCell ref="N8:P8"/>
    <mergeCell ref="B45:E45"/>
    <mergeCell ref="B56:D56"/>
    <mergeCell ref="B68:D68"/>
    <mergeCell ref="H8:H9"/>
    <mergeCell ref="I8:I9"/>
    <mergeCell ref="J8:J9"/>
  </mergeCells>
  <printOptions horizontalCentered="1"/>
  <pageMargins left="0.59055118110236204" right="0.39370078740157499" top="0.78740157480314998" bottom="0.78740157480314998" header="0.78740157480314998" footer="0.39370078740157499"/>
  <pageSetup paperSize="9" scale="31" fitToHeight="0" orientation="portrait" r:id="rId1"/>
  <headerFooter alignWithMargins="0">
    <oddFooter>&amp;L&amp;10Bill Quantity
Proyek : SHOWROOM &amp; WORKSHOP 
DSO CABANG BATAM KEPULAUAN RIAU&amp;C&amp;A&amp;RPage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W745"/>
  <sheetViews>
    <sheetView showGridLines="0" view="pageBreakPreview" topLeftCell="A7" zoomScale="70" zoomScaleNormal="100" workbookViewId="0">
      <pane xSplit="3" ySplit="3" topLeftCell="D13" activePane="bottomRight" state="frozen"/>
      <selection pane="topRight"/>
      <selection pane="bottomLeft"/>
      <selection pane="bottomRight" activeCell="O43" sqref="O43"/>
    </sheetView>
  </sheetViews>
  <sheetFormatPr defaultColWidth="9.109375" defaultRowHeight="13.8"/>
  <cols>
    <col min="1" max="1" width="9.109375" style="807"/>
    <col min="2" max="2" width="4.6640625" style="1272" customWidth="1"/>
    <col min="3" max="3" width="63.88671875" style="1125" customWidth="1"/>
    <col min="4" max="4" width="12.77734375" style="1273" customWidth="1"/>
    <col min="5" max="5" width="14.44140625" style="1274" customWidth="1"/>
    <col min="6" max="6" width="21.33203125" style="1275" hidden="1" customWidth="1"/>
    <col min="7" max="7" width="18" style="1276" hidden="1" customWidth="1"/>
    <col min="8" max="8" width="23.109375" style="1276" hidden="1" customWidth="1"/>
    <col min="9" max="9" width="15.77734375" style="1276" customWidth="1"/>
    <col min="10" max="10" width="16.44140625" style="1277" customWidth="1"/>
    <col min="11" max="12" width="16.44140625" style="1276" customWidth="1"/>
    <col min="13" max="13" width="16.44140625" style="1278" customWidth="1"/>
    <col min="14" max="14" width="16.44140625" style="1279" customWidth="1"/>
    <col min="15" max="15" width="16.44140625" style="1278" customWidth="1"/>
    <col min="16" max="18" width="16.44140625" style="807" customWidth="1"/>
    <col min="19" max="16384" width="9.109375" style="807"/>
  </cols>
  <sheetData>
    <row r="1" spans="2:19" s="1267" customFormat="1" ht="16.2" customHeight="1">
      <c r="B1" s="1280" t="str">
        <f>'I. PERSIAPAN'!B1</f>
        <v>PROGRESS MINGGUAN</v>
      </c>
      <c r="E1" s="1281"/>
      <c r="F1" s="1282"/>
      <c r="G1" s="1282"/>
      <c r="H1" s="1282"/>
      <c r="I1" s="1282"/>
      <c r="J1" s="1282"/>
      <c r="K1" s="1282"/>
      <c r="L1" s="1282"/>
      <c r="M1" s="1282"/>
      <c r="N1" s="1282"/>
      <c r="O1" s="1282"/>
      <c r="P1" s="1281"/>
      <c r="Q1" s="1281"/>
      <c r="R1" s="1281"/>
    </row>
    <row r="2" spans="2:19" s="1267" customFormat="1" ht="15" customHeight="1">
      <c r="B2" s="1280" t="str">
        <f>'I. PERSIAPAN'!B2</f>
        <v>PROYEK SHOWROOM &amp; WORKSHOP</v>
      </c>
      <c r="E2" s="1283"/>
      <c r="F2" s="1284"/>
      <c r="G2" s="1284"/>
      <c r="H2" s="1284"/>
      <c r="I2" s="1284"/>
      <c r="J2" s="1284"/>
      <c r="K2" s="1284"/>
      <c r="L2" s="1284"/>
      <c r="M2" s="1284"/>
      <c r="N2" s="1284"/>
      <c r="O2" s="1284"/>
      <c r="P2" s="1283"/>
      <c r="Q2" s="1283"/>
      <c r="R2" s="1283"/>
    </row>
    <row r="3" spans="2:19" s="1267" customFormat="1" ht="15" customHeight="1">
      <c r="B3" s="1280" t="str">
        <f>'I. PERSIAPAN'!B3</f>
        <v>DAIHATSU Cabang BATAM-KEPULAUAN RIAU</v>
      </c>
      <c r="E3" s="1283"/>
      <c r="F3" s="1284"/>
      <c r="G3" s="1284"/>
      <c r="H3" s="1284"/>
      <c r="I3" s="1284"/>
      <c r="J3" s="1284"/>
      <c r="K3" s="1284"/>
      <c r="L3" s="1284"/>
      <c r="M3" s="1284"/>
      <c r="N3" s="1284"/>
      <c r="O3" s="1284"/>
      <c r="P3" s="1283"/>
      <c r="Q3" s="1283"/>
      <c r="R3" s="1283"/>
    </row>
    <row r="4" spans="2:19" s="1267" customFormat="1" ht="15" customHeight="1">
      <c r="B4" s="1280" t="str">
        <f>'I. PERSIAPAN'!B4</f>
        <v xml:space="preserve">PT. ASTRA INTERNATIONAL Tbk </v>
      </c>
      <c r="E4" s="1283"/>
      <c r="F4" s="1284"/>
      <c r="G4" s="1284"/>
      <c r="H4" s="1284"/>
      <c r="I4" s="1284"/>
      <c r="J4" s="1284"/>
      <c r="K4" s="1284"/>
      <c r="L4" s="1284"/>
      <c r="M4" s="1284"/>
      <c r="N4" s="1284"/>
      <c r="O4" s="1284"/>
      <c r="P4" s="1283"/>
      <c r="Q4" s="1283"/>
      <c r="R4" s="1283"/>
    </row>
    <row r="5" spans="2:19" s="1267" customFormat="1" ht="15" customHeight="1">
      <c r="B5" s="1280" t="str">
        <f>'I. PERSIAPAN'!B5</f>
        <v>PERIODE : 6- 18 April2026</v>
      </c>
      <c r="E5" s="1283"/>
      <c r="F5" s="1284"/>
      <c r="G5" s="1284"/>
      <c r="H5" s="1284"/>
      <c r="I5" s="1284"/>
      <c r="J5" s="1284"/>
      <c r="K5" s="1284"/>
      <c r="L5" s="1284"/>
      <c r="M5" s="1284"/>
      <c r="N5" s="1284"/>
      <c r="O5" s="1284"/>
      <c r="P5" s="1283"/>
      <c r="Q5" s="1283"/>
      <c r="R5" s="1283"/>
    </row>
    <row r="6" spans="2:19" s="1267" customFormat="1" ht="15" customHeight="1">
      <c r="B6" s="1280" t="str">
        <f>'I. PERSIAPAN'!B6</f>
        <v>MINGGU KE 2 (Dua)</v>
      </c>
      <c r="E6" s="1283"/>
      <c r="F6" s="1284"/>
      <c r="G6" s="1284"/>
      <c r="H6" s="1284"/>
      <c r="I6" s="1284"/>
      <c r="J6" s="1284"/>
      <c r="K6" s="1284"/>
      <c r="L6" s="1284"/>
      <c r="M6" s="1284"/>
      <c r="N6" s="1284"/>
      <c r="O6" s="1284"/>
      <c r="P6" s="1283"/>
      <c r="Q6" s="1283"/>
      <c r="R6" s="1283"/>
    </row>
    <row r="7" spans="2:19">
      <c r="B7" s="1285"/>
      <c r="C7" s="1285"/>
      <c r="D7" s="1286"/>
      <c r="E7" s="1287"/>
      <c r="F7" s="1288"/>
      <c r="G7" s="1289"/>
      <c r="H7" s="1290"/>
      <c r="I7" s="1290"/>
      <c r="J7" s="1291"/>
      <c r="K7" s="1292"/>
      <c r="L7" s="1292"/>
    </row>
    <row r="8" spans="2:19" ht="28.2" customHeight="1">
      <c r="B8" s="1293" t="s">
        <v>58</v>
      </c>
      <c r="C8" s="1294" t="s">
        <v>11</v>
      </c>
      <c r="D8" s="2129" t="s">
        <v>59</v>
      </c>
      <c r="E8" s="2131" t="s">
        <v>60</v>
      </c>
      <c r="F8" s="1295" t="s">
        <v>60</v>
      </c>
      <c r="G8" s="1295" t="s">
        <v>60</v>
      </c>
      <c r="H8" s="1295" t="s">
        <v>60</v>
      </c>
      <c r="I8" s="2133" t="s">
        <v>14</v>
      </c>
      <c r="J8" s="2099" t="s">
        <v>64</v>
      </c>
      <c r="K8" s="2099"/>
      <c r="L8" s="2116"/>
      <c r="M8" s="2098" t="s">
        <v>16</v>
      </c>
      <c r="N8" s="2099"/>
      <c r="O8" s="2100"/>
      <c r="P8" s="2082" t="s">
        <v>65</v>
      </c>
      <c r="Q8" s="2101"/>
      <c r="R8" s="2117"/>
      <c r="S8" s="2127" t="s">
        <v>18</v>
      </c>
    </row>
    <row r="9" spans="2:19" ht="15" customHeight="1">
      <c r="B9" s="1296"/>
      <c r="C9" s="1297"/>
      <c r="D9" s="2130"/>
      <c r="E9" s="2132"/>
      <c r="F9" s="1298"/>
      <c r="G9" s="1299" t="s">
        <v>19</v>
      </c>
      <c r="H9" s="1300" t="s">
        <v>19</v>
      </c>
      <c r="I9" s="2134"/>
      <c r="J9" s="340" t="s">
        <v>20</v>
      </c>
      <c r="K9" s="341" t="s">
        <v>21</v>
      </c>
      <c r="L9" s="737" t="s">
        <v>14</v>
      </c>
      <c r="M9" s="1301" t="s">
        <v>20</v>
      </c>
      <c r="N9" s="343" t="s">
        <v>21</v>
      </c>
      <c r="O9" s="1302" t="s">
        <v>14</v>
      </c>
      <c r="P9" s="1303" t="s">
        <v>20</v>
      </c>
      <c r="Q9" s="340" t="s">
        <v>21</v>
      </c>
      <c r="R9" s="342" t="s">
        <v>14</v>
      </c>
      <c r="S9" s="2128"/>
    </row>
    <row r="10" spans="2:19">
      <c r="B10" s="1304"/>
      <c r="C10" s="1305"/>
      <c r="D10" s="1047"/>
      <c r="E10" s="1048"/>
      <c r="F10" s="1049"/>
      <c r="G10" s="1050"/>
      <c r="H10" s="1050"/>
      <c r="I10" s="1050"/>
      <c r="J10" s="1306"/>
      <c r="K10" s="1050"/>
      <c r="L10" s="1307"/>
      <c r="M10" s="1308"/>
      <c r="N10" s="1309"/>
      <c r="O10" s="1310"/>
      <c r="P10" s="1311"/>
      <c r="Q10" s="1054"/>
      <c r="R10" s="1054"/>
      <c r="S10" s="1055"/>
    </row>
    <row r="11" spans="2:19">
      <c r="B11" s="1147" t="s">
        <v>30</v>
      </c>
      <c r="C11" s="1244" t="s">
        <v>31</v>
      </c>
      <c r="D11" s="944"/>
      <c r="E11" s="945"/>
      <c r="F11" s="1020"/>
      <c r="G11" s="1021"/>
      <c r="H11" s="1021"/>
      <c r="I11" s="1021"/>
      <c r="J11" s="1312"/>
      <c r="K11" s="1021"/>
      <c r="L11" s="1313"/>
      <c r="M11" s="1314"/>
      <c r="N11" s="1315"/>
      <c r="O11" s="1316"/>
      <c r="P11" s="1317"/>
      <c r="Q11" s="955"/>
      <c r="R11" s="955"/>
      <c r="S11" s="1024"/>
    </row>
    <row r="12" spans="2:19" s="1125" customFormat="1">
      <c r="B12" s="1147"/>
      <c r="C12" s="1244"/>
      <c r="D12" s="944"/>
      <c r="E12" s="1087"/>
      <c r="F12" s="1148"/>
      <c r="G12" s="1149"/>
      <c r="H12" s="1149"/>
      <c r="I12" s="1149"/>
      <c r="J12" s="1312"/>
      <c r="K12" s="1149"/>
      <c r="L12" s="1318"/>
      <c r="M12" s="1319"/>
      <c r="N12" s="1320"/>
      <c r="O12" s="1321"/>
      <c r="P12" s="1322"/>
      <c r="Q12" s="1151"/>
      <c r="R12" s="1151"/>
      <c r="S12" s="1323"/>
    </row>
    <row r="13" spans="2:19" s="1125" customFormat="1">
      <c r="B13" s="1147">
        <v>1</v>
      </c>
      <c r="C13" s="1324" t="s">
        <v>33</v>
      </c>
      <c r="D13" s="944"/>
      <c r="E13" s="1087"/>
      <c r="F13" s="1148"/>
      <c r="G13" s="1149"/>
      <c r="H13" s="1149"/>
      <c r="I13" s="1149"/>
      <c r="J13" s="1312"/>
      <c r="K13" s="1149"/>
      <c r="L13" s="1318"/>
      <c r="M13" s="1319"/>
      <c r="N13" s="1320"/>
      <c r="O13" s="1321"/>
      <c r="P13" s="1322"/>
      <c r="Q13" s="1151"/>
      <c r="R13" s="1151"/>
      <c r="S13" s="1323"/>
    </row>
    <row r="14" spans="2:19" s="1125" customFormat="1">
      <c r="B14" s="1147"/>
      <c r="C14" s="1324"/>
      <c r="D14" s="944"/>
      <c r="E14" s="1087"/>
      <c r="F14" s="1148"/>
      <c r="G14" s="1149"/>
      <c r="H14" s="1149"/>
      <c r="I14" s="1149"/>
      <c r="J14" s="1312"/>
      <c r="K14" s="1149"/>
      <c r="L14" s="1318"/>
      <c r="M14" s="1319"/>
      <c r="N14" s="1320"/>
      <c r="O14" s="1321"/>
      <c r="P14" s="1322"/>
      <c r="Q14" s="1151"/>
      <c r="R14" s="1151"/>
      <c r="S14" s="1323"/>
    </row>
    <row r="15" spans="2:19" s="1125" customFormat="1">
      <c r="B15" s="957" t="s">
        <v>32</v>
      </c>
      <c r="C15" s="1325" t="str">
        <f>C45</f>
        <v>PEKERJAAN PONDASI TIANG PANCANG</v>
      </c>
      <c r="D15" s="944"/>
      <c r="E15" s="1087"/>
      <c r="F15" s="1148"/>
      <c r="G15" s="1149"/>
      <c r="H15" s="1149">
        <f>$H$52</f>
        <v>553985000</v>
      </c>
      <c r="I15" s="374">
        <f>H15/'REKAP TOTAL'!F44</f>
        <v>4.5561383019102668E-2</v>
      </c>
      <c r="J15" s="1326"/>
      <c r="K15" s="1327"/>
      <c r="L15" s="1328"/>
      <c r="M15" s="1329"/>
      <c r="N15" s="1330"/>
      <c r="O15" s="1331"/>
      <c r="P15" s="1332"/>
      <c r="Q15" s="1333"/>
      <c r="R15" s="1333"/>
      <c r="S15" s="1323"/>
    </row>
    <row r="16" spans="2:19" s="1125" customFormat="1">
      <c r="B16" s="957" t="s">
        <v>34</v>
      </c>
      <c r="C16" s="1151" t="str">
        <f>C54</f>
        <v>PEKERJAAN GALIAN DAN URUGAN</v>
      </c>
      <c r="D16" s="944"/>
      <c r="E16" s="1087"/>
      <c r="F16" s="1148"/>
      <c r="G16" s="1149"/>
      <c r="H16" s="1149">
        <f>$H$75</f>
        <v>781559653.98000002</v>
      </c>
      <c r="I16" s="374">
        <f>H16/'REKAP TOTAL'!F44</f>
        <v>6.427780309441615E-2</v>
      </c>
      <c r="J16" s="1312"/>
      <c r="K16" s="1149"/>
      <c r="L16" s="1318"/>
      <c r="M16" s="1319"/>
      <c r="N16" s="1320"/>
      <c r="O16" s="1321"/>
      <c r="P16" s="1322"/>
      <c r="Q16" s="1151"/>
      <c r="R16" s="1151"/>
      <c r="S16" s="1323"/>
    </row>
    <row r="17" spans="2:19" s="1125" customFormat="1">
      <c r="B17" s="957" t="s">
        <v>24</v>
      </c>
      <c r="C17" s="1151" t="str">
        <f>C77</f>
        <v>PEKERJAAN LANTAI KERJA</v>
      </c>
      <c r="D17" s="944"/>
      <c r="E17" s="1087"/>
      <c r="F17" s="1148"/>
      <c r="G17" s="1149"/>
      <c r="H17" s="1149">
        <f>$H$83</f>
        <v>9049333.6600000001</v>
      </c>
      <c r="I17" s="374">
        <f>H17/'REKAP TOTAL'!F44</f>
        <v>7.4424426103760605E-4</v>
      </c>
      <c r="J17" s="1312"/>
      <c r="K17" s="1149"/>
      <c r="L17" s="1318"/>
      <c r="M17" s="1319"/>
      <c r="N17" s="1320"/>
      <c r="O17" s="1321"/>
      <c r="P17" s="1322"/>
      <c r="Q17" s="1151"/>
      <c r="R17" s="1151"/>
      <c r="S17" s="1323"/>
    </row>
    <row r="18" spans="2:19" s="1125" customFormat="1">
      <c r="B18" s="957" t="s">
        <v>25</v>
      </c>
      <c r="C18" s="1151" t="str">
        <f>C85</f>
        <v>PEKERJAAN BETON BERTULANG (K - 300/Fc 25Mpa)</v>
      </c>
      <c r="D18" s="944"/>
      <c r="E18" s="1087"/>
      <c r="F18" s="1148"/>
      <c r="G18" s="1149"/>
      <c r="H18" s="1149">
        <f>$H$103</f>
        <v>653237135.29999995</v>
      </c>
      <c r="I18" s="374">
        <f>H18/'REKAP TOTAL'!F44</f>
        <v>5.3724175426599442E-2</v>
      </c>
      <c r="J18" s="1151"/>
      <c r="K18" s="1151"/>
      <c r="L18" s="1083"/>
      <c r="M18" s="1334"/>
      <c r="N18" s="1151"/>
      <c r="O18" s="1335"/>
      <c r="P18" s="1322"/>
      <c r="Q18" s="1151"/>
      <c r="R18" s="1151"/>
      <c r="S18" s="1323"/>
    </row>
    <row r="19" spans="2:19" s="1125" customFormat="1">
      <c r="B19" s="957" t="s">
        <v>26</v>
      </c>
      <c r="C19" s="1151" t="s">
        <v>168</v>
      </c>
      <c r="D19" s="944"/>
      <c r="E19" s="1087"/>
      <c r="F19" s="1148"/>
      <c r="G19" s="1149"/>
      <c r="H19" s="1149">
        <f>$H$115</f>
        <v>152746484.56</v>
      </c>
      <c r="I19" s="374">
        <f>H19/'REKAP TOTAL'!F44</f>
        <v>1.2562327658437705E-2</v>
      </c>
      <c r="J19" s="1151"/>
      <c r="K19" s="1151"/>
      <c r="L19" s="1083"/>
      <c r="M19" s="1334"/>
      <c r="N19" s="1151"/>
      <c r="O19" s="1335"/>
      <c r="P19" s="1322"/>
      <c r="Q19" s="1151"/>
      <c r="R19" s="1151"/>
      <c r="S19" s="1323"/>
    </row>
    <row r="20" spans="2:19" s="1125" customFormat="1">
      <c r="B20" s="957" t="s">
        <v>28</v>
      </c>
      <c r="C20" s="1151" t="s">
        <v>163</v>
      </c>
      <c r="D20" s="944"/>
      <c r="E20" s="1087"/>
      <c r="F20" s="1148"/>
      <c r="G20" s="1149"/>
      <c r="H20" s="1149">
        <f>$H$135</f>
        <v>654508368.39999998</v>
      </c>
      <c r="I20" s="374">
        <f>H20/'REKAP TOTAL'!F44</f>
        <v>5.3828725438198423E-2</v>
      </c>
      <c r="J20" s="1151"/>
      <c r="K20" s="1151"/>
      <c r="L20" s="1083"/>
      <c r="M20" s="1334"/>
      <c r="N20" s="1151"/>
      <c r="O20" s="1335"/>
      <c r="P20" s="1322"/>
      <c r="Q20" s="1151"/>
      <c r="R20" s="1151"/>
      <c r="S20" s="1323"/>
    </row>
    <row r="21" spans="2:19" s="1125" customFormat="1">
      <c r="B21" s="957" t="s">
        <v>169</v>
      </c>
      <c r="C21" s="1151" t="s">
        <v>170</v>
      </c>
      <c r="D21" s="944"/>
      <c r="E21" s="1087"/>
      <c r="F21" s="1148"/>
      <c r="G21" s="1149"/>
      <c r="H21" s="1149">
        <f>$H$190</f>
        <v>2337235268.0818701</v>
      </c>
      <c r="I21" s="374">
        <f>H21/'REKAP TOTAL'!F44</f>
        <v>0.19222121764097078</v>
      </c>
      <c r="J21" s="1151"/>
      <c r="K21" s="1151"/>
      <c r="L21" s="1083"/>
      <c r="M21" s="1334"/>
      <c r="N21" s="1151"/>
      <c r="O21" s="1335"/>
      <c r="P21" s="1322"/>
      <c r="Q21" s="1151"/>
      <c r="R21" s="1151"/>
      <c r="S21" s="1323"/>
    </row>
    <row r="22" spans="2:19" s="1125" customFormat="1">
      <c r="B22" s="957" t="s">
        <v>171</v>
      </c>
      <c r="C22" s="1151" t="s">
        <v>172</v>
      </c>
      <c r="D22" s="944"/>
      <c r="E22" s="1087"/>
      <c r="F22" s="1148"/>
      <c r="G22" s="1149"/>
      <c r="H22" s="1149">
        <f>$H$214</f>
        <v>964527576.70000005</v>
      </c>
      <c r="I22" s="374">
        <f>H22/'REKAP TOTAL'!F44</f>
        <v>7.9325632200358542E-2</v>
      </c>
      <c r="J22" s="1151"/>
      <c r="K22" s="1151"/>
      <c r="L22" s="1083"/>
      <c r="M22" s="1334"/>
      <c r="N22" s="1151"/>
      <c r="O22" s="1335"/>
      <c r="P22" s="1322"/>
      <c r="Q22" s="1151"/>
      <c r="R22" s="1151"/>
      <c r="S22" s="1323"/>
    </row>
    <row r="23" spans="2:19" s="1125" customFormat="1">
      <c r="B23" s="957" t="s">
        <v>22</v>
      </c>
      <c r="C23" s="1151" t="s">
        <v>173</v>
      </c>
      <c r="D23" s="944"/>
      <c r="E23" s="1087"/>
      <c r="F23" s="1148"/>
      <c r="G23" s="1149"/>
      <c r="H23" s="1149">
        <f>$H$222</f>
        <v>17208684</v>
      </c>
      <c r="I23" s="374">
        <f>H23/'REKAP TOTAL'!F44</f>
        <v>1.4152936324606331E-3</v>
      </c>
      <c r="J23" s="1151"/>
      <c r="K23" s="1151"/>
      <c r="L23" s="1083"/>
      <c r="M23" s="1334"/>
      <c r="N23" s="1151"/>
      <c r="O23" s="1335"/>
      <c r="P23" s="1322"/>
      <c r="Q23" s="1151"/>
      <c r="R23" s="1151"/>
      <c r="S23" s="1323"/>
    </row>
    <row r="24" spans="2:19" s="1128" customFormat="1">
      <c r="B24" s="1030"/>
      <c r="C24" s="1174"/>
      <c r="D24" s="1032"/>
      <c r="E24" s="1168"/>
      <c r="F24" s="1169"/>
      <c r="G24" s="1170"/>
      <c r="H24" s="1170"/>
      <c r="J24" s="1336"/>
      <c r="K24" s="1336"/>
      <c r="L24" s="1337"/>
      <c r="M24" s="1338"/>
      <c r="N24" s="1336"/>
      <c r="O24" s="1339"/>
      <c r="P24" s="1340"/>
      <c r="Q24" s="1336"/>
      <c r="R24" s="1336"/>
      <c r="S24" s="1341"/>
    </row>
    <row r="25" spans="2:19" s="1128" customFormat="1">
      <c r="B25" s="1342"/>
      <c r="C25" s="1343" t="s">
        <v>174</v>
      </c>
      <c r="D25" s="981"/>
      <c r="E25" s="1177"/>
      <c r="F25" s="1178"/>
      <c r="G25" s="1344"/>
      <c r="H25" s="1179">
        <f>SUM(H15:H23)</f>
        <v>6124057504.68186</v>
      </c>
      <c r="I25" s="392">
        <f>H25/'REKAP TOTAL'!F44</f>
        <v>0.50366080237158106</v>
      </c>
      <c r="J25" s="1345"/>
      <c r="K25" s="1345"/>
      <c r="L25" s="1346"/>
      <c r="M25" s="1347"/>
      <c r="N25" s="1345"/>
      <c r="O25" s="1348"/>
      <c r="P25" s="1349"/>
      <c r="Q25" s="1345"/>
      <c r="R25" s="1345"/>
      <c r="S25" s="1350"/>
    </row>
    <row r="26" spans="2:19" s="1128" customFormat="1">
      <c r="B26" s="1304"/>
      <c r="C26" s="1351"/>
      <c r="D26" s="1047"/>
      <c r="E26" s="1187"/>
      <c r="F26" s="1188"/>
      <c r="G26" s="1352"/>
      <c r="H26" s="1352"/>
      <c r="I26" s="1352"/>
      <c r="J26" s="1353"/>
      <c r="K26" s="1353"/>
      <c r="L26" s="1354"/>
      <c r="M26" s="1355"/>
      <c r="N26" s="1353"/>
      <c r="O26" s="1356"/>
      <c r="P26" s="1357"/>
      <c r="Q26" s="1353"/>
      <c r="R26" s="1353"/>
      <c r="S26" s="1358"/>
    </row>
    <row r="27" spans="2:19">
      <c r="B27" s="1147">
        <f>B224</f>
        <v>1</v>
      </c>
      <c r="C27" s="1324" t="s">
        <v>35</v>
      </c>
      <c r="D27" s="944"/>
      <c r="E27" s="1320"/>
      <c r="F27" s="1359"/>
      <c r="G27" s="1021"/>
      <c r="H27" s="1021"/>
      <c r="I27" s="1021"/>
      <c r="J27" s="1360"/>
      <c r="K27" s="947"/>
      <c r="L27" s="1361"/>
      <c r="M27" s="1314"/>
      <c r="N27" s="1315"/>
      <c r="O27" s="1316"/>
      <c r="P27" s="1317"/>
      <c r="Q27" s="955"/>
      <c r="R27" s="955"/>
      <c r="S27" s="1024"/>
    </row>
    <row r="28" spans="2:19">
      <c r="B28" s="940"/>
      <c r="C28" s="1151"/>
      <c r="D28" s="944"/>
      <c r="E28" s="1320"/>
      <c r="F28" s="1359"/>
      <c r="G28" s="1021"/>
      <c r="H28" s="1021"/>
      <c r="I28" s="1021"/>
      <c r="J28" s="1360"/>
      <c r="K28" s="947"/>
      <c r="L28" s="1361"/>
      <c r="M28" s="1314"/>
      <c r="N28" s="1315"/>
      <c r="O28" s="1316"/>
      <c r="P28" s="1317"/>
      <c r="Q28" s="955"/>
      <c r="R28" s="955"/>
      <c r="S28" s="1024"/>
    </row>
    <row r="29" spans="2:19">
      <c r="B29" s="957" t="str">
        <f>B226</f>
        <v>A</v>
      </c>
      <c r="C29" s="1151" t="str">
        <f>C226</f>
        <v>PEKERJAAN PASANGAN BATU BATA &amp; PLESTERAN</v>
      </c>
      <c r="D29" s="944"/>
      <c r="E29" s="945"/>
      <c r="F29" s="1020"/>
      <c r="G29" s="1021"/>
      <c r="H29" s="1021">
        <f>$H$234</f>
        <v>174609285.59999999</v>
      </c>
      <c r="I29" s="374">
        <f>H29/'REKAP TOTAL'!F44</f>
        <v>1.4360389793791326E-2</v>
      </c>
      <c r="J29" s="1360"/>
      <c r="K29" s="947"/>
      <c r="L29" s="1361"/>
      <c r="M29" s="1314"/>
      <c r="N29" s="1315"/>
      <c r="O29" s="1316"/>
      <c r="P29" s="1317"/>
      <c r="Q29" s="955"/>
      <c r="R29" s="955"/>
      <c r="S29" s="1024"/>
    </row>
    <row r="30" spans="2:19">
      <c r="B30" s="957" t="str">
        <f>B236</f>
        <v>B</v>
      </c>
      <c r="C30" s="1151" t="str">
        <f>C236</f>
        <v>PEKERJAAN LANTAI</v>
      </c>
      <c r="D30" s="944"/>
      <c r="E30" s="945"/>
      <c r="F30" s="1020"/>
      <c r="G30" s="1021"/>
      <c r="H30" s="1021">
        <f>$H$251</f>
        <v>808979455.79999995</v>
      </c>
      <c r="I30" s="374">
        <f>H30/'REKAP TOTAL'!F44</f>
        <v>6.6532889591395139E-2</v>
      </c>
      <c r="J30" s="1360"/>
      <c r="K30" s="947"/>
      <c r="L30" s="1361"/>
      <c r="M30" s="1314"/>
      <c r="N30" s="1315"/>
      <c r="O30" s="1316"/>
      <c r="P30" s="1317"/>
      <c r="Q30" s="955"/>
      <c r="R30" s="955"/>
      <c r="S30" s="1024"/>
    </row>
    <row r="31" spans="2:19">
      <c r="B31" s="957" t="str">
        <f>B253</f>
        <v>C</v>
      </c>
      <c r="C31" s="1151" t="str">
        <f>C253</f>
        <v>PEKERJAAN FINISHING DINDING</v>
      </c>
      <c r="D31" s="944"/>
      <c r="E31" s="1320"/>
      <c r="F31" s="1359"/>
      <c r="G31" s="1021"/>
      <c r="H31" s="1021">
        <f>$H$264</f>
        <v>160115299.33500001</v>
      </c>
      <c r="I31" s="374">
        <f>H31/'REKAP TOTAL'!F44</f>
        <v>1.3168361021002753E-2</v>
      </c>
      <c r="J31" s="1360"/>
      <c r="K31" s="947"/>
      <c r="L31" s="1361"/>
      <c r="M31" s="1314"/>
      <c r="N31" s="1315"/>
      <c r="O31" s="1316"/>
      <c r="P31" s="1317"/>
      <c r="Q31" s="955"/>
      <c r="R31" s="955"/>
      <c r="S31" s="1024"/>
    </row>
    <row r="32" spans="2:19">
      <c r="B32" s="957" t="s">
        <v>25</v>
      </c>
      <c r="C32" s="1151" t="str">
        <f>C266</f>
        <v>PEKERJAAN KOSEN, PINTU &amp; JENDELA</v>
      </c>
      <c r="D32" s="944"/>
      <c r="E32" s="945"/>
      <c r="F32" s="1020"/>
      <c r="G32" s="1021"/>
      <c r="H32" s="1021">
        <f>$H$340</f>
        <v>355230400</v>
      </c>
      <c r="I32" s="374">
        <f>H32/'REKAP TOTAL'!F44</f>
        <v>2.9215210365676054E-2</v>
      </c>
      <c r="J32" s="1360"/>
      <c r="K32" s="947"/>
      <c r="L32" s="1361"/>
      <c r="M32" s="1314"/>
      <c r="N32" s="1315"/>
      <c r="O32" s="1316"/>
      <c r="P32" s="1317"/>
      <c r="Q32" s="955"/>
      <c r="R32" s="955"/>
      <c r="S32" s="1024"/>
    </row>
    <row r="33" spans="2:23">
      <c r="B33" s="957" t="s">
        <v>26</v>
      </c>
      <c r="C33" s="1151" t="str">
        <f>C342</f>
        <v>PEKERJAAN PLAFOND</v>
      </c>
      <c r="D33" s="944"/>
      <c r="E33" s="945"/>
      <c r="F33" s="1020"/>
      <c r="G33" s="1021"/>
      <c r="H33" s="1021">
        <f>$H$353</f>
        <v>14815820</v>
      </c>
      <c r="I33" s="374">
        <f>H33/'REKAP TOTAL'!F44</f>
        <v>1.2184973415563269E-3</v>
      </c>
      <c r="J33" s="1360"/>
      <c r="K33" s="947"/>
      <c r="L33" s="1361"/>
      <c r="M33" s="1314"/>
      <c r="N33" s="1315"/>
      <c r="O33" s="1316"/>
      <c r="P33" s="1317"/>
      <c r="Q33" s="955"/>
      <c r="R33" s="955"/>
      <c r="S33" s="1024"/>
    </row>
    <row r="34" spans="2:23">
      <c r="B34" s="957" t="s">
        <v>28</v>
      </c>
      <c r="C34" s="1151" t="str">
        <f>C355</f>
        <v>PEKERJAAN PENGECATAN</v>
      </c>
      <c r="D34" s="944"/>
      <c r="E34" s="945"/>
      <c r="F34" s="1020"/>
      <c r="G34" s="1021"/>
      <c r="H34" s="1021">
        <f>$H$370</f>
        <v>21129472.98</v>
      </c>
      <c r="I34" s="374">
        <f>H34/'REKAP TOTAL'!F44</f>
        <v>1.7377510427783436E-3</v>
      </c>
      <c r="J34" s="1360"/>
      <c r="K34" s="947"/>
      <c r="L34" s="1361"/>
      <c r="M34" s="1314"/>
      <c r="N34" s="1315"/>
      <c r="O34" s="1316"/>
      <c r="P34" s="1317"/>
      <c r="Q34" s="955"/>
      <c r="R34" s="955"/>
      <c r="S34" s="1024"/>
    </row>
    <row r="35" spans="2:23">
      <c r="B35" s="957" t="s">
        <v>169</v>
      </c>
      <c r="C35" s="1151" t="str">
        <f>C372</f>
        <v>PEKERJAAN SANITAIR</v>
      </c>
      <c r="D35" s="944"/>
      <c r="E35" s="945"/>
      <c r="F35" s="1020"/>
      <c r="G35" s="1021"/>
      <c r="H35" s="1021">
        <f>$H$382</f>
        <v>33348200</v>
      </c>
      <c r="I35" s="374">
        <f>H35/'REKAP TOTAL'!F44</f>
        <v>2.7426556913953261E-3</v>
      </c>
      <c r="J35" s="1360"/>
      <c r="K35" s="947"/>
      <c r="L35" s="1361"/>
      <c r="M35" s="1314"/>
      <c r="N35" s="1315"/>
      <c r="O35" s="1316"/>
      <c r="P35" s="1317"/>
      <c r="Q35" s="955"/>
      <c r="R35" s="955"/>
      <c r="S35" s="1024"/>
    </row>
    <row r="36" spans="2:23">
      <c r="B36" s="957" t="s">
        <v>171</v>
      </c>
      <c r="C36" s="1151" t="str">
        <f>C384</f>
        <v>PEKERJAAN LAIN-LAIN</v>
      </c>
      <c r="D36" s="944"/>
      <c r="E36" s="945"/>
      <c r="F36" s="1020"/>
      <c r="G36" s="1021"/>
      <c r="H36" s="1021">
        <f>$H$396</f>
        <v>110064732.5</v>
      </c>
      <c r="I36" s="374">
        <f>H36/'REKAP TOTAL'!F44</f>
        <v>9.0520527348711202E-3</v>
      </c>
      <c r="J36" s="1360"/>
      <c r="K36" s="947"/>
      <c r="L36" s="1361"/>
      <c r="M36" s="1314"/>
      <c r="N36" s="1315"/>
      <c r="O36" s="1316"/>
      <c r="P36" s="1317"/>
      <c r="Q36" s="955"/>
      <c r="R36" s="955"/>
      <c r="S36" s="1024"/>
    </row>
    <row r="37" spans="2:23">
      <c r="B37" s="940"/>
      <c r="C37" s="1151"/>
      <c r="D37" s="944"/>
      <c r="E37" s="1320"/>
      <c r="F37" s="1359"/>
      <c r="G37" s="947"/>
      <c r="H37" s="947"/>
      <c r="I37" s="947"/>
      <c r="J37" s="1360"/>
      <c r="K37" s="947"/>
      <c r="L37" s="1361"/>
      <c r="M37" s="1314"/>
      <c r="N37" s="1315"/>
      <c r="O37" s="1316"/>
      <c r="P37" s="1317"/>
      <c r="Q37" s="955"/>
      <c r="R37" s="955"/>
      <c r="S37" s="1024"/>
    </row>
    <row r="38" spans="2:23">
      <c r="B38" s="1030"/>
      <c r="C38" s="1174"/>
      <c r="D38" s="1032"/>
      <c r="E38" s="1362"/>
      <c r="F38" s="1363"/>
      <c r="G38" s="1035"/>
      <c r="H38" s="1035"/>
      <c r="I38" s="1035"/>
      <c r="J38" s="1364"/>
      <c r="K38" s="1365"/>
      <c r="L38" s="1366"/>
      <c r="M38" s="1367"/>
      <c r="N38" s="1368"/>
      <c r="O38" s="1369"/>
      <c r="P38" s="1370"/>
      <c r="Q38" s="1039"/>
      <c r="R38" s="1039"/>
      <c r="S38" s="1040"/>
    </row>
    <row r="39" spans="2:23">
      <c r="B39" s="1342"/>
      <c r="C39" s="1343" t="s">
        <v>175</v>
      </c>
      <c r="D39" s="981"/>
      <c r="E39" s="982"/>
      <c r="F39" s="983"/>
      <c r="G39" s="1371"/>
      <c r="H39" s="984">
        <f>SUM(H29:H38)</f>
        <v>1678292666.2149999</v>
      </c>
      <c r="I39" s="392">
        <f>H39/'REKAP TOTAL'!F44</f>
        <v>0.13802780758246638</v>
      </c>
      <c r="J39" s="1372"/>
      <c r="K39" s="1373"/>
      <c r="L39" s="1374"/>
      <c r="M39" s="1375"/>
      <c r="N39" s="1376"/>
      <c r="O39" s="1377"/>
      <c r="P39" s="1378"/>
      <c r="Q39" s="987"/>
      <c r="R39" s="987"/>
      <c r="S39" s="1042"/>
    </row>
    <row r="40" spans="2:23">
      <c r="B40" s="1304"/>
      <c r="C40" s="1379"/>
      <c r="D40" s="1047"/>
      <c r="E40" s="1048"/>
      <c r="F40" s="1049"/>
      <c r="G40" s="1050"/>
      <c r="H40" s="1208"/>
      <c r="I40" s="1208"/>
      <c r="J40" s="1380"/>
      <c r="K40" s="1381"/>
      <c r="L40" s="1382"/>
      <c r="M40" s="1308"/>
      <c r="N40" s="1309"/>
      <c r="O40" s="1310"/>
      <c r="P40" s="1311"/>
      <c r="Q40" s="1054"/>
      <c r="R40" s="1054"/>
      <c r="S40" s="1055"/>
    </row>
    <row r="41" spans="2:23">
      <c r="B41" s="940"/>
      <c r="C41" s="1383"/>
      <c r="D41" s="944"/>
      <c r="E41" s="945"/>
      <c r="F41" s="1020"/>
      <c r="G41" s="1021"/>
      <c r="H41" s="1021"/>
      <c r="I41" s="1021"/>
      <c r="J41" s="1360"/>
      <c r="K41" s="947"/>
      <c r="L41" s="1361"/>
      <c r="M41" s="1314"/>
      <c r="N41" s="1315"/>
      <c r="O41" s="1316"/>
      <c r="P41" s="1317"/>
      <c r="Q41" s="955"/>
      <c r="R41" s="955"/>
      <c r="S41" s="1024"/>
    </row>
    <row r="42" spans="2:23" s="1125" customFormat="1">
      <c r="B42" s="940"/>
      <c r="C42" s="1151"/>
      <c r="D42" s="944"/>
      <c r="E42" s="1087"/>
      <c r="F42" s="1148"/>
      <c r="G42" s="1149"/>
      <c r="H42" s="1149"/>
      <c r="I42" s="1149"/>
      <c r="J42" s="1151"/>
      <c r="K42" s="1151"/>
      <c r="L42" s="1083"/>
      <c r="M42" s="1334"/>
      <c r="N42" s="1151"/>
      <c r="O42" s="1335"/>
      <c r="P42" s="1322"/>
      <c r="Q42" s="1151"/>
      <c r="R42" s="1151"/>
      <c r="S42" s="1323"/>
    </row>
    <row r="43" spans="2:23" s="1125" customFormat="1">
      <c r="B43" s="1384">
        <v>1</v>
      </c>
      <c r="C43" s="1385" t="s">
        <v>33</v>
      </c>
      <c r="D43" s="944"/>
      <c r="E43" s="1087"/>
      <c r="F43" s="1148"/>
      <c r="G43" s="1149"/>
      <c r="H43" s="1149"/>
      <c r="I43" s="1149"/>
      <c r="J43" s="1151"/>
      <c r="K43" s="1151"/>
      <c r="L43" s="1083"/>
      <c r="M43" s="1334"/>
      <c r="N43" s="1151"/>
      <c r="O43" s="1335"/>
      <c r="P43" s="1322"/>
      <c r="Q43" s="1151"/>
      <c r="R43" s="1151"/>
      <c r="S43" s="1323"/>
    </row>
    <row r="44" spans="2:23" s="1268" customFormat="1" ht="11.25" customHeight="1">
      <c r="B44" s="1147"/>
      <c r="C44" s="1386"/>
      <c r="D44" s="1387"/>
      <c r="E44" s="1235"/>
      <c r="F44" s="1388"/>
      <c r="G44" s="1155"/>
      <c r="H44" s="1202"/>
      <c r="I44" s="1202"/>
      <c r="J44" s="1389"/>
      <c r="K44" s="1389"/>
      <c r="L44" s="1390"/>
      <c r="M44" s="1391"/>
      <c r="N44" s="1389"/>
      <c r="O44" s="1392"/>
      <c r="P44" s="1393"/>
      <c r="Q44" s="1389"/>
      <c r="R44" s="1389"/>
      <c r="S44" s="1394"/>
    </row>
    <row r="45" spans="2:23" s="1268" customFormat="1">
      <c r="B45" s="1147" t="s">
        <v>32</v>
      </c>
      <c r="C45" s="1395" t="s">
        <v>176</v>
      </c>
      <c r="D45" s="1387"/>
      <c r="E45" s="1235"/>
      <c r="F45" s="1388"/>
      <c r="G45" s="1155"/>
      <c r="H45" s="1202"/>
      <c r="I45" s="1202"/>
      <c r="J45" s="1389"/>
      <c r="K45" s="1389"/>
      <c r="L45" s="1390"/>
      <c r="M45" s="1391"/>
      <c r="N45" s="1389"/>
      <c r="O45" s="1392"/>
      <c r="P45" s="1393"/>
      <c r="Q45" s="1389"/>
      <c r="R45" s="1389"/>
      <c r="S45" s="1394"/>
    </row>
    <row r="46" spans="2:23" s="1268" customFormat="1" ht="13.5" customHeight="1">
      <c r="B46" s="1147"/>
      <c r="C46" s="1389"/>
      <c r="D46" s="1387"/>
      <c r="E46" s="1235"/>
      <c r="F46" s="1388"/>
      <c r="G46" s="1155"/>
      <c r="H46" s="1202"/>
      <c r="I46" s="1202"/>
      <c r="J46" s="1389"/>
      <c r="K46" s="1389"/>
      <c r="L46" s="1390"/>
      <c r="M46" s="1391"/>
      <c r="N46" s="1389"/>
      <c r="O46" s="1392"/>
      <c r="P46" s="1393"/>
      <c r="Q46" s="1389"/>
      <c r="R46" s="1389"/>
      <c r="S46" s="1394"/>
    </row>
    <row r="47" spans="2:23" s="1268" customFormat="1" ht="43.5" customHeight="1">
      <c r="B47" s="1238">
        <v>1</v>
      </c>
      <c r="C47" s="1396" t="s">
        <v>177</v>
      </c>
      <c r="D47" s="1240" t="s">
        <v>88</v>
      </c>
      <c r="E47" s="1241">
        <v>750</v>
      </c>
      <c r="F47" s="1397">
        <v>750</v>
      </c>
      <c r="G47" s="1398">
        <v>612100</v>
      </c>
      <c r="H47" s="1399">
        <f>$F47*G47</f>
        <v>459075000</v>
      </c>
      <c r="I47" s="374">
        <f>H47/'REKAP TOTAL'!F44</f>
        <v>3.7755700803261023E-2</v>
      </c>
      <c r="J47" s="1326">
        <v>0</v>
      </c>
      <c r="K47" s="1327">
        <v>0</v>
      </c>
      <c r="L47" s="1328">
        <v>0</v>
      </c>
      <c r="M47" s="1329">
        <f>+P47-J47</f>
        <v>25</v>
      </c>
      <c r="N47" s="1330">
        <f>+Q47-K47</f>
        <v>3.3333333333333298E-2</v>
      </c>
      <c r="O47" s="1331">
        <f>+R47-L47</f>
        <v>1.2585233601086995E-3</v>
      </c>
      <c r="P47" s="1332">
        <f>+W47</f>
        <v>25</v>
      </c>
      <c r="Q47" s="1333">
        <f>+P47/E47</f>
        <v>3.3333333333333298E-2</v>
      </c>
      <c r="R47" s="1333">
        <f>+Q47*I47</f>
        <v>1.2585233601086995E-3</v>
      </c>
      <c r="S47" s="1394"/>
      <c r="W47" s="1268">
        <v>25</v>
      </c>
    </row>
    <row r="48" spans="2:23" s="1268" customFormat="1">
      <c r="B48" s="940">
        <v>2</v>
      </c>
      <c r="C48" s="1389" t="s">
        <v>178</v>
      </c>
      <c r="D48" s="1400" t="s">
        <v>179</v>
      </c>
      <c r="E48" s="1235">
        <v>50</v>
      </c>
      <c r="F48" s="1397">
        <v>50</v>
      </c>
      <c r="G48" s="1398">
        <v>98900</v>
      </c>
      <c r="H48" s="1399">
        <f t="shared" ref="H48:H50" si="0">$F48*G48</f>
        <v>4945000</v>
      </c>
      <c r="I48" s="374">
        <f>H48/'REKAP TOTAL'!F44</f>
        <v>4.0669158737052932E-4</v>
      </c>
      <c r="J48" s="1326">
        <v>0</v>
      </c>
      <c r="K48" s="1327">
        <v>0</v>
      </c>
      <c r="L48" s="1328">
        <v>0</v>
      </c>
      <c r="M48" s="1329">
        <f t="shared" ref="M48:M50" si="1">+P48-J48</f>
        <v>0</v>
      </c>
      <c r="N48" s="1330">
        <f t="shared" ref="N48:N50" si="2">+Q48-K48</f>
        <v>0</v>
      </c>
      <c r="O48" s="1331">
        <f t="shared" ref="O48:O50" si="3">+R48-L48</f>
        <v>0</v>
      </c>
      <c r="P48" s="1332">
        <f t="shared" ref="P48:P50" si="4">+W48</f>
        <v>0</v>
      </c>
      <c r="Q48" s="1333">
        <f t="shared" ref="Q48:Q50" si="5">+P48/E48</f>
        <v>0</v>
      </c>
      <c r="R48" s="1333">
        <f t="shared" ref="R48:R50" si="6">+Q48*I48</f>
        <v>0</v>
      </c>
      <c r="S48" s="1394"/>
    </row>
    <row r="49" spans="2:19" s="1269" customFormat="1" ht="28.8">
      <c r="B49" s="1401">
        <v>3</v>
      </c>
      <c r="C49" s="1402" t="s">
        <v>180</v>
      </c>
      <c r="D49" s="1403" t="s">
        <v>179</v>
      </c>
      <c r="E49" s="1404">
        <v>50</v>
      </c>
      <c r="F49" s="1405">
        <v>50</v>
      </c>
      <c r="G49" s="1406">
        <v>942500</v>
      </c>
      <c r="H49" s="1399">
        <f t="shared" si="0"/>
        <v>47125000</v>
      </c>
      <c r="I49" s="374">
        <f>H49/'REKAP TOTAL'!F44</f>
        <v>3.8757009210993315E-3</v>
      </c>
      <c r="J49" s="1326">
        <v>0</v>
      </c>
      <c r="K49" s="1327">
        <v>0</v>
      </c>
      <c r="L49" s="1328">
        <v>0</v>
      </c>
      <c r="M49" s="1329">
        <f t="shared" si="1"/>
        <v>0</v>
      </c>
      <c r="N49" s="1330">
        <f t="shared" si="2"/>
        <v>0</v>
      </c>
      <c r="O49" s="1331">
        <f t="shared" si="3"/>
        <v>0</v>
      </c>
      <c r="P49" s="1332">
        <f t="shared" si="4"/>
        <v>0</v>
      </c>
      <c r="Q49" s="1333">
        <f t="shared" si="5"/>
        <v>0</v>
      </c>
      <c r="R49" s="1333">
        <f t="shared" si="6"/>
        <v>0</v>
      </c>
      <c r="S49" s="1407"/>
    </row>
    <row r="50" spans="2:19" s="1269" customFormat="1" ht="14.4">
      <c r="B50" s="1401">
        <v>4</v>
      </c>
      <c r="C50" s="1402" t="s">
        <v>181</v>
      </c>
      <c r="D50" s="1403" t="s">
        <v>179</v>
      </c>
      <c r="E50" s="1404">
        <v>2</v>
      </c>
      <c r="F50" s="1405">
        <v>2</v>
      </c>
      <c r="G50" s="1406">
        <v>21420000</v>
      </c>
      <c r="H50" s="1399">
        <f t="shared" si="0"/>
        <v>42840000</v>
      </c>
      <c r="I50" s="374">
        <f>H50/'REKAP TOTAL'!F44</f>
        <v>3.523289707371785E-3</v>
      </c>
      <c r="J50" s="1326">
        <v>0</v>
      </c>
      <c r="K50" s="1327">
        <v>0</v>
      </c>
      <c r="L50" s="1328">
        <v>0</v>
      </c>
      <c r="M50" s="1329">
        <f t="shared" si="1"/>
        <v>0</v>
      </c>
      <c r="N50" s="1330">
        <f t="shared" si="2"/>
        <v>0</v>
      </c>
      <c r="O50" s="1331">
        <f t="shared" si="3"/>
        <v>0</v>
      </c>
      <c r="P50" s="1332">
        <f t="shared" si="4"/>
        <v>0</v>
      </c>
      <c r="Q50" s="1333">
        <f t="shared" si="5"/>
        <v>0</v>
      </c>
      <c r="R50" s="1333">
        <f t="shared" si="6"/>
        <v>0</v>
      </c>
      <c r="S50" s="1407"/>
    </row>
    <row r="51" spans="2:19" s="1268" customFormat="1" ht="11.25" customHeight="1">
      <c r="B51" s="1408"/>
      <c r="C51" s="1409"/>
      <c r="D51" s="1410"/>
      <c r="E51" s="1411"/>
      <c r="F51" s="1412"/>
      <c r="G51" s="1413"/>
      <c r="H51" s="1414"/>
      <c r="I51" s="1414"/>
      <c r="J51" s="1415"/>
      <c r="K51" s="1415"/>
      <c r="L51" s="1416"/>
      <c r="M51" s="1417"/>
      <c r="N51" s="1415"/>
      <c r="O51" s="1418"/>
      <c r="P51" s="1419"/>
      <c r="Q51" s="1415"/>
      <c r="R51" s="1415"/>
      <c r="S51" s="1420"/>
    </row>
    <row r="52" spans="2:19" s="1268" customFormat="1">
      <c r="B52" s="978"/>
      <c r="C52" s="1421" t="s">
        <v>182</v>
      </c>
      <c r="D52" s="1421"/>
      <c r="E52" s="1421"/>
      <c r="F52" s="1422"/>
      <c r="G52" s="1423"/>
      <c r="H52" s="1179">
        <f>SUM(H44:H51)</f>
        <v>553985000</v>
      </c>
      <c r="I52" s="392">
        <f>H52/'REKAP TOTAL'!F44</f>
        <v>4.5561383019102668E-2</v>
      </c>
      <c r="J52" s="1424"/>
      <c r="K52" s="1424"/>
      <c r="L52" s="1425">
        <f>SUM(L44:L51)</f>
        <v>0</v>
      </c>
      <c r="M52" s="1426"/>
      <c r="N52" s="1424"/>
      <c r="O52" s="1425">
        <f>SUM(O44:O51)</f>
        <v>1.2585233601086995E-3</v>
      </c>
      <c r="P52" s="1427"/>
      <c r="Q52" s="1424"/>
      <c r="R52" s="1425">
        <f>SUM(R44:R51)</f>
        <v>1.2585233601086995E-3</v>
      </c>
      <c r="S52" s="1428"/>
    </row>
    <row r="53" spans="2:19" s="1268" customFormat="1">
      <c r="B53" s="1185"/>
      <c r="C53" s="1429"/>
      <c r="D53" s="1430"/>
      <c r="E53" s="1431"/>
      <c r="F53" s="1432"/>
      <c r="G53" s="1433"/>
      <c r="H53" s="1434"/>
      <c r="I53" s="1434"/>
      <c r="J53" s="1435"/>
      <c r="K53" s="1435"/>
      <c r="L53" s="1436"/>
      <c r="M53" s="1437"/>
      <c r="N53" s="1435"/>
      <c r="O53" s="1438"/>
      <c r="P53" s="1439"/>
      <c r="Q53" s="1435"/>
      <c r="R53" s="1435"/>
      <c r="S53" s="1440"/>
    </row>
    <row r="54" spans="2:19" s="1125" customFormat="1">
      <c r="B54" s="1147" t="s">
        <v>34</v>
      </c>
      <c r="C54" s="1244" t="s">
        <v>183</v>
      </c>
      <c r="D54" s="944"/>
      <c r="E54" s="1235"/>
      <c r="F54" s="1441"/>
      <c r="G54" s="1399"/>
      <c r="H54" s="1149"/>
      <c r="I54" s="1149"/>
      <c r="J54" s="1151"/>
      <c r="K54" s="1151"/>
      <c r="L54" s="1083"/>
      <c r="M54" s="1334"/>
      <c r="N54" s="1151"/>
      <c r="O54" s="1335"/>
      <c r="P54" s="1322"/>
      <c r="Q54" s="1151"/>
      <c r="R54" s="1151"/>
      <c r="S54" s="1323"/>
    </row>
    <row r="55" spans="2:19" s="1125" customFormat="1">
      <c r="B55" s="1147"/>
      <c r="C55" s="1244"/>
      <c r="D55" s="944"/>
      <c r="E55" s="1235"/>
      <c r="F55" s="1441"/>
      <c r="G55" s="1399"/>
      <c r="H55" s="1149"/>
      <c r="I55" s="1149"/>
      <c r="J55" s="1151"/>
      <c r="K55" s="1151"/>
      <c r="L55" s="1083"/>
      <c r="M55" s="1334"/>
      <c r="N55" s="1151"/>
      <c r="O55" s="1335"/>
      <c r="P55" s="1322"/>
      <c r="Q55" s="1151"/>
      <c r="R55" s="1151"/>
      <c r="S55" s="1323"/>
    </row>
    <row r="56" spans="2:19" s="1125" customFormat="1">
      <c r="B56" s="940">
        <v>1</v>
      </c>
      <c r="C56" s="1442" t="s">
        <v>184</v>
      </c>
      <c r="D56" s="944"/>
      <c r="E56" s="1235"/>
      <c r="F56" s="1441"/>
      <c r="G56" s="1399"/>
      <c r="H56" s="1149"/>
      <c r="I56" s="1149"/>
      <c r="J56" s="1151"/>
      <c r="K56" s="1151"/>
      <c r="L56" s="1083"/>
      <c r="M56" s="1334"/>
      <c r="N56" s="1151"/>
      <c r="O56" s="1335"/>
      <c r="P56" s="1322"/>
      <c r="Q56" s="1151"/>
      <c r="R56" s="1151"/>
      <c r="S56" s="1323"/>
    </row>
    <row r="57" spans="2:19" s="1125" customFormat="1" ht="16.2">
      <c r="B57" s="957" t="s">
        <v>185</v>
      </c>
      <c r="C57" s="1151" t="s">
        <v>186</v>
      </c>
      <c r="D57" s="944" t="s">
        <v>187</v>
      </c>
      <c r="E57" s="1235">
        <v>43.197000000000003</v>
      </c>
      <c r="F57" s="1397">
        <v>36.787999999999997</v>
      </c>
      <c r="G57" s="1398">
        <v>143200</v>
      </c>
      <c r="H57" s="1149">
        <f t="shared" ref="H57:H73" si="7">$F57*G57</f>
        <v>5268041.5999999996</v>
      </c>
      <c r="I57" s="374">
        <f>H57/'REKAP TOTAL'!F44</f>
        <v>4.3325949456784286E-4</v>
      </c>
      <c r="J57" s="1326">
        <v>0</v>
      </c>
      <c r="K57" s="1327">
        <v>0</v>
      </c>
      <c r="L57" s="1328">
        <v>0</v>
      </c>
      <c r="M57" s="1329">
        <f t="shared" ref="M57:M58" si="8">+P57-J57</f>
        <v>0</v>
      </c>
      <c r="N57" s="1330">
        <f t="shared" ref="N57:N58" si="9">+Q57-K57</f>
        <v>0</v>
      </c>
      <c r="O57" s="1331">
        <f t="shared" ref="O57:O58" si="10">+R57-L57</f>
        <v>0</v>
      </c>
      <c r="P57" s="1332">
        <f t="shared" ref="P57:P58" si="11">+W57</f>
        <v>0</v>
      </c>
      <c r="Q57" s="1333">
        <f t="shared" ref="Q57:Q58" si="12">+P57/E57</f>
        <v>0</v>
      </c>
      <c r="R57" s="1333">
        <f t="shared" ref="R57:R58" si="13">+Q57*I57</f>
        <v>0</v>
      </c>
      <c r="S57" s="1323"/>
    </row>
    <row r="58" spans="2:19" s="1125" customFormat="1" ht="16.2">
      <c r="B58" s="957" t="s">
        <v>188</v>
      </c>
      <c r="C58" s="1151" t="s">
        <v>189</v>
      </c>
      <c r="D58" s="944" t="s">
        <v>187</v>
      </c>
      <c r="E58" s="1235">
        <v>99.417862499999998</v>
      </c>
      <c r="F58" s="1397">
        <v>67.576999999999998</v>
      </c>
      <c r="G58" s="1443">
        <v>143200</v>
      </c>
      <c r="H58" s="1149">
        <f t="shared" si="7"/>
        <v>9677026.4000000004</v>
      </c>
      <c r="I58" s="374">
        <f>H58/'REKAP TOTAL'!F44</f>
        <v>7.9586758900758729E-4</v>
      </c>
      <c r="J58" s="1326">
        <v>0</v>
      </c>
      <c r="K58" s="1327">
        <v>0</v>
      </c>
      <c r="L58" s="1328">
        <v>0</v>
      </c>
      <c r="M58" s="1329">
        <f t="shared" si="8"/>
        <v>0</v>
      </c>
      <c r="N58" s="1330">
        <f t="shared" si="9"/>
        <v>0</v>
      </c>
      <c r="O58" s="1331">
        <f t="shared" si="10"/>
        <v>0</v>
      </c>
      <c r="P58" s="1332">
        <f t="shared" si="11"/>
        <v>0</v>
      </c>
      <c r="Q58" s="1333">
        <f t="shared" si="12"/>
        <v>0</v>
      </c>
      <c r="R58" s="1333">
        <f t="shared" si="13"/>
        <v>0</v>
      </c>
      <c r="S58" s="1323"/>
    </row>
    <row r="59" spans="2:19" s="1125" customFormat="1">
      <c r="B59" s="940">
        <v>2</v>
      </c>
      <c r="C59" s="1442" t="s">
        <v>190</v>
      </c>
      <c r="D59" s="944"/>
      <c r="E59" s="1235"/>
      <c r="F59" s="1441"/>
      <c r="G59" s="1399"/>
      <c r="H59" s="1149"/>
      <c r="I59" s="1149"/>
      <c r="J59" s="1151"/>
      <c r="K59" s="1151"/>
      <c r="L59" s="1083"/>
      <c r="M59" s="1334"/>
      <c r="N59" s="1151"/>
      <c r="O59" s="1335"/>
      <c r="P59" s="1322"/>
      <c r="Q59" s="1151"/>
      <c r="R59" s="1151"/>
      <c r="S59" s="1323"/>
    </row>
    <row r="60" spans="2:19" s="1125" customFormat="1">
      <c r="B60" s="940"/>
      <c r="C60" s="1151" t="s">
        <v>191</v>
      </c>
      <c r="D60" s="944"/>
      <c r="E60" s="1235"/>
      <c r="F60" s="1441"/>
      <c r="G60" s="1399"/>
      <c r="H60" s="1149"/>
      <c r="I60" s="1149"/>
      <c r="J60" s="1151"/>
      <c r="K60" s="1151"/>
      <c r="L60" s="1083"/>
      <c r="M60" s="1334"/>
      <c r="N60" s="1151"/>
      <c r="O60" s="1335"/>
      <c r="P60" s="1322"/>
      <c r="Q60" s="1151"/>
      <c r="R60" s="1151"/>
      <c r="S60" s="1323"/>
    </row>
    <row r="61" spans="2:19" s="1125" customFormat="1" ht="16.2">
      <c r="B61" s="957" t="s">
        <v>185</v>
      </c>
      <c r="C61" s="1151" t="s">
        <v>186</v>
      </c>
      <c r="D61" s="944" t="s">
        <v>187</v>
      </c>
      <c r="E61" s="1235">
        <v>18.71565</v>
      </c>
      <c r="F61" s="1397">
        <v>10.178000000000001</v>
      </c>
      <c r="G61" s="1398">
        <v>65300</v>
      </c>
      <c r="H61" s="1149">
        <f t="shared" si="7"/>
        <v>664623.4</v>
      </c>
      <c r="I61" s="374">
        <f>H61/'REKAP TOTAL'!F44</f>
        <v>5.4660615884650816E-5</v>
      </c>
      <c r="J61" s="1326">
        <v>0</v>
      </c>
      <c r="K61" s="1327">
        <v>0</v>
      </c>
      <c r="L61" s="1328">
        <v>0</v>
      </c>
      <c r="M61" s="1329">
        <f t="shared" ref="M61:M62" si="14">+P61-J61</f>
        <v>0</v>
      </c>
      <c r="N61" s="1330">
        <f t="shared" ref="N61:N62" si="15">+Q61-K61</f>
        <v>0</v>
      </c>
      <c r="O61" s="1331">
        <f t="shared" ref="O61:O62" si="16">+R61-L61</f>
        <v>0</v>
      </c>
      <c r="P61" s="1332">
        <f t="shared" ref="P61:P62" si="17">+W61</f>
        <v>0</v>
      </c>
      <c r="Q61" s="1333">
        <f t="shared" ref="Q61:Q62" si="18">+P61/E61</f>
        <v>0</v>
      </c>
      <c r="R61" s="1333">
        <f t="shared" ref="R61:R62" si="19">+Q61*I61</f>
        <v>0</v>
      </c>
      <c r="S61" s="1323"/>
    </row>
    <row r="62" spans="2:19" s="1125" customFormat="1" ht="16.2">
      <c r="B62" s="957" t="s">
        <v>188</v>
      </c>
      <c r="C62" s="1151" t="s">
        <v>189</v>
      </c>
      <c r="D62" s="944" t="s">
        <v>187</v>
      </c>
      <c r="E62" s="1235">
        <v>36.151949999999999</v>
      </c>
      <c r="F62" s="1397">
        <v>12.692</v>
      </c>
      <c r="G62" s="1443">
        <v>65300</v>
      </c>
      <c r="H62" s="1149">
        <f t="shared" si="7"/>
        <v>828787.6</v>
      </c>
      <c r="I62" s="374">
        <f>H62/'REKAP TOTAL'!F44</f>
        <v>6.8161970604046774E-5</v>
      </c>
      <c r="J62" s="1326">
        <v>0</v>
      </c>
      <c r="K62" s="1327">
        <v>0</v>
      </c>
      <c r="L62" s="1328">
        <v>0</v>
      </c>
      <c r="M62" s="1329">
        <f t="shared" si="14"/>
        <v>0</v>
      </c>
      <c r="N62" s="1330">
        <f t="shared" si="15"/>
        <v>0</v>
      </c>
      <c r="O62" s="1331">
        <f t="shared" si="16"/>
        <v>0</v>
      </c>
      <c r="P62" s="1332">
        <f t="shared" si="17"/>
        <v>0</v>
      </c>
      <c r="Q62" s="1333">
        <f t="shared" si="18"/>
        <v>0</v>
      </c>
      <c r="R62" s="1333">
        <f t="shared" si="19"/>
        <v>0</v>
      </c>
      <c r="S62" s="1323"/>
    </row>
    <row r="63" spans="2:19" s="1125" customFormat="1">
      <c r="B63" s="940">
        <v>3</v>
      </c>
      <c r="C63" s="2026" t="s">
        <v>192</v>
      </c>
      <c r="D63" s="944"/>
      <c r="E63" s="1235"/>
      <c r="F63" s="1441"/>
      <c r="G63" s="1399"/>
      <c r="H63" s="1149"/>
      <c r="I63" s="1149"/>
      <c r="J63" s="1151"/>
      <c r="K63" s="1151"/>
      <c r="L63" s="1083"/>
      <c r="M63" s="1334"/>
      <c r="N63" s="1151"/>
      <c r="O63" s="1335"/>
      <c r="P63" s="1322"/>
      <c r="Q63" s="1151"/>
      <c r="R63" s="1151"/>
      <c r="S63" s="1323"/>
    </row>
    <row r="64" spans="2:19" s="1125" customFormat="1" ht="16.2">
      <c r="B64" s="957" t="s">
        <v>185</v>
      </c>
      <c r="C64" s="1151" t="s">
        <v>186</v>
      </c>
      <c r="D64" s="944" t="s">
        <v>187</v>
      </c>
      <c r="E64" s="1235">
        <v>24.481349999999999</v>
      </c>
      <c r="F64" s="1397">
        <v>26.61</v>
      </c>
      <c r="G64" s="1398">
        <v>101500</v>
      </c>
      <c r="H64" s="1149">
        <f t="shared" si="7"/>
        <v>2700915</v>
      </c>
      <c r="I64" s="374">
        <f>H64/'REKAP TOTAL'!F44</f>
        <v>2.2213132633020692E-4</v>
      </c>
      <c r="J64" s="1326">
        <v>0</v>
      </c>
      <c r="K64" s="1327">
        <v>0</v>
      </c>
      <c r="L64" s="1328">
        <v>0</v>
      </c>
      <c r="M64" s="1329">
        <f t="shared" ref="M64:M65" si="20">+P64-J64</f>
        <v>0</v>
      </c>
      <c r="N64" s="1330">
        <f t="shared" ref="N64:N65" si="21">+Q64-K64</f>
        <v>0</v>
      </c>
      <c r="O64" s="1331">
        <f t="shared" ref="O64:O65" si="22">+R64-L64</f>
        <v>0</v>
      </c>
      <c r="P64" s="1332">
        <f t="shared" ref="P64:P65" si="23">+W64</f>
        <v>0</v>
      </c>
      <c r="Q64" s="1333">
        <f t="shared" ref="Q64:Q65" si="24">+P64/E64</f>
        <v>0</v>
      </c>
      <c r="R64" s="1333">
        <f t="shared" ref="R64:R65" si="25">+Q64*I64</f>
        <v>0</v>
      </c>
      <c r="S64" s="1323"/>
    </row>
    <row r="65" spans="2:19" s="1125" customFormat="1" ht="16.2">
      <c r="B65" s="957" t="s">
        <v>188</v>
      </c>
      <c r="C65" s="1151" t="s">
        <v>189</v>
      </c>
      <c r="D65" s="944" t="s">
        <v>187</v>
      </c>
      <c r="E65" s="1235">
        <v>63.265912499999999</v>
      </c>
      <c r="F65" s="1397">
        <v>54.884999999999998</v>
      </c>
      <c r="G65" s="1443">
        <v>101500</v>
      </c>
      <c r="H65" s="1149">
        <f t="shared" si="7"/>
        <v>5570827.5</v>
      </c>
      <c r="I65" s="374">
        <f>H65/'REKAP TOTAL'!F44</f>
        <v>4.5816151242515624E-4</v>
      </c>
      <c r="J65" s="1326">
        <v>0</v>
      </c>
      <c r="K65" s="1327">
        <v>0</v>
      </c>
      <c r="L65" s="1328">
        <v>0</v>
      </c>
      <c r="M65" s="1329">
        <f t="shared" si="20"/>
        <v>0</v>
      </c>
      <c r="N65" s="1330">
        <f t="shared" si="21"/>
        <v>0</v>
      </c>
      <c r="O65" s="1331">
        <f t="shared" si="22"/>
        <v>0</v>
      </c>
      <c r="P65" s="1332">
        <f t="shared" si="23"/>
        <v>0</v>
      </c>
      <c r="Q65" s="1333">
        <f t="shared" si="24"/>
        <v>0</v>
      </c>
      <c r="R65" s="1333">
        <f t="shared" si="25"/>
        <v>0</v>
      </c>
      <c r="S65" s="1323"/>
    </row>
    <row r="66" spans="2:19" s="1125" customFormat="1">
      <c r="B66" s="940">
        <v>4</v>
      </c>
      <c r="C66" s="1442" t="s">
        <v>193</v>
      </c>
      <c r="D66" s="944"/>
      <c r="E66" s="1235"/>
      <c r="F66" s="1441">
        <v>0</v>
      </c>
      <c r="G66" s="1399">
        <v>0</v>
      </c>
      <c r="H66" s="1149"/>
      <c r="I66" s="1149"/>
      <c r="J66" s="1151"/>
      <c r="K66" s="1151"/>
      <c r="L66" s="1083"/>
      <c r="M66" s="1334"/>
      <c r="N66" s="1151"/>
      <c r="O66" s="1335"/>
      <c r="P66" s="1322"/>
      <c r="Q66" s="1151"/>
      <c r="R66" s="1151"/>
      <c r="S66" s="1323"/>
    </row>
    <row r="67" spans="2:19" s="1125" customFormat="1">
      <c r="B67" s="940"/>
      <c r="C67" s="1151" t="s">
        <v>194</v>
      </c>
      <c r="D67" s="944"/>
      <c r="E67" s="1235"/>
      <c r="F67" s="1441">
        <v>0</v>
      </c>
      <c r="G67" s="1399">
        <v>0</v>
      </c>
      <c r="H67" s="1149"/>
      <c r="I67" s="1149"/>
      <c r="J67" s="1151"/>
      <c r="K67" s="1151"/>
      <c r="L67" s="1083"/>
      <c r="M67" s="1334"/>
      <c r="N67" s="1151"/>
      <c r="O67" s="1335"/>
      <c r="P67" s="1322"/>
      <c r="Q67" s="1151"/>
      <c r="R67" s="1151"/>
      <c r="S67" s="1323"/>
    </row>
    <row r="68" spans="2:19" s="1125" customFormat="1" ht="16.2">
      <c r="B68" s="957" t="s">
        <v>185</v>
      </c>
      <c r="C68" s="1151" t="s">
        <v>186</v>
      </c>
      <c r="D68" s="944" t="s">
        <v>187</v>
      </c>
      <c r="E68" s="1235">
        <v>4.2668999999999997</v>
      </c>
      <c r="F68" s="1397">
        <v>2.1335999999999999</v>
      </c>
      <c r="G68" s="1398">
        <v>407100</v>
      </c>
      <c r="H68" s="1149">
        <f t="shared" si="7"/>
        <v>868588.56</v>
      </c>
      <c r="I68" s="374">
        <f>H68/'REKAP TOTAL'!F44</f>
        <v>7.143532057397013E-5</v>
      </c>
      <c r="J68" s="1326">
        <v>0</v>
      </c>
      <c r="K68" s="1327">
        <v>0</v>
      </c>
      <c r="L68" s="1328">
        <v>0</v>
      </c>
      <c r="M68" s="1329">
        <f t="shared" ref="M68:M73" si="26">+P68-J68</f>
        <v>0</v>
      </c>
      <c r="N68" s="1330">
        <f t="shared" ref="N68:N73" si="27">+Q68-K68</f>
        <v>0</v>
      </c>
      <c r="O68" s="1331">
        <f t="shared" ref="O68:O73" si="28">+R68-L68</f>
        <v>0</v>
      </c>
      <c r="P68" s="1332">
        <f t="shared" ref="P68:P73" si="29">+W68</f>
        <v>0</v>
      </c>
      <c r="Q68" s="1333">
        <f t="shared" ref="Q68:Q73" si="30">+P68/E68</f>
        <v>0</v>
      </c>
      <c r="R68" s="1333">
        <f t="shared" ref="R68:R73" si="31">+Q68*I68</f>
        <v>0</v>
      </c>
      <c r="S68" s="1323"/>
    </row>
    <row r="69" spans="2:19" s="1125" customFormat="1" ht="16.2">
      <c r="B69" s="957" t="s">
        <v>188</v>
      </c>
      <c r="C69" s="1151" t="s">
        <v>189</v>
      </c>
      <c r="D69" s="944" t="s">
        <v>187</v>
      </c>
      <c r="E69" s="1235">
        <v>13.255715</v>
      </c>
      <c r="F69" s="1397">
        <v>12.750400000000001</v>
      </c>
      <c r="G69" s="1398">
        <v>407100</v>
      </c>
      <c r="H69" s="1149">
        <f t="shared" si="7"/>
        <v>5190687.84</v>
      </c>
      <c r="I69" s="374">
        <f>H69/'REKAP TOTAL'!F44</f>
        <v>4.2689769002922227E-4</v>
      </c>
      <c r="J69" s="1326">
        <v>0</v>
      </c>
      <c r="K69" s="1327">
        <v>0</v>
      </c>
      <c r="L69" s="1328">
        <v>0</v>
      </c>
      <c r="M69" s="1329">
        <f t="shared" si="26"/>
        <v>0</v>
      </c>
      <c r="N69" s="1330">
        <f t="shared" si="27"/>
        <v>0</v>
      </c>
      <c r="O69" s="1331">
        <f t="shared" si="28"/>
        <v>0</v>
      </c>
      <c r="P69" s="1332">
        <f t="shared" si="29"/>
        <v>0</v>
      </c>
      <c r="Q69" s="1333">
        <f t="shared" si="30"/>
        <v>0</v>
      </c>
      <c r="R69" s="1333">
        <f t="shared" si="31"/>
        <v>0</v>
      </c>
      <c r="S69" s="1323"/>
    </row>
    <row r="70" spans="2:19" s="1125" customFormat="1" ht="16.2">
      <c r="B70" s="957" t="s">
        <v>195</v>
      </c>
      <c r="C70" s="1151" t="s">
        <v>196</v>
      </c>
      <c r="D70" s="944" t="s">
        <v>187</v>
      </c>
      <c r="E70" s="1235">
        <v>195.592276</v>
      </c>
      <c r="F70" s="1397">
        <v>179.8903</v>
      </c>
      <c r="G70" s="1398">
        <v>407100</v>
      </c>
      <c r="H70" s="1149">
        <f t="shared" si="7"/>
        <v>73233341.129999995</v>
      </c>
      <c r="I70" s="374">
        <f>H70/'REKAP TOTAL'!F44</f>
        <v>6.0229289691824412E-3</v>
      </c>
      <c r="J70" s="1326">
        <v>0</v>
      </c>
      <c r="K70" s="1327">
        <v>0</v>
      </c>
      <c r="L70" s="1328">
        <v>0</v>
      </c>
      <c r="M70" s="1329">
        <f t="shared" si="26"/>
        <v>0</v>
      </c>
      <c r="N70" s="1330">
        <f t="shared" si="27"/>
        <v>0</v>
      </c>
      <c r="O70" s="1331">
        <f t="shared" si="28"/>
        <v>0</v>
      </c>
      <c r="P70" s="1332">
        <f t="shared" si="29"/>
        <v>0</v>
      </c>
      <c r="Q70" s="1333">
        <f t="shared" si="30"/>
        <v>0</v>
      </c>
      <c r="R70" s="1333">
        <f t="shared" si="31"/>
        <v>0</v>
      </c>
      <c r="S70" s="1323"/>
    </row>
    <row r="71" spans="2:19" s="1125" customFormat="1" ht="27.6">
      <c r="B71" s="1238">
        <v>5</v>
      </c>
      <c r="C71" s="1396" t="s">
        <v>197</v>
      </c>
      <c r="D71" s="1240" t="s">
        <v>103</v>
      </c>
      <c r="E71" s="1241">
        <v>1775.2316000000001</v>
      </c>
      <c r="F71" s="1397">
        <v>1798.903</v>
      </c>
      <c r="G71" s="1398">
        <v>41600</v>
      </c>
      <c r="H71" s="1149">
        <f t="shared" si="7"/>
        <v>74834364.799999997</v>
      </c>
      <c r="I71" s="374">
        <f>H71/'REKAP TOTAL'!F44</f>
        <v>6.1546019434534404E-3</v>
      </c>
      <c r="J71" s="1326">
        <v>0</v>
      </c>
      <c r="K71" s="1327">
        <v>0</v>
      </c>
      <c r="L71" s="1328">
        <v>0</v>
      </c>
      <c r="M71" s="1329">
        <f t="shared" si="26"/>
        <v>0</v>
      </c>
      <c r="N71" s="1330">
        <f t="shared" si="27"/>
        <v>0</v>
      </c>
      <c r="O71" s="1331">
        <f t="shared" si="28"/>
        <v>0</v>
      </c>
      <c r="P71" s="1332">
        <f t="shared" si="29"/>
        <v>0</v>
      </c>
      <c r="Q71" s="1333">
        <f t="shared" si="30"/>
        <v>0</v>
      </c>
      <c r="R71" s="1333">
        <f t="shared" si="31"/>
        <v>0</v>
      </c>
      <c r="S71" s="1323"/>
    </row>
    <row r="72" spans="2:19" s="1125" customFormat="1" ht="27.6">
      <c r="B72" s="1238">
        <v>6</v>
      </c>
      <c r="C72" s="1396" t="s">
        <v>198</v>
      </c>
      <c r="D72" s="1240" t="s">
        <v>143</v>
      </c>
      <c r="E72" s="1241">
        <v>532.56948</v>
      </c>
      <c r="F72" s="1397">
        <v>539.67089999999996</v>
      </c>
      <c r="G72" s="1398">
        <v>1080500</v>
      </c>
      <c r="H72" s="1149">
        <f t="shared" si="7"/>
        <v>583114407.45000005</v>
      </c>
      <c r="I72" s="374">
        <f>H72/'REKAP TOTAL'!F44</f>
        <v>4.7957072595443101E-2</v>
      </c>
      <c r="J72" s="1326">
        <v>0</v>
      </c>
      <c r="K72" s="1327">
        <v>0</v>
      </c>
      <c r="L72" s="1328">
        <v>0</v>
      </c>
      <c r="M72" s="1329">
        <f t="shared" si="26"/>
        <v>0</v>
      </c>
      <c r="N72" s="1330">
        <f t="shared" si="27"/>
        <v>0</v>
      </c>
      <c r="O72" s="1331">
        <f t="shared" si="28"/>
        <v>0</v>
      </c>
      <c r="P72" s="1332">
        <f t="shared" si="29"/>
        <v>0</v>
      </c>
      <c r="Q72" s="1333">
        <f t="shared" si="30"/>
        <v>0</v>
      </c>
      <c r="R72" s="1333">
        <f t="shared" si="31"/>
        <v>0</v>
      </c>
      <c r="S72" s="1323"/>
    </row>
    <row r="73" spans="2:19" s="1125" customFormat="1">
      <c r="B73" s="940">
        <v>7</v>
      </c>
      <c r="C73" s="1444" t="s">
        <v>199</v>
      </c>
      <c r="D73" s="944" t="s">
        <v>103</v>
      </c>
      <c r="E73" s="1242">
        <v>1775.2316000000001</v>
      </c>
      <c r="F73" s="1397">
        <v>1798.903</v>
      </c>
      <c r="G73" s="1398">
        <v>10900</v>
      </c>
      <c r="H73" s="1149">
        <f t="shared" si="7"/>
        <v>19608042.699999999</v>
      </c>
      <c r="I73" s="374">
        <f>H73/'REKAP TOTAL'!F44</f>
        <v>1.6126240669144833E-3</v>
      </c>
      <c r="J73" s="1326">
        <v>0</v>
      </c>
      <c r="K73" s="1327">
        <v>0</v>
      </c>
      <c r="L73" s="1328">
        <v>0</v>
      </c>
      <c r="M73" s="1329">
        <f t="shared" si="26"/>
        <v>0</v>
      </c>
      <c r="N73" s="1330">
        <f t="shared" si="27"/>
        <v>0</v>
      </c>
      <c r="O73" s="1331">
        <f t="shared" si="28"/>
        <v>0</v>
      </c>
      <c r="P73" s="1332">
        <f t="shared" si="29"/>
        <v>0</v>
      </c>
      <c r="Q73" s="1333">
        <f t="shared" si="30"/>
        <v>0</v>
      </c>
      <c r="R73" s="1333">
        <f t="shared" si="31"/>
        <v>0</v>
      </c>
      <c r="S73" s="1323"/>
    </row>
    <row r="74" spans="2:19" s="1125" customFormat="1">
      <c r="B74" s="1030"/>
      <c r="C74" s="1445"/>
      <c r="D74" s="1032"/>
      <c r="E74" s="1411"/>
      <c r="F74" s="1446"/>
      <c r="G74" s="1170"/>
      <c r="H74" s="1170"/>
      <c r="I74" s="1170"/>
      <c r="J74" s="1174"/>
      <c r="K74" s="1174"/>
      <c r="L74" s="1175"/>
      <c r="M74" s="1447"/>
      <c r="N74" s="1174"/>
      <c r="O74" s="1448"/>
      <c r="P74" s="1449"/>
      <c r="Q74" s="1174"/>
      <c r="R74" s="1174"/>
      <c r="S74" s="1450"/>
    </row>
    <row r="75" spans="2:19" s="1128" customFormat="1">
      <c r="B75" s="978"/>
      <c r="C75" s="1421" t="s">
        <v>200</v>
      </c>
      <c r="D75" s="1421"/>
      <c r="E75" s="1421"/>
      <c r="F75" s="1451"/>
      <c r="G75" s="1179"/>
      <c r="H75" s="1179">
        <f>SUM(H56:H74)</f>
        <v>781559653.98000002</v>
      </c>
      <c r="I75" s="392">
        <f>H75/'REKAP TOTAL'!F44</f>
        <v>6.427780309441615E-2</v>
      </c>
      <c r="J75" s="1345"/>
      <c r="K75" s="1345"/>
      <c r="L75" s="1425">
        <f>SUM(L53:L74)</f>
        <v>0</v>
      </c>
      <c r="M75" s="1347"/>
      <c r="N75" s="1345"/>
      <c r="O75" s="1452">
        <f>SUM(O53:O74)</f>
        <v>0</v>
      </c>
      <c r="P75" s="1349"/>
      <c r="Q75" s="1345"/>
      <c r="R75" s="1452">
        <f>SUM(R53:R74)</f>
        <v>0</v>
      </c>
      <c r="S75" s="1453"/>
    </row>
    <row r="76" spans="2:19" s="1128" customFormat="1">
      <c r="B76" s="1304"/>
      <c r="C76" s="1047"/>
      <c r="D76" s="1047"/>
      <c r="E76" s="1431"/>
      <c r="F76" s="1454"/>
      <c r="G76" s="1352"/>
      <c r="H76" s="1352"/>
      <c r="I76" s="1352"/>
      <c r="J76" s="1353"/>
      <c r="K76" s="1353"/>
      <c r="L76" s="1354"/>
      <c r="M76" s="1355"/>
      <c r="N76" s="1353"/>
      <c r="O76" s="1356"/>
      <c r="P76" s="1357"/>
      <c r="Q76" s="1353"/>
      <c r="R76" s="1353"/>
      <c r="S76" s="1358"/>
    </row>
    <row r="77" spans="2:19" s="1128" customFormat="1">
      <c r="B77" s="1147" t="s">
        <v>24</v>
      </c>
      <c r="C77" s="1244" t="s">
        <v>201</v>
      </c>
      <c r="D77" s="944"/>
      <c r="E77" s="1235"/>
      <c r="F77" s="1102"/>
      <c r="G77" s="1149"/>
      <c r="H77" s="1149"/>
      <c r="I77" s="1149"/>
      <c r="J77" s="1244"/>
      <c r="K77" s="1244"/>
      <c r="L77" s="1082"/>
      <c r="M77" s="1455"/>
      <c r="N77" s="1244"/>
      <c r="O77" s="1456"/>
      <c r="P77" s="1457"/>
      <c r="Q77" s="1244"/>
      <c r="R77" s="1244"/>
      <c r="S77" s="1458"/>
    </row>
    <row r="78" spans="2:19" s="1128" customFormat="1">
      <c r="B78" s="940"/>
      <c r="C78" s="1151"/>
      <c r="D78" s="944"/>
      <c r="E78" s="1235"/>
      <c r="F78" s="1102"/>
      <c r="G78" s="1149"/>
      <c r="H78" s="1149"/>
      <c r="I78" s="1149"/>
      <c r="J78" s="1244"/>
      <c r="K78" s="1244"/>
      <c r="L78" s="1082"/>
      <c r="M78" s="1455"/>
      <c r="N78" s="1244"/>
      <c r="O78" s="1456"/>
      <c r="P78" s="1457"/>
      <c r="Q78" s="1244"/>
      <c r="R78" s="1244"/>
      <c r="S78" s="1458"/>
    </row>
    <row r="79" spans="2:19" s="1125" customFormat="1">
      <c r="B79" s="940">
        <v>1</v>
      </c>
      <c r="C79" s="1151" t="s">
        <v>202</v>
      </c>
      <c r="D79" s="944"/>
      <c r="E79" s="1235"/>
      <c r="F79" s="1102"/>
      <c r="G79" s="1149"/>
      <c r="H79" s="1149"/>
      <c r="I79" s="1149"/>
      <c r="J79" s="1151"/>
      <c r="K79" s="1151"/>
      <c r="L79" s="1083"/>
      <c r="M79" s="1334"/>
      <c r="N79" s="1151"/>
      <c r="O79" s="1335"/>
      <c r="P79" s="1322"/>
      <c r="Q79" s="1151"/>
      <c r="R79" s="1151"/>
      <c r="S79" s="1323"/>
    </row>
    <row r="80" spans="2:19" s="1125" customFormat="1" ht="16.2">
      <c r="B80" s="957" t="s">
        <v>185</v>
      </c>
      <c r="C80" s="1151" t="s">
        <v>186</v>
      </c>
      <c r="D80" s="944" t="s">
        <v>187</v>
      </c>
      <c r="E80" s="1242">
        <v>2.1334499999999998</v>
      </c>
      <c r="F80" s="946">
        <v>1.2529999999999999</v>
      </c>
      <c r="G80" s="1202">
        <v>1186300</v>
      </c>
      <c r="H80" s="1149">
        <f>$F80*G80</f>
        <v>1486433.9</v>
      </c>
      <c r="I80" s="374">
        <f>H80/'REKAP TOTAL'!F44</f>
        <v>1.2224876892059992E-4</v>
      </c>
      <c r="J80" s="1326">
        <v>0</v>
      </c>
      <c r="K80" s="1327">
        <v>0</v>
      </c>
      <c r="L80" s="1328">
        <v>0</v>
      </c>
      <c r="M80" s="1329">
        <f t="shared" ref="M80:M81" si="32">+P80-J80</f>
        <v>0</v>
      </c>
      <c r="N80" s="1330">
        <f t="shared" ref="N80:N81" si="33">+Q80-K80</f>
        <v>0</v>
      </c>
      <c r="O80" s="1331">
        <f t="shared" ref="O80:O81" si="34">+R80-L80</f>
        <v>0</v>
      </c>
      <c r="P80" s="1332">
        <f t="shared" ref="P80:P81" si="35">+W80</f>
        <v>0</v>
      </c>
      <c r="Q80" s="1333">
        <f t="shared" ref="Q80:Q81" si="36">+P80/E80</f>
        <v>0</v>
      </c>
      <c r="R80" s="1333">
        <f t="shared" ref="R80:R81" si="37">+Q80*I80</f>
        <v>0</v>
      </c>
      <c r="S80" s="1323"/>
    </row>
    <row r="81" spans="2:19" s="1125" customFormat="1" ht="16.2">
      <c r="B81" s="2027" t="s">
        <v>188</v>
      </c>
      <c r="C81" s="1151" t="s">
        <v>189</v>
      </c>
      <c r="D81" s="944" t="s">
        <v>187</v>
      </c>
      <c r="E81" s="1235">
        <v>6.6278575000000002</v>
      </c>
      <c r="F81" s="946">
        <v>6.3752000000000004</v>
      </c>
      <c r="G81" s="1202">
        <v>1186300</v>
      </c>
      <c r="H81" s="1149">
        <f>$F81*G81</f>
        <v>7562899.7599999998</v>
      </c>
      <c r="I81" s="374">
        <f>H81/'REKAP TOTAL'!F44</f>
        <v>6.2199549211700608E-4</v>
      </c>
      <c r="J81" s="1326">
        <v>0</v>
      </c>
      <c r="K81" s="1327">
        <v>0</v>
      </c>
      <c r="L81" s="1328">
        <v>0</v>
      </c>
      <c r="M81" s="1329">
        <f t="shared" si="32"/>
        <v>0</v>
      </c>
      <c r="N81" s="1330">
        <f t="shared" si="33"/>
        <v>0</v>
      </c>
      <c r="O81" s="1331">
        <f t="shared" si="34"/>
        <v>0</v>
      </c>
      <c r="P81" s="1332">
        <f t="shared" si="35"/>
        <v>0</v>
      </c>
      <c r="Q81" s="1333">
        <f t="shared" si="36"/>
        <v>0</v>
      </c>
      <c r="R81" s="1333">
        <f t="shared" si="37"/>
        <v>0</v>
      </c>
      <c r="S81" s="1323"/>
    </row>
    <row r="82" spans="2:19" s="1125" customFormat="1">
      <c r="B82" s="1030"/>
      <c r="C82" s="1174"/>
      <c r="D82" s="1032"/>
      <c r="E82" s="1411"/>
      <c r="F82" s="1446"/>
      <c r="G82" s="1170"/>
      <c r="H82" s="1170"/>
      <c r="I82" s="1170"/>
      <c r="J82" s="1174"/>
      <c r="K82" s="1174"/>
      <c r="L82" s="1175"/>
      <c r="M82" s="1447"/>
      <c r="N82" s="1174"/>
      <c r="O82" s="1448"/>
      <c r="P82" s="1449"/>
      <c r="Q82" s="1174"/>
      <c r="R82" s="1174"/>
      <c r="S82" s="1450"/>
    </row>
    <row r="83" spans="2:19" s="1128" customFormat="1">
      <c r="B83" s="978"/>
      <c r="C83" s="1421" t="s">
        <v>203</v>
      </c>
      <c r="D83" s="1421"/>
      <c r="E83" s="1421"/>
      <c r="F83" s="1451"/>
      <c r="G83" s="1179"/>
      <c r="H83" s="1179">
        <f>SUM(H80:H82)</f>
        <v>9049333.6600000001</v>
      </c>
      <c r="I83" s="392">
        <f>H83/'REKAP TOTAL'!F44</f>
        <v>7.4424426103760605E-4</v>
      </c>
      <c r="J83" s="1345"/>
      <c r="K83" s="1345"/>
      <c r="L83" s="1425">
        <f>SUM(L76:L82)</f>
        <v>0</v>
      </c>
      <c r="M83" s="1347"/>
      <c r="N83" s="1345"/>
      <c r="O83" s="1452">
        <f>SUM(O76:O82)</f>
        <v>0</v>
      </c>
      <c r="P83" s="1349"/>
      <c r="Q83" s="1345"/>
      <c r="R83" s="1452">
        <f>SUM(R76:R82)</f>
        <v>0</v>
      </c>
      <c r="S83" s="1453"/>
    </row>
    <row r="84" spans="2:19" s="1128" customFormat="1">
      <c r="B84" s="1185"/>
      <c r="C84" s="1429"/>
      <c r="D84" s="1429"/>
      <c r="E84" s="1429"/>
      <c r="F84" s="1459"/>
      <c r="G84" s="1189"/>
      <c r="H84" s="1189"/>
      <c r="I84" s="1189"/>
      <c r="J84" s="1353"/>
      <c r="K84" s="1353"/>
      <c r="L84" s="1354"/>
      <c r="M84" s="1355"/>
      <c r="N84" s="1353"/>
      <c r="O84" s="1356"/>
      <c r="P84" s="1357"/>
      <c r="Q84" s="1353"/>
      <c r="R84" s="1353"/>
      <c r="S84" s="1358"/>
    </row>
    <row r="85" spans="2:19" s="1125" customFormat="1">
      <c r="B85" s="1147" t="s">
        <v>25</v>
      </c>
      <c r="C85" s="1244" t="s">
        <v>204</v>
      </c>
      <c r="D85" s="944"/>
      <c r="E85" s="1087"/>
      <c r="F85" s="1148"/>
      <c r="G85" s="1149"/>
      <c r="H85" s="1149"/>
      <c r="I85" s="1149"/>
      <c r="J85" s="1151"/>
      <c r="K85" s="1151"/>
      <c r="L85" s="1083"/>
      <c r="M85" s="1334"/>
      <c r="N85" s="1151"/>
      <c r="O85" s="1335"/>
      <c r="P85" s="1322"/>
      <c r="Q85" s="1151"/>
      <c r="R85" s="1151"/>
      <c r="S85" s="1323"/>
    </row>
    <row r="86" spans="2:19" s="1128" customFormat="1">
      <c r="B86" s="940"/>
      <c r="C86" s="1151"/>
      <c r="D86" s="944"/>
      <c r="E86" s="1235"/>
      <c r="F86" s="1102"/>
      <c r="G86" s="1149"/>
      <c r="H86" s="1149"/>
      <c r="I86" s="1149"/>
      <c r="J86" s="1244"/>
      <c r="K86" s="1244"/>
      <c r="L86" s="1082"/>
      <c r="M86" s="1455"/>
      <c r="N86" s="1244"/>
      <c r="O86" s="1456"/>
      <c r="P86" s="1457"/>
      <c r="Q86" s="1244"/>
      <c r="R86" s="1244"/>
      <c r="S86" s="1458"/>
    </row>
    <row r="87" spans="2:19" s="1128" customFormat="1">
      <c r="B87" s="940">
        <v>1</v>
      </c>
      <c r="C87" s="1151" t="s">
        <v>186</v>
      </c>
      <c r="D87" s="944"/>
      <c r="E87" s="1087"/>
      <c r="F87" s="1148"/>
      <c r="G87" s="1149"/>
      <c r="H87" s="1149"/>
      <c r="I87" s="1149"/>
      <c r="J87" s="1244"/>
      <c r="K87" s="1244"/>
      <c r="L87" s="1082"/>
      <c r="M87" s="1455"/>
      <c r="N87" s="1244"/>
      <c r="O87" s="1456"/>
      <c r="P87" s="1457"/>
      <c r="Q87" s="1244"/>
      <c r="R87" s="1244"/>
      <c r="S87" s="1458"/>
    </row>
    <row r="88" spans="2:19" s="1128" customFormat="1" ht="16.2">
      <c r="B88" s="940"/>
      <c r="C88" s="2028" t="s">
        <v>205</v>
      </c>
      <c r="D88" s="944" t="s">
        <v>187</v>
      </c>
      <c r="E88" s="1235">
        <v>4.5275999999999996</v>
      </c>
      <c r="F88" s="946">
        <v>5.1449999999999996</v>
      </c>
      <c r="G88" s="1202">
        <v>1477100</v>
      </c>
      <c r="H88" s="1149">
        <f>$F88*G88</f>
        <v>7599679.5</v>
      </c>
      <c r="I88" s="374">
        <f>H88/'REKAP TOTAL'!F44</f>
        <v>6.2502036791956938E-4</v>
      </c>
      <c r="J88" s="1326">
        <v>0</v>
      </c>
      <c r="K88" s="1327">
        <v>0</v>
      </c>
      <c r="L88" s="1328">
        <v>0</v>
      </c>
      <c r="M88" s="1329">
        <f t="shared" ref="M88:M89" si="38">+P88-J88</f>
        <v>0</v>
      </c>
      <c r="N88" s="1330">
        <f t="shared" ref="N88:N89" si="39">+Q88-K88</f>
        <v>0</v>
      </c>
      <c r="O88" s="1331">
        <f t="shared" ref="O88:O89" si="40">+R88-L88</f>
        <v>0</v>
      </c>
      <c r="P88" s="1332">
        <f t="shared" ref="P88:P89" si="41">+W88</f>
        <v>0</v>
      </c>
      <c r="Q88" s="1333">
        <f t="shared" ref="Q88:Q89" si="42">+P88/E88</f>
        <v>0</v>
      </c>
      <c r="R88" s="1333">
        <f t="shared" ref="R88:R89" si="43">+Q88*I88</f>
        <v>0</v>
      </c>
      <c r="S88" s="1458"/>
    </row>
    <row r="89" spans="2:19" s="1128" customFormat="1" ht="16.2">
      <c r="B89" s="940"/>
      <c r="C89" s="2028" t="s">
        <v>206</v>
      </c>
      <c r="D89" s="944" t="s">
        <v>187</v>
      </c>
      <c r="E89" s="1235">
        <v>15.361499999999999</v>
      </c>
      <c r="F89" s="946">
        <v>13.965</v>
      </c>
      <c r="G89" s="1202">
        <v>1477100</v>
      </c>
      <c r="H89" s="1149">
        <f>$F89*G89</f>
        <v>20627701.5</v>
      </c>
      <c r="I89" s="374">
        <f>H89/'REKAP TOTAL'!F44</f>
        <v>1.6964838557816885E-3</v>
      </c>
      <c r="J89" s="1326">
        <v>0</v>
      </c>
      <c r="K89" s="1327">
        <v>0</v>
      </c>
      <c r="L89" s="1328">
        <v>0</v>
      </c>
      <c r="M89" s="1329">
        <f t="shared" si="38"/>
        <v>0</v>
      </c>
      <c r="N89" s="1330">
        <f t="shared" si="39"/>
        <v>0</v>
      </c>
      <c r="O89" s="1331">
        <f t="shared" si="40"/>
        <v>0</v>
      </c>
      <c r="P89" s="1332">
        <f t="shared" si="41"/>
        <v>0</v>
      </c>
      <c r="Q89" s="1333">
        <f t="shared" si="42"/>
        <v>0</v>
      </c>
      <c r="R89" s="1333">
        <f t="shared" si="43"/>
        <v>0</v>
      </c>
      <c r="S89" s="1458"/>
    </row>
    <row r="90" spans="2:19" s="1125" customFormat="1">
      <c r="B90" s="940">
        <v>2</v>
      </c>
      <c r="C90" s="1151" t="s">
        <v>207</v>
      </c>
      <c r="D90" s="944"/>
      <c r="E90" s="1087"/>
      <c r="F90" s="1248">
        <v>0</v>
      </c>
      <c r="G90" s="1149">
        <v>0</v>
      </c>
      <c r="H90" s="1149"/>
      <c r="I90" s="1149"/>
      <c r="J90" s="1151"/>
      <c r="K90" s="1151"/>
      <c r="L90" s="1083"/>
      <c r="M90" s="1334"/>
      <c r="N90" s="1151"/>
      <c r="O90" s="1335"/>
      <c r="P90" s="1322"/>
      <c r="Q90" s="1151"/>
      <c r="R90" s="1151"/>
      <c r="S90" s="1323"/>
    </row>
    <row r="91" spans="2:19" s="1125" customFormat="1" ht="16.2">
      <c r="B91" s="940"/>
      <c r="C91" s="2028" t="s">
        <v>208</v>
      </c>
      <c r="D91" s="944" t="s">
        <v>187</v>
      </c>
      <c r="E91" s="1235">
        <v>47.720573999999999</v>
      </c>
      <c r="F91" s="946">
        <v>38.250999999999998</v>
      </c>
      <c r="G91" s="1237">
        <v>1477100</v>
      </c>
      <c r="H91" s="1149">
        <f>$F91*G91</f>
        <v>56500552.100000001</v>
      </c>
      <c r="I91" s="374">
        <f>H91/'REKAP TOTAL'!F44</f>
        <v>4.6467743621557726E-3</v>
      </c>
      <c r="J91" s="1326">
        <v>0</v>
      </c>
      <c r="K91" s="1327">
        <v>0</v>
      </c>
      <c r="L91" s="1328">
        <v>0</v>
      </c>
      <c r="M91" s="1329">
        <f t="shared" ref="M91" si="44">+P91-J91</f>
        <v>0</v>
      </c>
      <c r="N91" s="1330">
        <f t="shared" ref="N91" si="45">+Q91-K91</f>
        <v>0</v>
      </c>
      <c r="O91" s="1331">
        <f t="shared" ref="O91" si="46">+R91-L91</f>
        <v>0</v>
      </c>
      <c r="P91" s="1332">
        <f t="shared" ref="P91" si="47">+W91</f>
        <v>0</v>
      </c>
      <c r="Q91" s="1333">
        <f t="shared" ref="Q91" si="48">+P91/E91</f>
        <v>0</v>
      </c>
      <c r="R91" s="1333">
        <f t="shared" ref="R91" si="49">+Q91*I91</f>
        <v>0</v>
      </c>
      <c r="S91" s="1323"/>
    </row>
    <row r="92" spans="2:19" s="1125" customFormat="1">
      <c r="B92" s="940">
        <v>3</v>
      </c>
      <c r="C92" s="2029" t="s">
        <v>209</v>
      </c>
      <c r="D92" s="944"/>
      <c r="E92" s="1235"/>
      <c r="F92" s="1102">
        <v>0</v>
      </c>
      <c r="G92" s="1237">
        <v>0</v>
      </c>
      <c r="H92" s="1149"/>
      <c r="I92" s="1149"/>
      <c r="J92" s="1151"/>
      <c r="K92" s="1151"/>
      <c r="L92" s="1083"/>
      <c r="M92" s="1334"/>
      <c r="N92" s="1151"/>
      <c r="O92" s="1335"/>
      <c r="P92" s="1322"/>
      <c r="Q92" s="1151"/>
      <c r="R92" s="1151"/>
      <c r="S92" s="1323"/>
    </row>
    <row r="93" spans="2:19" s="1125" customFormat="1" ht="16.2">
      <c r="B93" s="957"/>
      <c r="C93" s="2028" t="s">
        <v>210</v>
      </c>
      <c r="D93" s="944" t="s">
        <v>187</v>
      </c>
      <c r="E93" s="1235">
        <v>7.26</v>
      </c>
      <c r="F93" s="946">
        <v>5.6970000000000001</v>
      </c>
      <c r="G93" s="1237">
        <v>1477100</v>
      </c>
      <c r="H93" s="1149">
        <f t="shared" ref="H93:H94" si="50">$F93*G93</f>
        <v>8415038.6999999993</v>
      </c>
      <c r="I93" s="374">
        <f>H93/'REKAP TOTAL'!F44</f>
        <v>6.9207794675175635E-4</v>
      </c>
      <c r="J93" s="1326">
        <v>0</v>
      </c>
      <c r="K93" s="1327">
        <v>0</v>
      </c>
      <c r="L93" s="1328">
        <v>0</v>
      </c>
      <c r="M93" s="1329">
        <f t="shared" ref="M93:M94" si="51">+P93-J93</f>
        <v>0</v>
      </c>
      <c r="N93" s="1330">
        <f t="shared" ref="N93:N94" si="52">+Q93-K93</f>
        <v>0</v>
      </c>
      <c r="O93" s="1331">
        <f t="shared" ref="O93:O94" si="53">+R93-L93</f>
        <v>0</v>
      </c>
      <c r="P93" s="1332">
        <f t="shared" ref="P93:P94" si="54">+W93</f>
        <v>0</v>
      </c>
      <c r="Q93" s="1333">
        <f t="shared" ref="Q93:Q94" si="55">+P93/E93</f>
        <v>0</v>
      </c>
      <c r="R93" s="1333">
        <f t="shared" ref="R93:R94" si="56">+Q93*I93</f>
        <v>0</v>
      </c>
      <c r="S93" s="1323"/>
    </row>
    <row r="94" spans="2:19" s="1125" customFormat="1" ht="16.2">
      <c r="B94" s="957"/>
      <c r="C94" s="2028" t="s">
        <v>211</v>
      </c>
      <c r="D94" s="944" t="s">
        <v>187</v>
      </c>
      <c r="E94" s="1235">
        <v>1.98</v>
      </c>
      <c r="F94" s="946">
        <v>1.5649999999999999</v>
      </c>
      <c r="G94" s="1237">
        <v>1477100</v>
      </c>
      <c r="H94" s="1149">
        <f t="shared" si="50"/>
        <v>2311661.5</v>
      </c>
      <c r="I94" s="374">
        <f>H94/'REKAP TOTAL'!F44</f>
        <v>1.9011795447893608E-4</v>
      </c>
      <c r="J94" s="1326">
        <v>0</v>
      </c>
      <c r="K94" s="1327">
        <v>0</v>
      </c>
      <c r="L94" s="1328">
        <v>0</v>
      </c>
      <c r="M94" s="1329">
        <f t="shared" si="51"/>
        <v>0</v>
      </c>
      <c r="N94" s="1330">
        <f t="shared" si="52"/>
        <v>0</v>
      </c>
      <c r="O94" s="1331">
        <f t="shared" si="53"/>
        <v>0</v>
      </c>
      <c r="P94" s="1332">
        <f t="shared" si="54"/>
        <v>0</v>
      </c>
      <c r="Q94" s="1333">
        <f t="shared" si="55"/>
        <v>0</v>
      </c>
      <c r="R94" s="1333">
        <f t="shared" si="56"/>
        <v>0</v>
      </c>
      <c r="S94" s="1323"/>
    </row>
    <row r="95" spans="2:19" s="1125" customFormat="1">
      <c r="B95" s="940">
        <v>4</v>
      </c>
      <c r="C95" s="2030" t="s">
        <v>212</v>
      </c>
      <c r="D95" s="944"/>
      <c r="E95" s="1235"/>
      <c r="F95" s="1102">
        <v>0</v>
      </c>
      <c r="G95" s="1237">
        <v>0</v>
      </c>
      <c r="H95" s="1149"/>
      <c r="I95" s="1149"/>
      <c r="J95" s="1151"/>
      <c r="K95" s="1151"/>
      <c r="L95" s="1083"/>
      <c r="M95" s="1334"/>
      <c r="N95" s="1151"/>
      <c r="O95" s="1335"/>
      <c r="P95" s="1322"/>
      <c r="Q95" s="1151"/>
      <c r="R95" s="1151"/>
      <c r="S95" s="1323"/>
    </row>
    <row r="96" spans="2:19" s="1125" customFormat="1">
      <c r="B96" s="940"/>
      <c r="C96" s="2030" t="s">
        <v>213</v>
      </c>
      <c r="D96" s="944"/>
      <c r="E96" s="1235"/>
      <c r="F96" s="1102">
        <v>0</v>
      </c>
      <c r="G96" s="1237">
        <v>0</v>
      </c>
      <c r="H96" s="1149"/>
      <c r="I96" s="1149"/>
      <c r="J96" s="1151"/>
      <c r="K96" s="1151"/>
      <c r="L96" s="1083"/>
      <c r="M96" s="1334"/>
      <c r="N96" s="1151"/>
      <c r="O96" s="1335"/>
      <c r="P96" s="1322"/>
      <c r="Q96" s="1151"/>
      <c r="R96" s="1151"/>
      <c r="S96" s="1323"/>
    </row>
    <row r="97" spans="2:19" s="1125" customFormat="1" ht="16.2">
      <c r="B97" s="957"/>
      <c r="C97" s="2028" t="s">
        <v>214</v>
      </c>
      <c r="D97" s="944" t="s">
        <v>187</v>
      </c>
      <c r="E97" s="1235">
        <v>358.91680000000002</v>
      </c>
      <c r="F97" s="946">
        <v>340.16899999999998</v>
      </c>
      <c r="G97" s="1237">
        <v>1477100</v>
      </c>
      <c r="H97" s="1149">
        <f>$F97*G97</f>
        <v>502463629.89999998</v>
      </c>
      <c r="I97" s="374">
        <f>H97/'REKAP TOTAL'!F44</f>
        <v>4.1324111474214185E-2</v>
      </c>
      <c r="J97" s="1326">
        <v>0</v>
      </c>
      <c r="K97" s="1327">
        <v>0</v>
      </c>
      <c r="L97" s="1328">
        <v>0</v>
      </c>
      <c r="M97" s="1329">
        <f t="shared" ref="M97" si="57">+P97-J97</f>
        <v>0</v>
      </c>
      <c r="N97" s="1330">
        <f t="shared" ref="N97" si="58">+Q97-K97</f>
        <v>0</v>
      </c>
      <c r="O97" s="1331">
        <f t="shared" ref="O97" si="59">+R97-L97</f>
        <v>0</v>
      </c>
      <c r="P97" s="1332">
        <f t="shared" ref="P97" si="60">+W97</f>
        <v>0</v>
      </c>
      <c r="Q97" s="1333">
        <f t="shared" ref="Q97" si="61">+P97/E97</f>
        <v>0</v>
      </c>
      <c r="R97" s="1333">
        <f t="shared" ref="R97" si="62">+Q97*I97</f>
        <v>0</v>
      </c>
      <c r="S97" s="1323"/>
    </row>
    <row r="98" spans="2:19" s="1125" customFormat="1">
      <c r="B98" s="940"/>
      <c r="C98" s="2030" t="s">
        <v>215</v>
      </c>
      <c r="D98" s="944"/>
      <c r="E98" s="1235"/>
      <c r="F98" s="1102">
        <v>0</v>
      </c>
      <c r="G98" s="1237">
        <v>0</v>
      </c>
      <c r="H98" s="1149"/>
      <c r="I98" s="1149"/>
      <c r="J98" s="1151"/>
      <c r="K98" s="1151"/>
      <c r="L98" s="1083"/>
      <c r="M98" s="1334"/>
      <c r="N98" s="1151"/>
      <c r="O98" s="1335"/>
      <c r="P98" s="1322"/>
      <c r="Q98" s="1151"/>
      <c r="R98" s="1151"/>
      <c r="S98" s="1323"/>
    </row>
    <row r="99" spans="2:19" s="1125" customFormat="1" ht="16.2">
      <c r="B99" s="957"/>
      <c r="C99" s="2028" t="s">
        <v>214</v>
      </c>
      <c r="D99" s="944" t="s">
        <v>187</v>
      </c>
      <c r="E99" s="1235">
        <v>32.267752000000002</v>
      </c>
      <c r="F99" s="946">
        <v>26.157</v>
      </c>
      <c r="G99" s="1237">
        <v>1477100</v>
      </c>
      <c r="H99" s="1149">
        <f>$F99*G99</f>
        <v>38636504.700000003</v>
      </c>
      <c r="I99" s="374">
        <f>H99/'REKAP TOTAL'!F44</f>
        <v>3.1775816839012981E-3</v>
      </c>
      <c r="J99" s="1326">
        <v>0</v>
      </c>
      <c r="K99" s="1327">
        <v>0</v>
      </c>
      <c r="L99" s="1328">
        <v>0</v>
      </c>
      <c r="M99" s="1329">
        <f t="shared" ref="M99" si="63">+P99-J99</f>
        <v>0</v>
      </c>
      <c r="N99" s="1330">
        <f t="shared" ref="N99" si="64">+Q99-K99</f>
        <v>0</v>
      </c>
      <c r="O99" s="1331">
        <f t="shared" ref="O99" si="65">+R99-L99</f>
        <v>0</v>
      </c>
      <c r="P99" s="1332">
        <f t="shared" ref="P99" si="66">+W99</f>
        <v>0</v>
      </c>
      <c r="Q99" s="1333">
        <f t="shared" ref="Q99" si="67">+P99/E99</f>
        <v>0</v>
      </c>
      <c r="R99" s="1333">
        <f t="shared" ref="R99" si="68">+Q99*I99</f>
        <v>0</v>
      </c>
      <c r="S99" s="1323"/>
    </row>
    <row r="100" spans="2:19" s="1125" customFormat="1">
      <c r="B100" s="940">
        <v>5</v>
      </c>
      <c r="C100" s="2029" t="s">
        <v>216</v>
      </c>
      <c r="D100" s="944"/>
      <c r="E100" s="1235"/>
      <c r="F100" s="1102">
        <v>0</v>
      </c>
      <c r="G100" s="1237">
        <v>0</v>
      </c>
      <c r="H100" s="1149"/>
      <c r="I100" s="1149"/>
      <c r="J100" s="1151"/>
      <c r="K100" s="1151"/>
      <c r="L100" s="1083"/>
      <c r="M100" s="1334"/>
      <c r="N100" s="1151"/>
      <c r="O100" s="1335"/>
      <c r="P100" s="1322"/>
      <c r="Q100" s="1151"/>
      <c r="R100" s="1151"/>
      <c r="S100" s="1323"/>
    </row>
    <row r="101" spans="2:19" s="1125" customFormat="1" ht="16.2">
      <c r="B101" s="957"/>
      <c r="C101" s="2028" t="s">
        <v>217</v>
      </c>
      <c r="D101" s="944" t="s">
        <v>187</v>
      </c>
      <c r="E101" s="1235">
        <v>28.7364</v>
      </c>
      <c r="F101" s="946">
        <v>11.294</v>
      </c>
      <c r="G101" s="1237">
        <v>1477100</v>
      </c>
      <c r="H101" s="1149">
        <f>$F101*G101</f>
        <v>16682367.4</v>
      </c>
      <c r="I101" s="374">
        <f>H101/'REKAP TOTAL'!F44</f>
        <v>1.3720077813962326E-3</v>
      </c>
      <c r="J101" s="1326">
        <v>0</v>
      </c>
      <c r="K101" s="1327">
        <v>0</v>
      </c>
      <c r="L101" s="1328">
        <v>0</v>
      </c>
      <c r="M101" s="1329">
        <f t="shared" ref="M101" si="69">+P101-J101</f>
        <v>0</v>
      </c>
      <c r="N101" s="1330">
        <f t="shared" ref="N101" si="70">+Q101-K101</f>
        <v>0</v>
      </c>
      <c r="O101" s="1331">
        <f t="shared" ref="O101" si="71">+R101-L101</f>
        <v>0</v>
      </c>
      <c r="P101" s="1332">
        <f t="shared" ref="P101" si="72">+W101</f>
        <v>0</v>
      </c>
      <c r="Q101" s="1333">
        <f t="shared" ref="Q101" si="73">+P101/E101</f>
        <v>0</v>
      </c>
      <c r="R101" s="1333">
        <f t="shared" ref="R101" si="74">+Q101*I101</f>
        <v>0</v>
      </c>
      <c r="S101" s="1323"/>
    </row>
    <row r="102" spans="2:19" s="1125" customFormat="1">
      <c r="B102" s="1030"/>
      <c r="C102" s="1174"/>
      <c r="D102" s="1032"/>
      <c r="E102" s="1411"/>
      <c r="F102" s="1446"/>
      <c r="G102" s="1170"/>
      <c r="H102" s="1170"/>
      <c r="I102" s="1170"/>
      <c r="J102" s="1174"/>
      <c r="K102" s="1174"/>
      <c r="L102" s="1175"/>
      <c r="M102" s="1447"/>
      <c r="N102" s="1174"/>
      <c r="O102" s="1448"/>
      <c r="P102" s="1449"/>
      <c r="Q102" s="1174"/>
      <c r="R102" s="1174"/>
      <c r="S102" s="1450"/>
    </row>
    <row r="103" spans="2:19" s="1128" customFormat="1">
      <c r="B103" s="978"/>
      <c r="C103" s="1421" t="s">
        <v>218</v>
      </c>
      <c r="D103" s="981"/>
      <c r="E103" s="981"/>
      <c r="F103" s="1462"/>
      <c r="G103" s="1179"/>
      <c r="H103" s="1179">
        <f>SUM(H87:H102)</f>
        <v>653237135.29999995</v>
      </c>
      <c r="I103" s="392">
        <f>H103/'REKAP TOTAL'!F44</f>
        <v>5.3724175426599442E-2</v>
      </c>
      <c r="J103" s="1345"/>
      <c r="K103" s="1345"/>
      <c r="L103" s="1463">
        <f>SUM(L84:L102)</f>
        <v>0</v>
      </c>
      <c r="M103" s="1347"/>
      <c r="N103" s="1345"/>
      <c r="O103" s="1463">
        <f>SUM(O84:O102)</f>
        <v>0</v>
      </c>
      <c r="P103" s="1349"/>
      <c r="Q103" s="1345"/>
      <c r="R103" s="1463">
        <f>SUM(R84:R102)</f>
        <v>0</v>
      </c>
      <c r="S103" s="1350"/>
    </row>
    <row r="104" spans="2:19" s="1128" customFormat="1">
      <c r="B104" s="1304"/>
      <c r="C104" s="1047"/>
      <c r="D104" s="1047"/>
      <c r="E104" s="1431"/>
      <c r="F104" s="1454"/>
      <c r="G104" s="1352"/>
      <c r="H104" s="1352"/>
      <c r="I104" s="1352"/>
      <c r="J104" s="1353"/>
      <c r="K104" s="1353"/>
      <c r="L104" s="1354"/>
      <c r="M104" s="1355"/>
      <c r="N104" s="1353"/>
      <c r="O104" s="1356"/>
      <c r="P104" s="1357"/>
      <c r="Q104" s="1353"/>
      <c r="R104" s="1353"/>
      <c r="S104" s="1358"/>
    </row>
    <row r="105" spans="2:19" s="1128" customFormat="1">
      <c r="B105" s="1147" t="s">
        <v>26</v>
      </c>
      <c r="C105" s="1244" t="s">
        <v>168</v>
      </c>
      <c r="D105" s="944"/>
      <c r="E105" s="1235"/>
      <c r="F105" s="1102"/>
      <c r="G105" s="1149"/>
      <c r="H105" s="1149"/>
      <c r="I105" s="1149"/>
      <c r="J105" s="1244"/>
      <c r="K105" s="1244"/>
      <c r="L105" s="1082"/>
      <c r="M105" s="1455"/>
      <c r="N105" s="1244"/>
      <c r="O105" s="1456"/>
      <c r="P105" s="1457"/>
      <c r="Q105" s="1244"/>
      <c r="R105" s="1244"/>
      <c r="S105" s="1458"/>
    </row>
    <row r="106" spans="2:19" s="1128" customFormat="1">
      <c r="B106" s="940"/>
      <c r="C106" s="1151"/>
      <c r="D106" s="944"/>
      <c r="E106" s="1235"/>
      <c r="F106" s="1102"/>
      <c r="G106" s="1149"/>
      <c r="H106" s="1149"/>
      <c r="I106" s="1149"/>
      <c r="J106" s="1244"/>
      <c r="K106" s="1244"/>
      <c r="L106" s="1082"/>
      <c r="M106" s="1455"/>
      <c r="N106" s="1244"/>
      <c r="O106" s="1456"/>
      <c r="P106" s="1457"/>
      <c r="Q106" s="1244"/>
      <c r="R106" s="1244"/>
      <c r="S106" s="1458"/>
    </row>
    <row r="107" spans="2:19" s="1128" customFormat="1" ht="16.2">
      <c r="B107" s="940">
        <v>1</v>
      </c>
      <c r="C107" s="1151" t="s">
        <v>219</v>
      </c>
      <c r="D107" s="944" t="s">
        <v>220</v>
      </c>
      <c r="E107" s="1235">
        <v>118.657</v>
      </c>
      <c r="F107" s="946">
        <v>87.92</v>
      </c>
      <c r="G107" s="1202">
        <v>126900</v>
      </c>
      <c r="H107" s="1149">
        <f t="shared" ref="H107:H113" si="75">$F107*G107</f>
        <v>11157048</v>
      </c>
      <c r="I107" s="374">
        <f>H107/'REKAP TOTAL'!F44</f>
        <v>9.1758899120104951E-4</v>
      </c>
      <c r="J107" s="1326">
        <v>0</v>
      </c>
      <c r="K107" s="1327">
        <v>0</v>
      </c>
      <c r="L107" s="1328">
        <v>0</v>
      </c>
      <c r="M107" s="1329">
        <f t="shared" ref="M107:M109" si="76">+P107-J107</f>
        <v>0</v>
      </c>
      <c r="N107" s="1330">
        <f t="shared" ref="N107:N109" si="77">+Q107-K107</f>
        <v>0</v>
      </c>
      <c r="O107" s="1331">
        <f t="shared" ref="O107:O109" si="78">+R107-L107</f>
        <v>0</v>
      </c>
      <c r="P107" s="1332">
        <f t="shared" ref="P107:P109" si="79">+W107</f>
        <v>0</v>
      </c>
      <c r="Q107" s="1333">
        <f t="shared" ref="Q107:Q109" si="80">+P107/E107</f>
        <v>0</v>
      </c>
      <c r="R107" s="1333">
        <f t="shared" ref="R107:R109" si="81">+Q107*I107</f>
        <v>0</v>
      </c>
      <c r="S107" s="1458"/>
    </row>
    <row r="108" spans="2:19" s="1125" customFormat="1" ht="16.2">
      <c r="B108" s="940">
        <v>2</v>
      </c>
      <c r="C108" s="1151" t="s">
        <v>221</v>
      </c>
      <c r="D108" s="944" t="s">
        <v>220</v>
      </c>
      <c r="E108" s="1235">
        <v>397.67144999999999</v>
      </c>
      <c r="F108" s="946">
        <v>255.00800000000001</v>
      </c>
      <c r="G108" s="1237">
        <v>126900</v>
      </c>
      <c r="H108" s="1149">
        <f t="shared" si="75"/>
        <v>32360515.199999999</v>
      </c>
      <c r="I108" s="374">
        <f>H108/'REKAP TOTAL'!F44</f>
        <v>2.6614255399021523E-3</v>
      </c>
      <c r="J108" s="1326">
        <v>0</v>
      </c>
      <c r="K108" s="1327">
        <v>0</v>
      </c>
      <c r="L108" s="1328">
        <v>0</v>
      </c>
      <c r="M108" s="1329">
        <f t="shared" si="76"/>
        <v>0</v>
      </c>
      <c r="N108" s="1330">
        <f t="shared" si="77"/>
        <v>0</v>
      </c>
      <c r="O108" s="1331">
        <f t="shared" si="78"/>
        <v>0</v>
      </c>
      <c r="P108" s="1332">
        <f t="shared" si="79"/>
        <v>0</v>
      </c>
      <c r="Q108" s="1333">
        <f t="shared" si="80"/>
        <v>0</v>
      </c>
      <c r="R108" s="1333">
        <f t="shared" si="81"/>
        <v>0</v>
      </c>
      <c r="S108" s="1323"/>
    </row>
    <row r="109" spans="2:19" s="1125" customFormat="1" ht="16.2">
      <c r="B109" s="940">
        <v>3</v>
      </c>
      <c r="C109" s="1151" t="s">
        <v>222</v>
      </c>
      <c r="D109" s="944" t="s">
        <v>220</v>
      </c>
      <c r="E109" s="1235">
        <v>88.44</v>
      </c>
      <c r="F109" s="946">
        <v>77.412000000000006</v>
      </c>
      <c r="G109" s="1202">
        <v>251300</v>
      </c>
      <c r="H109" s="1149">
        <f t="shared" si="75"/>
        <v>19453635.600000001</v>
      </c>
      <c r="I109" s="374">
        <f>H109/'REKAP TOTAL'!F44</f>
        <v>1.5999251652764085E-3</v>
      </c>
      <c r="J109" s="1326">
        <v>0</v>
      </c>
      <c r="K109" s="1327">
        <v>0</v>
      </c>
      <c r="L109" s="1328">
        <v>0</v>
      </c>
      <c r="M109" s="1329">
        <f t="shared" si="76"/>
        <v>0</v>
      </c>
      <c r="N109" s="1330">
        <f t="shared" si="77"/>
        <v>0</v>
      </c>
      <c r="O109" s="1331">
        <f t="shared" si="78"/>
        <v>0</v>
      </c>
      <c r="P109" s="1332">
        <f t="shared" si="79"/>
        <v>0</v>
      </c>
      <c r="Q109" s="1333">
        <f t="shared" si="80"/>
        <v>0</v>
      </c>
      <c r="R109" s="1333">
        <f t="shared" si="81"/>
        <v>0</v>
      </c>
      <c r="S109" s="1323"/>
    </row>
    <row r="110" spans="2:19" s="1125" customFormat="1" ht="39" customHeight="1">
      <c r="B110" s="940">
        <v>4</v>
      </c>
      <c r="C110" s="1444" t="s">
        <v>223</v>
      </c>
      <c r="D110" s="944"/>
      <c r="E110" s="1242"/>
      <c r="F110" s="946">
        <v>0</v>
      </c>
      <c r="G110" s="1237">
        <v>0</v>
      </c>
      <c r="H110" s="1149"/>
      <c r="I110" s="1149"/>
      <c r="J110" s="1151"/>
      <c r="K110" s="1151"/>
      <c r="L110" s="1083"/>
      <c r="M110" s="1334"/>
      <c r="N110" s="1151"/>
      <c r="O110" s="1335"/>
      <c r="P110" s="1322"/>
      <c r="Q110" s="1151"/>
      <c r="R110" s="1151"/>
      <c r="S110" s="1323"/>
    </row>
    <row r="111" spans="2:19" s="1125" customFormat="1" ht="16.2">
      <c r="B111" s="957"/>
      <c r="C111" s="2028" t="s">
        <v>224</v>
      </c>
      <c r="D111" s="944" t="s">
        <v>220</v>
      </c>
      <c r="E111" s="1242">
        <v>59.819466666666699</v>
      </c>
      <c r="F111" s="946">
        <v>36.3932</v>
      </c>
      <c r="G111" s="1237">
        <v>235600</v>
      </c>
      <c r="H111" s="1149">
        <f t="shared" si="75"/>
        <v>8574237.9199999999</v>
      </c>
      <c r="I111" s="374">
        <f>H111/'REKAP TOTAL'!F44</f>
        <v>7.0517096666883436E-4</v>
      </c>
      <c r="J111" s="1326">
        <v>0</v>
      </c>
      <c r="K111" s="1327">
        <v>0</v>
      </c>
      <c r="L111" s="1328">
        <v>0</v>
      </c>
      <c r="M111" s="1329">
        <f t="shared" ref="M111:M113" si="82">+P111-J111</f>
        <v>0</v>
      </c>
      <c r="N111" s="1330">
        <f t="shared" ref="N111:N113" si="83">+Q111-K111</f>
        <v>0</v>
      </c>
      <c r="O111" s="1331">
        <f t="shared" ref="O111:O113" si="84">+R111-L111</f>
        <v>0</v>
      </c>
      <c r="P111" s="1332">
        <f t="shared" ref="P111:P113" si="85">+W111</f>
        <v>0</v>
      </c>
      <c r="Q111" s="1333">
        <f t="shared" ref="Q111:Q113" si="86">+P111/E111</f>
        <v>0</v>
      </c>
      <c r="R111" s="1333">
        <f t="shared" ref="R111:R113" si="87">+Q111*I111</f>
        <v>0</v>
      </c>
      <c r="S111" s="1323"/>
    </row>
    <row r="112" spans="2:19" s="1125" customFormat="1" ht="16.2">
      <c r="B112" s="957"/>
      <c r="C112" s="2028" t="s">
        <v>225</v>
      </c>
      <c r="D112" s="944" t="s">
        <v>220</v>
      </c>
      <c r="E112" s="1242">
        <v>166.71671866666699</v>
      </c>
      <c r="F112" s="946">
        <v>157.7054</v>
      </c>
      <c r="G112" s="1237">
        <v>235600</v>
      </c>
      <c r="H112" s="1149">
        <f t="shared" si="75"/>
        <v>37155392.240000002</v>
      </c>
      <c r="I112" s="374">
        <f>H112/'REKAP TOTAL'!F44</f>
        <v>3.0557705661193629E-3</v>
      </c>
      <c r="J112" s="1326">
        <v>0</v>
      </c>
      <c r="K112" s="1327">
        <v>0</v>
      </c>
      <c r="L112" s="1328">
        <v>0</v>
      </c>
      <c r="M112" s="1329">
        <f t="shared" si="82"/>
        <v>0</v>
      </c>
      <c r="N112" s="1330">
        <f t="shared" si="83"/>
        <v>0</v>
      </c>
      <c r="O112" s="1331">
        <f t="shared" si="84"/>
        <v>0</v>
      </c>
      <c r="P112" s="1332">
        <f t="shared" si="85"/>
        <v>0</v>
      </c>
      <c r="Q112" s="1333">
        <f t="shared" si="86"/>
        <v>0</v>
      </c>
      <c r="R112" s="1333">
        <f t="shared" si="87"/>
        <v>0</v>
      </c>
      <c r="S112" s="1323"/>
    </row>
    <row r="113" spans="2:19" s="1125" customFormat="1" ht="27.6">
      <c r="B113" s="940">
        <v>5</v>
      </c>
      <c r="C113" s="1444" t="s">
        <v>226</v>
      </c>
      <c r="D113" s="944" t="s">
        <v>220</v>
      </c>
      <c r="E113" s="1242">
        <v>256.26400000000001</v>
      </c>
      <c r="F113" s="946">
        <v>186.95099999999999</v>
      </c>
      <c r="G113" s="1202">
        <v>235600</v>
      </c>
      <c r="H113" s="1149">
        <f t="shared" si="75"/>
        <v>44045655.600000001</v>
      </c>
      <c r="I113" s="374">
        <f>H113/'REKAP TOTAL'!F44</f>
        <v>3.6224464292698979E-3</v>
      </c>
      <c r="J113" s="1326">
        <v>0</v>
      </c>
      <c r="K113" s="1327">
        <v>0</v>
      </c>
      <c r="L113" s="1328">
        <v>0</v>
      </c>
      <c r="M113" s="1329">
        <f t="shared" si="82"/>
        <v>0</v>
      </c>
      <c r="N113" s="1330">
        <f t="shared" si="83"/>
        <v>0</v>
      </c>
      <c r="O113" s="1331">
        <f t="shared" si="84"/>
        <v>0</v>
      </c>
      <c r="P113" s="1332">
        <f t="shared" si="85"/>
        <v>0</v>
      </c>
      <c r="Q113" s="1333">
        <f t="shared" si="86"/>
        <v>0</v>
      </c>
      <c r="R113" s="1333">
        <f t="shared" si="87"/>
        <v>0</v>
      </c>
      <c r="S113" s="1323"/>
    </row>
    <row r="114" spans="2:19" s="1128" customFormat="1">
      <c r="B114" s="1030"/>
      <c r="C114" s="1174"/>
      <c r="D114" s="1032"/>
      <c r="E114" s="1411"/>
      <c r="F114" s="1446"/>
      <c r="G114" s="1170"/>
      <c r="H114" s="1170"/>
      <c r="I114" s="1170"/>
      <c r="J114" s="1336"/>
      <c r="K114" s="1336"/>
      <c r="L114" s="1337"/>
      <c r="M114" s="1338"/>
      <c r="N114" s="1336"/>
      <c r="O114" s="1339"/>
      <c r="P114" s="1340"/>
      <c r="Q114" s="1336"/>
      <c r="R114" s="1336"/>
      <c r="S114" s="1341"/>
    </row>
    <row r="115" spans="2:19" s="1128" customFormat="1" ht="22.5" customHeight="1">
      <c r="B115" s="978"/>
      <c r="C115" s="1421" t="s">
        <v>227</v>
      </c>
      <c r="D115" s="981"/>
      <c r="E115" s="981"/>
      <c r="F115" s="1462"/>
      <c r="G115" s="1179"/>
      <c r="H115" s="1179">
        <f>SUM(H106:H114)</f>
        <v>152746484.56</v>
      </c>
      <c r="I115" s="392">
        <f>H115/'REKAP TOTAL'!F44</f>
        <v>1.2562327658437705E-2</v>
      </c>
      <c r="J115" s="1345"/>
      <c r="K115" s="1345"/>
      <c r="L115" s="1346"/>
      <c r="M115" s="1347"/>
      <c r="N115" s="1345"/>
      <c r="O115" s="1348"/>
      <c r="P115" s="1349"/>
      <c r="Q115" s="1345"/>
      <c r="R115" s="1345"/>
      <c r="S115" s="1350"/>
    </row>
    <row r="116" spans="2:19" s="1128" customFormat="1">
      <c r="B116" s="1304"/>
      <c r="C116" s="1047"/>
      <c r="D116" s="1047"/>
      <c r="E116" s="1431"/>
      <c r="F116" s="1454"/>
      <c r="G116" s="1352"/>
      <c r="H116" s="1352"/>
      <c r="I116" s="1352"/>
      <c r="J116" s="1353"/>
      <c r="K116" s="1353"/>
      <c r="L116" s="1354"/>
      <c r="M116" s="1355"/>
      <c r="N116" s="1353"/>
      <c r="O116" s="1356"/>
      <c r="P116" s="1357"/>
      <c r="Q116" s="1353"/>
      <c r="R116" s="1353"/>
      <c r="S116" s="1358"/>
    </row>
    <row r="117" spans="2:19" s="1128" customFormat="1">
      <c r="B117" s="1147" t="s">
        <v>28</v>
      </c>
      <c r="C117" s="1244" t="s">
        <v>163</v>
      </c>
      <c r="D117" s="944"/>
      <c r="E117" s="1235"/>
      <c r="F117" s="1102"/>
      <c r="G117" s="1149"/>
      <c r="H117" s="1149"/>
      <c r="I117" s="1149"/>
      <c r="J117" s="1244"/>
      <c r="K117" s="1244"/>
      <c r="L117" s="1082"/>
      <c r="M117" s="1455"/>
      <c r="N117" s="1244"/>
      <c r="O117" s="1456"/>
      <c r="P117" s="1457"/>
      <c r="Q117" s="1244"/>
      <c r="R117" s="1244"/>
      <c r="S117" s="1458"/>
    </row>
    <row r="118" spans="2:19" s="1128" customFormat="1">
      <c r="B118" s="940"/>
      <c r="C118" s="1151"/>
      <c r="D118" s="944"/>
      <c r="E118" s="1235"/>
      <c r="F118" s="1102"/>
      <c r="G118" s="1149"/>
      <c r="H118" s="1149"/>
      <c r="I118" s="1149"/>
      <c r="J118" s="1244"/>
      <c r="K118" s="1244"/>
      <c r="L118" s="1082"/>
      <c r="M118" s="1455"/>
      <c r="N118" s="1244"/>
      <c r="O118" s="1456"/>
      <c r="P118" s="1457"/>
      <c r="Q118" s="1244"/>
      <c r="R118" s="1244"/>
      <c r="S118" s="1458"/>
    </row>
    <row r="119" spans="2:19" s="1128" customFormat="1">
      <c r="B119" s="940">
        <v>1</v>
      </c>
      <c r="C119" s="1151" t="s">
        <v>186</v>
      </c>
      <c r="D119" s="944"/>
      <c r="E119" s="1235"/>
      <c r="F119" s="1102"/>
      <c r="G119" s="1149"/>
      <c r="H119" s="1149"/>
      <c r="I119" s="1149"/>
      <c r="J119" s="1244"/>
      <c r="K119" s="1244"/>
      <c r="L119" s="1082"/>
      <c r="M119" s="1455"/>
      <c r="N119" s="1244"/>
      <c r="O119" s="1456"/>
      <c r="P119" s="1457"/>
      <c r="Q119" s="1244"/>
      <c r="R119" s="1244"/>
      <c r="S119" s="1458"/>
    </row>
    <row r="120" spans="2:19" s="1128" customFormat="1">
      <c r="B120" s="940"/>
      <c r="C120" s="2028" t="s">
        <v>228</v>
      </c>
      <c r="D120" s="944" t="s">
        <v>165</v>
      </c>
      <c r="E120" s="1235">
        <v>823.59186171428598</v>
      </c>
      <c r="F120" s="946">
        <v>634.63</v>
      </c>
      <c r="G120" s="1202">
        <v>16600</v>
      </c>
      <c r="H120" s="1149">
        <f t="shared" ref="H120:H126" si="88">$F120*G120</f>
        <v>10534858</v>
      </c>
      <c r="I120" s="374">
        <f>H120/'REKAP TOTAL'!F44</f>
        <v>8.6641822502388677E-4</v>
      </c>
      <c r="J120" s="1326">
        <v>0</v>
      </c>
      <c r="K120" s="1327">
        <v>0</v>
      </c>
      <c r="L120" s="1328">
        <v>0</v>
      </c>
      <c r="M120" s="1329">
        <f t="shared" ref="M120:M121" si="89">+P120-J120</f>
        <v>0</v>
      </c>
      <c r="N120" s="1330">
        <f t="shared" ref="N120:N121" si="90">+Q120-K120</f>
        <v>0</v>
      </c>
      <c r="O120" s="1331">
        <f t="shared" ref="O120:O121" si="91">+R120-L120</f>
        <v>0</v>
      </c>
      <c r="P120" s="1332">
        <f t="shared" ref="P120:P121" si="92">+W120</f>
        <v>0</v>
      </c>
      <c r="Q120" s="1333">
        <f t="shared" ref="Q120:Q121" si="93">+P120/E120</f>
        <v>0</v>
      </c>
      <c r="R120" s="1333">
        <f t="shared" ref="R120:R121" si="94">+Q120*I120</f>
        <v>0</v>
      </c>
      <c r="S120" s="1458"/>
    </row>
    <row r="121" spans="2:19" s="1128" customFormat="1">
      <c r="B121" s="940"/>
      <c r="C121" s="2028" t="s">
        <v>229</v>
      </c>
      <c r="D121" s="944" t="s">
        <v>165</v>
      </c>
      <c r="E121" s="1235">
        <v>1695.62171742857</v>
      </c>
      <c r="F121" s="946">
        <v>1480.76</v>
      </c>
      <c r="G121" s="1202">
        <v>16600</v>
      </c>
      <c r="H121" s="1149">
        <f t="shared" si="88"/>
        <v>24580616</v>
      </c>
      <c r="I121" s="374">
        <f>H121/'REKAP TOTAL'!F44</f>
        <v>2.0215833649313308E-3</v>
      </c>
      <c r="J121" s="1326">
        <v>0</v>
      </c>
      <c r="K121" s="1327">
        <v>0</v>
      </c>
      <c r="L121" s="1328">
        <v>0</v>
      </c>
      <c r="M121" s="1329">
        <f t="shared" si="89"/>
        <v>0</v>
      </c>
      <c r="N121" s="1330">
        <f t="shared" si="90"/>
        <v>0</v>
      </c>
      <c r="O121" s="1331">
        <f t="shared" si="91"/>
        <v>0</v>
      </c>
      <c r="P121" s="1332">
        <f t="shared" si="92"/>
        <v>0</v>
      </c>
      <c r="Q121" s="1333">
        <f t="shared" si="93"/>
        <v>0</v>
      </c>
      <c r="R121" s="1333">
        <f t="shared" si="94"/>
        <v>0</v>
      </c>
      <c r="S121" s="1458"/>
    </row>
    <row r="122" spans="2:19" s="1125" customFormat="1">
      <c r="B122" s="940">
        <v>2</v>
      </c>
      <c r="C122" s="2030" t="s">
        <v>230</v>
      </c>
      <c r="D122" s="944"/>
      <c r="E122" s="1235"/>
      <c r="F122" s="946">
        <v>0</v>
      </c>
      <c r="G122" s="1246">
        <v>0</v>
      </c>
      <c r="H122" s="1149"/>
      <c r="I122" s="1149"/>
      <c r="J122" s="1151"/>
      <c r="K122" s="1464"/>
      <c r="L122" s="1083"/>
      <c r="M122" s="1334"/>
      <c r="N122" s="1151"/>
      <c r="O122" s="1335"/>
      <c r="P122" s="1322"/>
      <c r="Q122" s="1151"/>
      <c r="R122" s="1151"/>
      <c r="S122" s="1323"/>
    </row>
    <row r="123" spans="2:19" s="1125" customFormat="1">
      <c r="B123" s="940"/>
      <c r="C123" s="2028" t="s">
        <v>231</v>
      </c>
      <c r="D123" s="944" t="s">
        <v>165</v>
      </c>
      <c r="E123" s="1235">
        <v>9499.3051810140005</v>
      </c>
      <c r="F123" s="946">
        <v>9591.42</v>
      </c>
      <c r="G123" s="1237">
        <v>16600</v>
      </c>
      <c r="H123" s="1149">
        <f t="shared" si="88"/>
        <v>159217572</v>
      </c>
      <c r="I123" s="374">
        <f>H123/'REKAP TOTAL'!F44</f>
        <v>1.3094529240437117E-2</v>
      </c>
      <c r="J123" s="1326">
        <v>0</v>
      </c>
      <c r="K123" s="1327">
        <v>0</v>
      </c>
      <c r="L123" s="1328">
        <v>0</v>
      </c>
      <c r="M123" s="1329">
        <f t="shared" ref="M123" si="95">+P123-J123</f>
        <v>0</v>
      </c>
      <c r="N123" s="1330">
        <f t="shared" ref="N123" si="96">+Q123-K123</f>
        <v>0</v>
      </c>
      <c r="O123" s="1331">
        <f t="shared" ref="O123" si="97">+R123-L123</f>
        <v>0</v>
      </c>
      <c r="P123" s="1332">
        <f t="shared" ref="P123" si="98">+W123</f>
        <v>0</v>
      </c>
      <c r="Q123" s="1333">
        <f t="shared" ref="Q123" si="99">+P123/E123</f>
        <v>0</v>
      </c>
      <c r="R123" s="1333">
        <f t="shared" ref="R123" si="100">+Q123*I123</f>
        <v>0</v>
      </c>
      <c r="S123" s="1323"/>
    </row>
    <row r="124" spans="2:19" s="1125" customFormat="1">
      <c r="B124" s="940">
        <v>3</v>
      </c>
      <c r="C124" s="2029" t="s">
        <v>232</v>
      </c>
      <c r="D124" s="944"/>
      <c r="E124" s="1235"/>
      <c r="F124" s="946">
        <v>0</v>
      </c>
      <c r="G124" s="1237">
        <v>0</v>
      </c>
      <c r="H124" s="1149"/>
      <c r="I124" s="1149"/>
      <c r="J124" s="1151"/>
      <c r="K124" s="1151"/>
      <c r="L124" s="1083"/>
      <c r="M124" s="1334"/>
      <c r="N124" s="1151"/>
      <c r="O124" s="1335"/>
      <c r="P124" s="1322"/>
      <c r="Q124" s="1151"/>
      <c r="R124" s="1151"/>
      <c r="S124" s="1323"/>
    </row>
    <row r="125" spans="2:19" s="1125" customFormat="1">
      <c r="B125" s="957"/>
      <c r="C125" s="2028" t="s">
        <v>233</v>
      </c>
      <c r="D125" s="944" t="s">
        <v>165</v>
      </c>
      <c r="E125" s="1235">
        <v>1169.0763480000001</v>
      </c>
      <c r="F125" s="946">
        <v>1952.1489999999999</v>
      </c>
      <c r="G125" s="1237">
        <v>16600</v>
      </c>
      <c r="H125" s="1149">
        <f t="shared" si="88"/>
        <v>32405673.399999999</v>
      </c>
      <c r="I125" s="374">
        <f>H125/'REKAP TOTAL'!F44</f>
        <v>2.6651394853097954E-3</v>
      </c>
      <c r="J125" s="1326">
        <v>0</v>
      </c>
      <c r="K125" s="1327">
        <v>0</v>
      </c>
      <c r="L125" s="1328">
        <v>0</v>
      </c>
      <c r="M125" s="1329">
        <f t="shared" ref="M125:M126" si="101">+P125-J125</f>
        <v>0</v>
      </c>
      <c r="N125" s="1330">
        <f t="shared" ref="N125:N126" si="102">+Q125-K125</f>
        <v>0</v>
      </c>
      <c r="O125" s="1331">
        <f t="shared" ref="O125:O126" si="103">+R125-L125</f>
        <v>0</v>
      </c>
      <c r="P125" s="1332">
        <f t="shared" ref="P125:P126" si="104">+W125</f>
        <v>0</v>
      </c>
      <c r="Q125" s="1333">
        <f t="shared" ref="Q125:Q126" si="105">+P125/E125</f>
        <v>0</v>
      </c>
      <c r="R125" s="1333">
        <f t="shared" ref="R125:R126" si="106">+Q125*I125</f>
        <v>0</v>
      </c>
      <c r="S125" s="1323"/>
    </row>
    <row r="126" spans="2:19" s="1125" customFormat="1">
      <c r="B126" s="957"/>
      <c r="C126" s="2028" t="s">
        <v>234</v>
      </c>
      <c r="D126" s="944" t="s">
        <v>165</v>
      </c>
      <c r="E126" s="1235">
        <v>386.5455</v>
      </c>
      <c r="F126" s="946">
        <v>572.93600000000004</v>
      </c>
      <c r="G126" s="1237">
        <v>16600</v>
      </c>
      <c r="H126" s="1149">
        <f t="shared" si="88"/>
        <v>9510737.5999999996</v>
      </c>
      <c r="I126" s="374">
        <f>H126/'REKAP TOTAL'!F44</f>
        <v>7.8219150083085509E-4</v>
      </c>
      <c r="J126" s="1326">
        <v>0</v>
      </c>
      <c r="K126" s="1327">
        <v>0</v>
      </c>
      <c r="L126" s="1328">
        <v>0</v>
      </c>
      <c r="M126" s="1329">
        <f t="shared" si="101"/>
        <v>0</v>
      </c>
      <c r="N126" s="1330">
        <f t="shared" si="102"/>
        <v>0</v>
      </c>
      <c r="O126" s="1331">
        <f t="shared" si="103"/>
        <v>0</v>
      </c>
      <c r="P126" s="1332">
        <f t="shared" si="104"/>
        <v>0</v>
      </c>
      <c r="Q126" s="1333">
        <f t="shared" si="105"/>
        <v>0</v>
      </c>
      <c r="R126" s="1333">
        <f t="shared" si="106"/>
        <v>0</v>
      </c>
      <c r="S126" s="1323"/>
    </row>
    <row r="127" spans="2:19" s="1125" customFormat="1">
      <c r="B127" s="940">
        <v>4</v>
      </c>
      <c r="C127" s="2030" t="s">
        <v>212</v>
      </c>
      <c r="D127" s="944"/>
      <c r="E127" s="1235"/>
      <c r="F127" s="1102"/>
      <c r="G127" s="1237"/>
      <c r="H127" s="1149"/>
      <c r="I127" s="1149"/>
      <c r="J127" s="1151"/>
      <c r="K127" s="1151"/>
      <c r="L127" s="1083"/>
      <c r="M127" s="1334"/>
      <c r="N127" s="1151"/>
      <c r="O127" s="1335"/>
      <c r="P127" s="1322"/>
      <c r="Q127" s="1151"/>
      <c r="R127" s="1151"/>
      <c r="S127" s="1323"/>
    </row>
    <row r="128" spans="2:19" s="1125" customFormat="1">
      <c r="B128" s="940"/>
      <c r="C128" s="2030" t="s">
        <v>235</v>
      </c>
      <c r="D128" s="944"/>
      <c r="E128" s="1235"/>
      <c r="F128" s="1102"/>
      <c r="G128" s="1237"/>
      <c r="H128" s="1149"/>
      <c r="I128" s="1149"/>
      <c r="J128" s="1151"/>
      <c r="K128" s="1151"/>
      <c r="L128" s="1083"/>
      <c r="M128" s="1334"/>
      <c r="N128" s="1151"/>
      <c r="O128" s="1335"/>
      <c r="P128" s="1322"/>
      <c r="Q128" s="1151"/>
      <c r="R128" s="1151"/>
      <c r="S128" s="1323"/>
    </row>
    <row r="129" spans="2:19" s="1125" customFormat="1" ht="34.5" customHeight="1">
      <c r="B129" s="957" t="s">
        <v>185</v>
      </c>
      <c r="C129" s="1465" t="s">
        <v>236</v>
      </c>
      <c r="D129" s="944" t="s">
        <v>103</v>
      </c>
      <c r="E129" s="1242">
        <v>1794.5840000000001</v>
      </c>
      <c r="F129" s="946">
        <v>1706.4190000000001</v>
      </c>
      <c r="G129" s="1237">
        <v>210400</v>
      </c>
      <c r="H129" s="1149">
        <f t="shared" ref="H129" si="107">$F129*G129</f>
        <v>359030557.60000002</v>
      </c>
      <c r="I129" s="374">
        <f>H129/'REKAP TOTAL'!F44</f>
        <v>2.9527746690570331E-2</v>
      </c>
      <c r="J129" s="1326">
        <v>0</v>
      </c>
      <c r="K129" s="1327">
        <v>0</v>
      </c>
      <c r="L129" s="1328">
        <v>0</v>
      </c>
      <c r="M129" s="1329">
        <f t="shared" ref="M129" si="108">+P129-J129</f>
        <v>0</v>
      </c>
      <c r="N129" s="1330">
        <f t="shared" ref="N129" si="109">+Q129-K129</f>
        <v>0</v>
      </c>
      <c r="O129" s="1331">
        <f t="shared" ref="O129" si="110">+R129-L129</f>
        <v>0</v>
      </c>
      <c r="P129" s="1332">
        <f t="shared" ref="P129" si="111">+W129</f>
        <v>0</v>
      </c>
      <c r="Q129" s="1333">
        <f t="shared" ref="Q129" si="112">+P129/E129</f>
        <v>0</v>
      </c>
      <c r="R129" s="1333">
        <f t="shared" ref="R129" si="113">+Q129*I129</f>
        <v>0</v>
      </c>
      <c r="S129" s="1323"/>
    </row>
    <row r="130" spans="2:19" s="1125" customFormat="1">
      <c r="B130" s="940"/>
      <c r="C130" s="2030" t="s">
        <v>237</v>
      </c>
      <c r="D130" s="944"/>
      <c r="E130" s="1235"/>
      <c r="F130" s="1102"/>
      <c r="G130" s="1237"/>
      <c r="H130" s="1149"/>
      <c r="I130" s="1149"/>
      <c r="J130" s="1151"/>
      <c r="K130" s="1151"/>
      <c r="L130" s="1083"/>
      <c r="M130" s="1334"/>
      <c r="N130" s="1151"/>
      <c r="O130" s="1335"/>
      <c r="P130" s="1322"/>
      <c r="Q130" s="1151"/>
      <c r="R130" s="1151"/>
      <c r="S130" s="1323"/>
    </row>
    <row r="131" spans="2:19" s="1125" customFormat="1" ht="33" customHeight="1">
      <c r="B131" s="957" t="s">
        <v>188</v>
      </c>
      <c r="C131" s="1465" t="s">
        <v>236</v>
      </c>
      <c r="D131" s="944" t="s">
        <v>103</v>
      </c>
      <c r="E131" s="1242">
        <v>161.33876000000001</v>
      </c>
      <c r="F131" s="946">
        <v>130.74</v>
      </c>
      <c r="G131" s="1237">
        <v>210400</v>
      </c>
      <c r="H131" s="1149">
        <f t="shared" ref="H131" si="114">$F131*G131</f>
        <v>27507696</v>
      </c>
      <c r="I131" s="374">
        <f>H131/'REKAP TOTAL'!F44</f>
        <v>2.2623151771781519E-3</v>
      </c>
      <c r="J131" s="1326">
        <v>0</v>
      </c>
      <c r="K131" s="1327">
        <v>0</v>
      </c>
      <c r="L131" s="1328">
        <v>0</v>
      </c>
      <c r="M131" s="1329">
        <f t="shared" ref="M131" si="115">+P131-J131</f>
        <v>0</v>
      </c>
      <c r="N131" s="1330">
        <f t="shared" ref="N131" si="116">+Q131-K131</f>
        <v>0</v>
      </c>
      <c r="O131" s="1331">
        <f t="shared" ref="O131" si="117">+R131-L131</f>
        <v>0</v>
      </c>
      <c r="P131" s="1332">
        <f t="shared" ref="P131" si="118">+W131</f>
        <v>0</v>
      </c>
      <c r="Q131" s="1333">
        <f t="shared" ref="Q131" si="119">+P131/E131</f>
        <v>0</v>
      </c>
      <c r="R131" s="1333">
        <f t="shared" ref="R131" si="120">+Q131*I131</f>
        <v>0</v>
      </c>
      <c r="S131" s="1323"/>
    </row>
    <row r="132" spans="2:19" s="1125" customFormat="1" ht="17.25" customHeight="1">
      <c r="B132" s="940">
        <v>5</v>
      </c>
      <c r="C132" s="2029" t="s">
        <v>238</v>
      </c>
      <c r="D132" s="944"/>
      <c r="E132" s="1235"/>
      <c r="F132" s="946"/>
      <c r="G132" s="1237"/>
      <c r="H132" s="1149"/>
      <c r="I132" s="1149"/>
      <c r="J132" s="1151"/>
      <c r="K132" s="1151"/>
      <c r="L132" s="1083"/>
      <c r="M132" s="1334"/>
      <c r="N132" s="1151"/>
      <c r="O132" s="1335"/>
      <c r="P132" s="1322"/>
      <c r="Q132" s="1151"/>
      <c r="R132" s="1151"/>
      <c r="S132" s="1323"/>
    </row>
    <row r="133" spans="2:19" s="1125" customFormat="1" ht="17.25" customHeight="1">
      <c r="B133" s="957"/>
      <c r="C133" s="2028" t="s">
        <v>239</v>
      </c>
      <c r="D133" s="944" t="s">
        <v>165</v>
      </c>
      <c r="E133" s="1235">
        <v>1957.195152</v>
      </c>
      <c r="F133" s="946">
        <v>1910.883</v>
      </c>
      <c r="G133" s="1237">
        <v>16600</v>
      </c>
      <c r="H133" s="1149">
        <f t="shared" ref="H133" si="121">$F133*G133</f>
        <v>31720657.800000001</v>
      </c>
      <c r="I133" s="374">
        <f>H133/'REKAP TOTAL'!F44</f>
        <v>2.6088017539169592E-3</v>
      </c>
      <c r="J133" s="1326">
        <v>0</v>
      </c>
      <c r="K133" s="1327">
        <v>0</v>
      </c>
      <c r="L133" s="1328">
        <v>0</v>
      </c>
      <c r="M133" s="1329">
        <f t="shared" ref="M133" si="122">+P133-J133</f>
        <v>0</v>
      </c>
      <c r="N133" s="1330">
        <f t="shared" ref="N133" si="123">+Q133-K133</f>
        <v>0</v>
      </c>
      <c r="O133" s="1331">
        <f t="shared" ref="O133" si="124">+R133-L133</f>
        <v>0</v>
      </c>
      <c r="P133" s="1332">
        <f t="shared" ref="P133" si="125">+W133</f>
        <v>0</v>
      </c>
      <c r="Q133" s="1333">
        <f t="shared" ref="Q133" si="126">+P133/E133</f>
        <v>0</v>
      </c>
      <c r="R133" s="1333">
        <f t="shared" ref="R133" si="127">+Q133*I133</f>
        <v>0</v>
      </c>
      <c r="S133" s="1323"/>
    </row>
    <row r="134" spans="2:19" s="1125" customFormat="1">
      <c r="B134" s="1030"/>
      <c r="C134" s="1466"/>
      <c r="D134" s="1032"/>
      <c r="E134" s="1411"/>
      <c r="F134" s="1446"/>
      <c r="G134" s="1467"/>
      <c r="H134" s="1170"/>
      <c r="I134" s="374"/>
      <c r="J134" s="1174"/>
      <c r="K134" s="1174"/>
      <c r="L134" s="1175"/>
      <c r="M134" s="1447"/>
      <c r="N134" s="1174"/>
      <c r="O134" s="1448"/>
      <c r="P134" s="1449"/>
      <c r="Q134" s="1174"/>
      <c r="R134" s="1174"/>
      <c r="S134" s="1450"/>
    </row>
    <row r="135" spans="2:19" s="1128" customFormat="1" ht="22.5" customHeight="1">
      <c r="B135" s="978"/>
      <c r="C135" s="1421" t="s">
        <v>240</v>
      </c>
      <c r="D135" s="981"/>
      <c r="E135" s="1177"/>
      <c r="F135" s="1178"/>
      <c r="G135" s="1179"/>
      <c r="H135" s="1179">
        <f>SUM(H118:H134)</f>
        <v>654508368.39999998</v>
      </c>
      <c r="I135" s="392">
        <f>H135/'REKAP TOTAL'!F44</f>
        <v>5.3828725438198423E-2</v>
      </c>
      <c r="J135" s="1345"/>
      <c r="K135" s="1345"/>
      <c r="L135" s="1463">
        <f>SUM(L116:L134)</f>
        <v>0</v>
      </c>
      <c r="M135" s="1347"/>
      <c r="N135" s="1345"/>
      <c r="O135" s="1463">
        <f>SUM(O116:O134)</f>
        <v>0</v>
      </c>
      <c r="P135" s="1349"/>
      <c r="Q135" s="1345"/>
      <c r="R135" s="1463">
        <f>SUM(R116:R134)</f>
        <v>0</v>
      </c>
      <c r="S135" s="1350"/>
    </row>
    <row r="136" spans="2:19" s="1128" customFormat="1">
      <c r="B136" s="1304"/>
      <c r="C136" s="1047"/>
      <c r="D136" s="1047"/>
      <c r="E136" s="1187"/>
      <c r="F136" s="1188"/>
      <c r="G136" s="1352"/>
      <c r="H136" s="1352"/>
      <c r="I136" s="1352"/>
      <c r="J136" s="1353"/>
      <c r="K136" s="1353"/>
      <c r="L136" s="1354"/>
      <c r="M136" s="1355"/>
      <c r="N136" s="1353"/>
      <c r="O136" s="1356"/>
      <c r="P136" s="1357"/>
      <c r="Q136" s="1353"/>
      <c r="R136" s="1353"/>
      <c r="S136" s="1358"/>
    </row>
    <row r="137" spans="2:19" s="1128" customFormat="1">
      <c r="B137" s="1147" t="s">
        <v>169</v>
      </c>
      <c r="C137" s="1244" t="s">
        <v>170</v>
      </c>
      <c r="D137" s="944"/>
      <c r="E137" s="1087"/>
      <c r="F137" s="1148"/>
      <c r="G137" s="1149"/>
      <c r="H137" s="1149"/>
      <c r="I137" s="1149"/>
      <c r="J137" s="1244"/>
      <c r="K137" s="1244"/>
      <c r="L137" s="1082"/>
      <c r="M137" s="1455"/>
      <c r="N137" s="1244"/>
      <c r="O137" s="1456"/>
      <c r="P137" s="1457"/>
      <c r="Q137" s="1244"/>
      <c r="R137" s="1244"/>
      <c r="S137" s="1458"/>
    </row>
    <row r="138" spans="2:19" s="1128" customFormat="1">
      <c r="B138" s="1147"/>
      <c r="C138" s="1244"/>
      <c r="D138" s="944"/>
      <c r="E138" s="1087"/>
      <c r="F138" s="1148"/>
      <c r="G138" s="1149"/>
      <c r="H138" s="1149"/>
      <c r="I138" s="1149"/>
      <c r="J138" s="1244"/>
      <c r="K138" s="1244"/>
      <c r="L138" s="1082"/>
      <c r="M138" s="1455"/>
      <c r="N138" s="1244"/>
      <c r="O138" s="1456"/>
      <c r="P138" s="1457"/>
      <c r="Q138" s="1244"/>
      <c r="R138" s="1244"/>
      <c r="S138" s="1458"/>
    </row>
    <row r="139" spans="2:19" s="1128" customFormat="1">
      <c r="B139" s="940">
        <v>1</v>
      </c>
      <c r="C139" s="1151" t="s">
        <v>241</v>
      </c>
      <c r="D139" s="944"/>
      <c r="E139" s="1087"/>
      <c r="F139" s="1148"/>
      <c r="G139" s="1149"/>
      <c r="H139" s="1149"/>
      <c r="I139" s="1149"/>
      <c r="J139" s="1244"/>
      <c r="K139" s="1244"/>
      <c r="L139" s="1082"/>
      <c r="M139" s="1455"/>
      <c r="N139" s="1244"/>
      <c r="O139" s="1456"/>
      <c r="P139" s="1457"/>
      <c r="Q139" s="1244"/>
      <c r="R139" s="1244"/>
      <c r="S139" s="1458"/>
    </row>
    <row r="140" spans="2:19" s="1128" customFormat="1">
      <c r="B140" s="1147"/>
      <c r="C140" s="2028" t="s">
        <v>242</v>
      </c>
      <c r="D140" s="944" t="s">
        <v>165</v>
      </c>
      <c r="E140" s="1087">
        <v>3205.29</v>
      </c>
      <c r="F140" s="946">
        <v>2603.6999999999998</v>
      </c>
      <c r="G140" s="1237">
        <v>33700</v>
      </c>
      <c r="H140" s="1149">
        <f t="shared" ref="H140:H168" si="128">$F140*G140</f>
        <v>87744690</v>
      </c>
      <c r="I140" s="374">
        <f>H140/'REKAP TOTAL'!F44</f>
        <v>7.2163856945267968E-3</v>
      </c>
      <c r="J140" s="1326">
        <v>0</v>
      </c>
      <c r="K140" s="1327">
        <v>0</v>
      </c>
      <c r="L140" s="1328">
        <v>0</v>
      </c>
      <c r="M140" s="1329">
        <f t="shared" ref="M140:M142" si="129">+P140-J140</f>
        <v>0</v>
      </c>
      <c r="N140" s="1330">
        <f t="shared" ref="N140:N142" si="130">+Q140-K140</f>
        <v>0</v>
      </c>
      <c r="O140" s="1331">
        <f t="shared" ref="O140:O142" si="131">+R140-L140</f>
        <v>0</v>
      </c>
      <c r="P140" s="1332">
        <f t="shared" ref="P140:P142" si="132">+W140</f>
        <v>0</v>
      </c>
      <c r="Q140" s="1333">
        <f t="shared" ref="Q140:Q142" si="133">+P140/E140</f>
        <v>0</v>
      </c>
      <c r="R140" s="1333">
        <f t="shared" ref="R140:R142" si="134">+Q140*I140</f>
        <v>0</v>
      </c>
      <c r="S140" s="1458"/>
    </row>
    <row r="141" spans="2:19" s="1128" customFormat="1">
      <c r="B141" s="1147"/>
      <c r="C141" s="2028" t="s">
        <v>243</v>
      </c>
      <c r="D141" s="944" t="s">
        <v>165</v>
      </c>
      <c r="E141" s="1087">
        <v>2859.8169600000001</v>
      </c>
      <c r="F141" s="946">
        <v>2604</v>
      </c>
      <c r="G141" s="1237">
        <v>32100</v>
      </c>
      <c r="H141" s="1149">
        <f t="shared" si="128"/>
        <v>83588400</v>
      </c>
      <c r="I141" s="374">
        <f>H141/'REKAP TOTAL'!F44</f>
        <v>6.8745599760895362E-3</v>
      </c>
      <c r="J141" s="1326">
        <v>0</v>
      </c>
      <c r="K141" s="1327">
        <v>0</v>
      </c>
      <c r="L141" s="1328">
        <v>0</v>
      </c>
      <c r="M141" s="1329">
        <f t="shared" si="129"/>
        <v>0</v>
      </c>
      <c r="N141" s="1330">
        <f t="shared" si="130"/>
        <v>0</v>
      </c>
      <c r="O141" s="1331">
        <f t="shared" si="131"/>
        <v>0</v>
      </c>
      <c r="P141" s="1332">
        <f t="shared" si="132"/>
        <v>0</v>
      </c>
      <c r="Q141" s="1333">
        <f t="shared" si="133"/>
        <v>0</v>
      </c>
      <c r="R141" s="1333">
        <f t="shared" si="134"/>
        <v>0</v>
      </c>
      <c r="S141" s="1458"/>
    </row>
    <row r="142" spans="2:19" s="1128" customFormat="1">
      <c r="B142" s="1147"/>
      <c r="C142" s="2028" t="s">
        <v>244</v>
      </c>
      <c r="D142" s="944" t="s">
        <v>165</v>
      </c>
      <c r="E142" s="1087">
        <v>1708.57951</v>
      </c>
      <c r="F142" s="946">
        <v>1313.28</v>
      </c>
      <c r="G142" s="1237">
        <v>32100</v>
      </c>
      <c r="H142" s="1149">
        <f t="shared" si="128"/>
        <v>42156288</v>
      </c>
      <c r="I142" s="374">
        <f>H142/'REKAP TOTAL'!F44</f>
        <v>3.4670591879411928E-3</v>
      </c>
      <c r="J142" s="1326">
        <v>0</v>
      </c>
      <c r="K142" s="1327">
        <v>0</v>
      </c>
      <c r="L142" s="1328">
        <v>0</v>
      </c>
      <c r="M142" s="1329">
        <f t="shared" si="129"/>
        <v>0</v>
      </c>
      <c r="N142" s="1330">
        <f t="shared" si="130"/>
        <v>0</v>
      </c>
      <c r="O142" s="1331">
        <f t="shared" si="131"/>
        <v>0</v>
      </c>
      <c r="P142" s="1332">
        <f t="shared" si="132"/>
        <v>0</v>
      </c>
      <c r="Q142" s="1333">
        <f t="shared" si="133"/>
        <v>0</v>
      </c>
      <c r="R142" s="1333">
        <f t="shared" si="134"/>
        <v>0</v>
      </c>
      <c r="S142" s="1458"/>
    </row>
    <row r="143" spans="2:19" s="1128" customFormat="1">
      <c r="B143" s="940">
        <v>2</v>
      </c>
      <c r="C143" s="1151" t="s">
        <v>245</v>
      </c>
      <c r="D143" s="944"/>
      <c r="E143" s="1087"/>
      <c r="F143" s="1248">
        <v>0</v>
      </c>
      <c r="G143" s="1149">
        <v>0</v>
      </c>
      <c r="H143" s="1149"/>
      <c r="I143" s="1149"/>
      <c r="J143" s="1244"/>
      <c r="K143" s="1244"/>
      <c r="L143" s="1082"/>
      <c r="M143" s="1455"/>
      <c r="N143" s="1244"/>
      <c r="O143" s="1456"/>
      <c r="P143" s="1457"/>
      <c r="Q143" s="1244"/>
      <c r="R143" s="1244"/>
      <c r="S143" s="1458"/>
    </row>
    <row r="144" spans="2:19" s="1128" customFormat="1">
      <c r="B144" s="1147"/>
      <c r="C144" s="2028" t="s">
        <v>246</v>
      </c>
      <c r="D144" s="944" t="s">
        <v>165</v>
      </c>
      <c r="E144" s="1087">
        <v>2307.1520999999998</v>
      </c>
      <c r="F144" s="946">
        <v>1807.701</v>
      </c>
      <c r="G144" s="1237">
        <v>29200</v>
      </c>
      <c r="H144" s="1149">
        <f t="shared" si="128"/>
        <v>52784869.200000003</v>
      </c>
      <c r="I144" s="374">
        <f>H144/'REKAP TOTAL'!F44</f>
        <v>4.3411854891999523E-3</v>
      </c>
      <c r="J144" s="1326">
        <v>0</v>
      </c>
      <c r="K144" s="1327">
        <v>0</v>
      </c>
      <c r="L144" s="1328">
        <v>0</v>
      </c>
      <c r="M144" s="1329">
        <f t="shared" ref="M144:M151" si="135">+P144-J144</f>
        <v>0</v>
      </c>
      <c r="N144" s="1330">
        <f t="shared" ref="N144:N151" si="136">+Q144-K144</f>
        <v>0</v>
      </c>
      <c r="O144" s="1331">
        <f t="shared" ref="O144:O151" si="137">+R144-L144</f>
        <v>0</v>
      </c>
      <c r="P144" s="1332">
        <f t="shared" ref="P144:P151" si="138">+W144</f>
        <v>0</v>
      </c>
      <c r="Q144" s="1333">
        <f t="shared" ref="Q144:Q151" si="139">+P144/E144</f>
        <v>0</v>
      </c>
      <c r="R144" s="1333">
        <f t="shared" ref="R144:R151" si="140">+Q144*I144</f>
        <v>0</v>
      </c>
      <c r="S144" s="1458"/>
    </row>
    <row r="145" spans="2:19" s="1128" customFormat="1">
      <c r="B145" s="1147"/>
      <c r="C145" s="2028" t="s">
        <v>247</v>
      </c>
      <c r="D145" s="944" t="s">
        <v>165</v>
      </c>
      <c r="E145" s="1087">
        <v>1402.5219999999999</v>
      </c>
      <c r="F145" s="946">
        <v>1153.2650000000001</v>
      </c>
      <c r="G145" s="1237">
        <v>29900</v>
      </c>
      <c r="H145" s="1149">
        <f t="shared" si="128"/>
        <v>34482623.5</v>
      </c>
      <c r="I145" s="659">
        <f>H145/'REKAP TOTAL'!F44</f>
        <v>2.8359540723792353E-3</v>
      </c>
      <c r="J145" s="1326">
        <v>0</v>
      </c>
      <c r="K145" s="1327">
        <v>0</v>
      </c>
      <c r="L145" s="1328">
        <v>0</v>
      </c>
      <c r="M145" s="1329">
        <f t="shared" si="135"/>
        <v>0</v>
      </c>
      <c r="N145" s="1330">
        <f t="shared" si="136"/>
        <v>0</v>
      </c>
      <c r="O145" s="1331">
        <f t="shared" si="137"/>
        <v>0</v>
      </c>
      <c r="P145" s="1332">
        <f t="shared" si="138"/>
        <v>0</v>
      </c>
      <c r="Q145" s="1333">
        <f t="shared" si="139"/>
        <v>0</v>
      </c>
      <c r="R145" s="1333">
        <f t="shared" si="140"/>
        <v>0</v>
      </c>
      <c r="S145" s="1458"/>
    </row>
    <row r="146" spans="2:19" s="1128" customFormat="1">
      <c r="B146" s="1147"/>
      <c r="C146" s="2028" t="s">
        <v>248</v>
      </c>
      <c r="D146" s="944" t="s">
        <v>165</v>
      </c>
      <c r="E146" s="1087">
        <v>637.55999999999995</v>
      </c>
      <c r="F146" s="946">
        <v>399.33199999999999</v>
      </c>
      <c r="G146" s="1237">
        <v>27500</v>
      </c>
      <c r="H146" s="1149">
        <f t="shared" si="128"/>
        <v>10981630</v>
      </c>
      <c r="I146" s="374">
        <f>H146/'REKAP TOTAL'!F44</f>
        <v>9.0316209031664836E-4</v>
      </c>
      <c r="J146" s="1326">
        <v>0</v>
      </c>
      <c r="K146" s="1327">
        <v>0</v>
      </c>
      <c r="L146" s="1328">
        <v>0</v>
      </c>
      <c r="M146" s="1329">
        <f t="shared" si="135"/>
        <v>0</v>
      </c>
      <c r="N146" s="1330">
        <f t="shared" si="136"/>
        <v>0</v>
      </c>
      <c r="O146" s="1331">
        <f t="shared" si="137"/>
        <v>0</v>
      </c>
      <c r="P146" s="1332">
        <f t="shared" si="138"/>
        <v>0</v>
      </c>
      <c r="Q146" s="1333">
        <f t="shared" si="139"/>
        <v>0</v>
      </c>
      <c r="R146" s="1333">
        <f t="shared" si="140"/>
        <v>0</v>
      </c>
      <c r="S146" s="1458"/>
    </row>
    <row r="147" spans="2:19" s="1128" customFormat="1">
      <c r="B147" s="1147"/>
      <c r="C147" s="2028" t="s">
        <v>249</v>
      </c>
      <c r="D147" s="944" t="s">
        <v>165</v>
      </c>
      <c r="E147" s="1087">
        <v>7272.848</v>
      </c>
      <c r="F147" s="946">
        <v>6168.9480000000003</v>
      </c>
      <c r="G147" s="1237">
        <v>32100</v>
      </c>
      <c r="H147" s="1149">
        <f t="shared" si="128"/>
        <v>198023230.80000001</v>
      </c>
      <c r="I147" s="374">
        <f>H147/'REKAP TOTAL'!F44</f>
        <v>1.6286022663355451E-2</v>
      </c>
      <c r="J147" s="1326">
        <v>0</v>
      </c>
      <c r="K147" s="1327">
        <v>0</v>
      </c>
      <c r="L147" s="1328">
        <v>0</v>
      </c>
      <c r="M147" s="1329">
        <f t="shared" si="135"/>
        <v>0</v>
      </c>
      <c r="N147" s="1330">
        <f t="shared" si="136"/>
        <v>0</v>
      </c>
      <c r="O147" s="1331">
        <f t="shared" si="137"/>
        <v>0</v>
      </c>
      <c r="P147" s="1332">
        <f t="shared" si="138"/>
        <v>0</v>
      </c>
      <c r="Q147" s="1333">
        <f t="shared" si="139"/>
        <v>0</v>
      </c>
      <c r="R147" s="1333">
        <f t="shared" si="140"/>
        <v>0</v>
      </c>
      <c r="S147" s="1458"/>
    </row>
    <row r="148" spans="2:19" s="1128" customFormat="1">
      <c r="B148" s="1147"/>
      <c r="C148" s="2028" t="s">
        <v>250</v>
      </c>
      <c r="D148" s="944" t="s">
        <v>165</v>
      </c>
      <c r="E148" s="1087">
        <v>6969.4768000000004</v>
      </c>
      <c r="F148" s="946">
        <v>6706.66</v>
      </c>
      <c r="G148" s="1237">
        <v>32100</v>
      </c>
      <c r="H148" s="1149">
        <f t="shared" si="128"/>
        <v>215283786</v>
      </c>
      <c r="I148" s="374">
        <f>H148/'REKAP TOTAL'!F44</f>
        <v>1.7705582338418065E-2</v>
      </c>
      <c r="J148" s="1326">
        <v>0</v>
      </c>
      <c r="K148" s="1327">
        <v>0</v>
      </c>
      <c r="L148" s="1328">
        <v>0</v>
      </c>
      <c r="M148" s="1329">
        <f t="shared" si="135"/>
        <v>0</v>
      </c>
      <c r="N148" s="1330">
        <f t="shared" si="136"/>
        <v>0</v>
      </c>
      <c r="O148" s="1331">
        <f t="shared" si="137"/>
        <v>0</v>
      </c>
      <c r="P148" s="1332">
        <f t="shared" si="138"/>
        <v>0</v>
      </c>
      <c r="Q148" s="1333">
        <f t="shared" si="139"/>
        <v>0</v>
      </c>
      <c r="R148" s="1333">
        <f t="shared" si="140"/>
        <v>0</v>
      </c>
      <c r="S148" s="1458"/>
    </row>
    <row r="149" spans="2:19" s="1128" customFormat="1">
      <c r="B149" s="1147"/>
      <c r="C149" s="2028" t="s">
        <v>251</v>
      </c>
      <c r="D149" s="944" t="s">
        <v>165</v>
      </c>
      <c r="E149" s="1087">
        <v>2169.5300000000002</v>
      </c>
      <c r="F149" s="946">
        <v>2200.16</v>
      </c>
      <c r="G149" s="1237">
        <v>43700</v>
      </c>
      <c r="H149" s="1149">
        <f t="shared" si="128"/>
        <v>96146992</v>
      </c>
      <c r="I149" s="374">
        <f>H149/'REKAP TOTAL'!F44</f>
        <v>7.9074161369831319E-3</v>
      </c>
      <c r="J149" s="1326">
        <v>0</v>
      </c>
      <c r="K149" s="1327">
        <v>0</v>
      </c>
      <c r="L149" s="1328">
        <v>0</v>
      </c>
      <c r="M149" s="1329">
        <f t="shared" si="135"/>
        <v>0</v>
      </c>
      <c r="N149" s="1330">
        <f t="shared" si="136"/>
        <v>0</v>
      </c>
      <c r="O149" s="1331">
        <f t="shared" si="137"/>
        <v>0</v>
      </c>
      <c r="P149" s="1332">
        <f t="shared" si="138"/>
        <v>0</v>
      </c>
      <c r="Q149" s="1333">
        <f t="shared" si="139"/>
        <v>0</v>
      </c>
      <c r="R149" s="1333">
        <f t="shared" si="140"/>
        <v>0</v>
      </c>
      <c r="S149" s="1458"/>
    </row>
    <row r="150" spans="2:19" s="1128" customFormat="1">
      <c r="B150" s="1147"/>
      <c r="C150" s="2030" t="s">
        <v>252</v>
      </c>
      <c r="D150" s="944" t="s">
        <v>165</v>
      </c>
      <c r="E150" s="1087">
        <v>469.993333333333</v>
      </c>
      <c r="F150" s="946">
        <v>469.993333333333</v>
      </c>
      <c r="G150" s="1237">
        <v>28100</v>
      </c>
      <c r="H150" s="1149">
        <f t="shared" si="128"/>
        <v>13206812.6666667</v>
      </c>
      <c r="I150" s="374">
        <f>H150/'REKAP TOTAL'!F44</f>
        <v>1.0861677669387045E-3</v>
      </c>
      <c r="J150" s="1326">
        <v>0</v>
      </c>
      <c r="K150" s="1327">
        <v>0</v>
      </c>
      <c r="L150" s="1328">
        <v>0</v>
      </c>
      <c r="M150" s="1329">
        <f t="shared" si="135"/>
        <v>0</v>
      </c>
      <c r="N150" s="1330">
        <f t="shared" si="136"/>
        <v>0</v>
      </c>
      <c r="O150" s="1331">
        <f t="shared" si="137"/>
        <v>0</v>
      </c>
      <c r="P150" s="1332">
        <f t="shared" si="138"/>
        <v>0</v>
      </c>
      <c r="Q150" s="1333">
        <f t="shared" si="139"/>
        <v>0</v>
      </c>
      <c r="R150" s="1333">
        <f t="shared" si="140"/>
        <v>0</v>
      </c>
      <c r="S150" s="1458"/>
    </row>
    <row r="151" spans="2:19" s="1128" customFormat="1" ht="27.6">
      <c r="B151" s="1147"/>
      <c r="C151" s="2031" t="s">
        <v>253</v>
      </c>
      <c r="D151" s="944" t="s">
        <v>165</v>
      </c>
      <c r="E151" s="1087">
        <v>2597.1380600000002</v>
      </c>
      <c r="F151" s="946">
        <v>1378.1669999999999</v>
      </c>
      <c r="G151" s="1237">
        <v>28100</v>
      </c>
      <c r="H151" s="1149">
        <f t="shared" si="128"/>
        <v>38726492.700000003</v>
      </c>
      <c r="I151" s="374">
        <f>H151/'REKAP TOTAL'!F44</f>
        <v>3.1849825661185477E-3</v>
      </c>
      <c r="J151" s="1326">
        <v>0</v>
      </c>
      <c r="K151" s="1327">
        <v>0</v>
      </c>
      <c r="L151" s="1328">
        <v>0</v>
      </c>
      <c r="M151" s="1329">
        <f t="shared" si="135"/>
        <v>0</v>
      </c>
      <c r="N151" s="1330">
        <f t="shared" si="136"/>
        <v>0</v>
      </c>
      <c r="O151" s="1331">
        <f t="shared" si="137"/>
        <v>0</v>
      </c>
      <c r="P151" s="1332">
        <f t="shared" si="138"/>
        <v>0</v>
      </c>
      <c r="Q151" s="1333">
        <f t="shared" si="139"/>
        <v>0</v>
      </c>
      <c r="R151" s="1333">
        <f t="shared" si="140"/>
        <v>0</v>
      </c>
      <c r="S151" s="1458"/>
    </row>
    <row r="152" spans="2:19" s="1128" customFormat="1">
      <c r="B152" s="940">
        <v>3</v>
      </c>
      <c r="C152" s="2030" t="s">
        <v>254</v>
      </c>
      <c r="D152" s="944"/>
      <c r="E152" s="1087"/>
      <c r="F152" s="1248">
        <v>0</v>
      </c>
      <c r="G152" s="1237">
        <v>0</v>
      </c>
      <c r="H152" s="1149"/>
      <c r="I152" s="1149"/>
      <c r="J152" s="1244"/>
      <c r="K152" s="1244"/>
      <c r="L152" s="1082"/>
      <c r="M152" s="1455"/>
      <c r="N152" s="1244"/>
      <c r="O152" s="1456"/>
      <c r="P152" s="1457"/>
      <c r="Q152" s="1244"/>
      <c r="R152" s="1244"/>
      <c r="S152" s="1458"/>
    </row>
    <row r="153" spans="2:19" s="1128" customFormat="1">
      <c r="B153" s="1147"/>
      <c r="C153" s="2032" t="s">
        <v>255</v>
      </c>
      <c r="D153" s="944" t="s">
        <v>165</v>
      </c>
      <c r="E153" s="1087">
        <v>17864.878878</v>
      </c>
      <c r="F153" s="946">
        <v>16730.386999999999</v>
      </c>
      <c r="G153" s="1237">
        <v>28100</v>
      </c>
      <c r="H153" s="1149">
        <f t="shared" si="128"/>
        <v>470123874.69999999</v>
      </c>
      <c r="I153" s="374">
        <f>H153/'REKAP TOTAL'!F44</f>
        <v>3.866439329879208E-2</v>
      </c>
      <c r="J153" s="1326">
        <v>0</v>
      </c>
      <c r="K153" s="1327">
        <v>0</v>
      </c>
      <c r="L153" s="1328">
        <v>0</v>
      </c>
      <c r="M153" s="1329">
        <f t="shared" ref="M153:M157" si="141">+P153-J153</f>
        <v>0</v>
      </c>
      <c r="N153" s="1330">
        <f t="shared" ref="N153:N157" si="142">+Q153-K153</f>
        <v>0</v>
      </c>
      <c r="O153" s="1331">
        <f t="shared" ref="O153:O157" si="143">+R153-L153</f>
        <v>0</v>
      </c>
      <c r="P153" s="1332">
        <f t="shared" ref="P153:P157" si="144">+W153</f>
        <v>0</v>
      </c>
      <c r="Q153" s="1333">
        <f t="shared" ref="Q153:Q157" si="145">+P153/E153</f>
        <v>0</v>
      </c>
      <c r="R153" s="1333">
        <f t="shared" ref="R153:R157" si="146">+Q153*I153</f>
        <v>0</v>
      </c>
      <c r="S153" s="1458"/>
    </row>
    <row r="154" spans="2:19" s="1128" customFormat="1">
      <c r="B154" s="940">
        <v>4</v>
      </c>
      <c r="C154" s="2030" t="s">
        <v>256</v>
      </c>
      <c r="D154" s="944" t="s">
        <v>165</v>
      </c>
      <c r="E154" s="1087">
        <v>2636.52221448</v>
      </c>
      <c r="F154" s="946">
        <v>2636.52221448</v>
      </c>
      <c r="G154" s="1237">
        <v>28100</v>
      </c>
      <c r="H154" s="1149">
        <f t="shared" si="128"/>
        <v>74086274.226888001</v>
      </c>
      <c r="I154" s="374">
        <f>H154/'REKAP TOTAL'!F44</f>
        <v>6.0930767376544829E-3</v>
      </c>
      <c r="J154" s="1326">
        <v>0</v>
      </c>
      <c r="K154" s="1327">
        <v>0</v>
      </c>
      <c r="L154" s="1328">
        <v>0</v>
      </c>
      <c r="M154" s="1329">
        <f t="shared" si="141"/>
        <v>0</v>
      </c>
      <c r="N154" s="1330">
        <f t="shared" si="142"/>
        <v>0</v>
      </c>
      <c r="O154" s="1331">
        <f t="shared" si="143"/>
        <v>0</v>
      </c>
      <c r="P154" s="1332">
        <f t="shared" si="144"/>
        <v>0</v>
      </c>
      <c r="Q154" s="1333">
        <f t="shared" si="145"/>
        <v>0</v>
      </c>
      <c r="R154" s="1333">
        <f t="shared" si="146"/>
        <v>0</v>
      </c>
      <c r="S154" s="1458"/>
    </row>
    <row r="155" spans="2:19" s="1128" customFormat="1">
      <c r="B155" s="940">
        <f t="shared" ref="B155:B158" si="147">B154+1</f>
        <v>5</v>
      </c>
      <c r="C155" s="2030" t="s">
        <v>257</v>
      </c>
      <c r="D155" s="944" t="s">
        <v>165</v>
      </c>
      <c r="E155" s="1087">
        <v>1275.7676624000001</v>
      </c>
      <c r="F155" s="946">
        <v>1275.7676624000001</v>
      </c>
      <c r="G155" s="1237">
        <v>28100</v>
      </c>
      <c r="H155" s="1149">
        <f t="shared" si="128"/>
        <v>35849071.313440003</v>
      </c>
      <c r="I155" s="374">
        <f>H155/'REKAP TOTAL'!F44</f>
        <v>2.9483348267385686E-3</v>
      </c>
      <c r="J155" s="1326">
        <v>0</v>
      </c>
      <c r="K155" s="1327">
        <v>0</v>
      </c>
      <c r="L155" s="1328">
        <v>0</v>
      </c>
      <c r="M155" s="1329">
        <f t="shared" si="141"/>
        <v>0</v>
      </c>
      <c r="N155" s="1330">
        <f t="shared" si="142"/>
        <v>0</v>
      </c>
      <c r="O155" s="1331">
        <f t="shared" si="143"/>
        <v>0</v>
      </c>
      <c r="P155" s="1332">
        <f t="shared" si="144"/>
        <v>0</v>
      </c>
      <c r="Q155" s="1333">
        <f t="shared" si="145"/>
        <v>0</v>
      </c>
      <c r="R155" s="1333">
        <f t="shared" si="146"/>
        <v>0</v>
      </c>
      <c r="S155" s="1458"/>
    </row>
    <row r="156" spans="2:19" s="1128" customFormat="1">
      <c r="B156" s="940">
        <f t="shared" si="147"/>
        <v>6</v>
      </c>
      <c r="C156" s="2030" t="s">
        <v>258</v>
      </c>
      <c r="D156" s="944" t="s">
        <v>165</v>
      </c>
      <c r="E156" s="1087">
        <v>1412.4570547999999</v>
      </c>
      <c r="F156" s="946">
        <v>1412.4570547999999</v>
      </c>
      <c r="G156" s="1237">
        <v>28100</v>
      </c>
      <c r="H156" s="1149">
        <f t="shared" si="128"/>
        <v>39690043.239880003</v>
      </c>
      <c r="I156" s="374">
        <f>H156/'REKAP TOTAL'!F44</f>
        <v>3.2642278438891298E-3</v>
      </c>
      <c r="J156" s="1326">
        <v>0</v>
      </c>
      <c r="K156" s="1327">
        <v>0</v>
      </c>
      <c r="L156" s="1328">
        <v>0</v>
      </c>
      <c r="M156" s="1329">
        <f t="shared" si="141"/>
        <v>0</v>
      </c>
      <c r="N156" s="1330">
        <f t="shared" si="142"/>
        <v>0</v>
      </c>
      <c r="O156" s="1331">
        <f t="shared" si="143"/>
        <v>0</v>
      </c>
      <c r="P156" s="1332">
        <f t="shared" si="144"/>
        <v>0</v>
      </c>
      <c r="Q156" s="1333">
        <f t="shared" si="145"/>
        <v>0</v>
      </c>
      <c r="R156" s="1333">
        <f t="shared" si="146"/>
        <v>0</v>
      </c>
      <c r="S156" s="1458"/>
    </row>
    <row r="157" spans="2:19" s="1128" customFormat="1">
      <c r="B157" s="940">
        <v>7</v>
      </c>
      <c r="C157" s="2030" t="s">
        <v>259</v>
      </c>
      <c r="D157" s="944" t="s">
        <v>165</v>
      </c>
      <c r="E157" s="1087">
        <v>6848.6915716266703</v>
      </c>
      <c r="F157" s="946">
        <v>6848.6915716266703</v>
      </c>
      <c r="G157" s="1237">
        <v>28100</v>
      </c>
      <c r="H157" s="1149">
        <f t="shared" si="128"/>
        <v>192448233.162709</v>
      </c>
      <c r="I157" s="374">
        <f>H157/'REKAP TOTAL'!F44</f>
        <v>1.5827518186369235E-2</v>
      </c>
      <c r="J157" s="1326">
        <v>0</v>
      </c>
      <c r="K157" s="1327">
        <v>0</v>
      </c>
      <c r="L157" s="1328">
        <v>0</v>
      </c>
      <c r="M157" s="1329">
        <f t="shared" si="141"/>
        <v>0</v>
      </c>
      <c r="N157" s="1330">
        <f t="shared" si="142"/>
        <v>0</v>
      </c>
      <c r="O157" s="1331">
        <f t="shared" si="143"/>
        <v>0</v>
      </c>
      <c r="P157" s="1332">
        <f t="shared" si="144"/>
        <v>0</v>
      </c>
      <c r="Q157" s="1333">
        <f t="shared" si="145"/>
        <v>0</v>
      </c>
      <c r="R157" s="1333">
        <f t="shared" si="146"/>
        <v>0</v>
      </c>
      <c r="S157" s="1458"/>
    </row>
    <row r="158" spans="2:19" s="1128" customFormat="1">
      <c r="B158" s="940">
        <f t="shared" si="147"/>
        <v>8</v>
      </c>
      <c r="C158" s="1151" t="s">
        <v>260</v>
      </c>
      <c r="D158" s="944"/>
      <c r="E158" s="1087"/>
      <c r="F158" s="1248"/>
      <c r="G158" s="1237"/>
      <c r="H158" s="1149">
        <f t="shared" si="128"/>
        <v>0</v>
      </c>
      <c r="I158" s="374"/>
      <c r="J158" s="1244"/>
      <c r="K158" s="1244"/>
      <c r="L158" s="1082"/>
      <c r="M158" s="1455"/>
      <c r="N158" s="1244"/>
      <c r="O158" s="1456"/>
      <c r="P158" s="1457"/>
      <c r="Q158" s="1244"/>
      <c r="R158" s="1244"/>
      <c r="S158" s="1458"/>
    </row>
    <row r="159" spans="2:19" s="1128" customFormat="1">
      <c r="B159" s="940"/>
      <c r="C159" s="2028" t="s">
        <v>261</v>
      </c>
      <c r="D159" s="944" t="s">
        <v>262</v>
      </c>
      <c r="E159" s="1087">
        <v>720</v>
      </c>
      <c r="F159" s="946">
        <v>720</v>
      </c>
      <c r="G159" s="1202">
        <v>18600</v>
      </c>
      <c r="H159" s="1149">
        <f t="shared" si="128"/>
        <v>13392000</v>
      </c>
      <c r="I159" s="374">
        <f>H159/'REKAP TOTAL'!F44</f>
        <v>1.1013981270103395E-3</v>
      </c>
      <c r="J159" s="1326">
        <v>0</v>
      </c>
      <c r="K159" s="1327">
        <v>0</v>
      </c>
      <c r="L159" s="1328">
        <v>0</v>
      </c>
      <c r="M159" s="1329">
        <f t="shared" ref="M159:M163" si="148">+P159-J159</f>
        <v>0</v>
      </c>
      <c r="N159" s="1330">
        <f t="shared" ref="N159:N163" si="149">+Q159-K159</f>
        <v>0</v>
      </c>
      <c r="O159" s="1331">
        <f t="shared" ref="O159:O163" si="150">+R159-L159</f>
        <v>0</v>
      </c>
      <c r="P159" s="1332">
        <f t="shared" ref="P159:P163" si="151">+W159</f>
        <v>0</v>
      </c>
      <c r="Q159" s="1333">
        <f t="shared" ref="Q159:Q163" si="152">+P159/E159</f>
        <v>0</v>
      </c>
      <c r="R159" s="1333">
        <f t="shared" ref="R159:R163" si="153">+Q159*I159</f>
        <v>0</v>
      </c>
      <c r="S159" s="1458"/>
    </row>
    <row r="160" spans="2:19" s="1128" customFormat="1">
      <c r="B160" s="940"/>
      <c r="C160" s="2028" t="s">
        <v>263</v>
      </c>
      <c r="D160" s="944" t="s">
        <v>262</v>
      </c>
      <c r="E160" s="1087">
        <v>240</v>
      </c>
      <c r="F160" s="946">
        <v>240</v>
      </c>
      <c r="G160" s="1202">
        <v>34800</v>
      </c>
      <c r="H160" s="1149">
        <f t="shared" si="128"/>
        <v>8352000</v>
      </c>
      <c r="I160" s="374">
        <f>H160/'REKAP TOTAL'!F44</f>
        <v>6.8689345555483544E-4</v>
      </c>
      <c r="J160" s="1326">
        <v>0</v>
      </c>
      <c r="K160" s="1327">
        <v>0</v>
      </c>
      <c r="L160" s="1328">
        <v>0</v>
      </c>
      <c r="M160" s="1329">
        <f t="shared" si="148"/>
        <v>0</v>
      </c>
      <c r="N160" s="1330">
        <f t="shared" si="149"/>
        <v>0</v>
      </c>
      <c r="O160" s="1331">
        <f t="shared" si="150"/>
        <v>0</v>
      </c>
      <c r="P160" s="1332">
        <f t="shared" si="151"/>
        <v>0</v>
      </c>
      <c r="Q160" s="1333">
        <f t="shared" si="152"/>
        <v>0</v>
      </c>
      <c r="R160" s="1333">
        <f t="shared" si="153"/>
        <v>0</v>
      </c>
      <c r="S160" s="1458"/>
    </row>
    <row r="161" spans="2:19" s="1128" customFormat="1">
      <c r="B161" s="940"/>
      <c r="C161" s="2028" t="s">
        <v>264</v>
      </c>
      <c r="D161" s="944" t="s">
        <v>262</v>
      </c>
      <c r="E161" s="1087">
        <v>600</v>
      </c>
      <c r="F161" s="946">
        <v>600</v>
      </c>
      <c r="G161" s="1202">
        <v>28000</v>
      </c>
      <c r="H161" s="1149">
        <f t="shared" si="128"/>
        <v>16800000</v>
      </c>
      <c r="I161" s="374">
        <f>H161/'REKAP TOTAL'!F44</f>
        <v>1.3816822381850138E-3</v>
      </c>
      <c r="J161" s="1326">
        <v>0</v>
      </c>
      <c r="K161" s="1327">
        <v>0</v>
      </c>
      <c r="L161" s="1328">
        <v>0</v>
      </c>
      <c r="M161" s="1329">
        <f t="shared" si="148"/>
        <v>0</v>
      </c>
      <c r="N161" s="1330">
        <f t="shared" si="149"/>
        <v>0</v>
      </c>
      <c r="O161" s="1331">
        <f t="shared" si="150"/>
        <v>0</v>
      </c>
      <c r="P161" s="1332">
        <f t="shared" si="151"/>
        <v>0</v>
      </c>
      <c r="Q161" s="1333">
        <f t="shared" si="152"/>
        <v>0</v>
      </c>
      <c r="R161" s="1333">
        <f t="shared" si="153"/>
        <v>0</v>
      </c>
      <c r="S161" s="1458"/>
    </row>
    <row r="162" spans="2:19" s="1128" customFormat="1">
      <c r="B162" s="940"/>
      <c r="C162" s="2028" t="s">
        <v>265</v>
      </c>
      <c r="D162" s="944" t="s">
        <v>262</v>
      </c>
      <c r="E162" s="1087">
        <v>1504</v>
      </c>
      <c r="F162" s="946">
        <v>1504</v>
      </c>
      <c r="G162" s="1202">
        <v>12200</v>
      </c>
      <c r="H162" s="1149">
        <f t="shared" si="128"/>
        <v>18348800</v>
      </c>
      <c r="I162" s="374">
        <f>H162/'REKAP TOTAL'!F44</f>
        <v>1.5090601816672132E-3</v>
      </c>
      <c r="J162" s="1326">
        <v>0</v>
      </c>
      <c r="K162" s="1327">
        <v>0</v>
      </c>
      <c r="L162" s="1328">
        <v>0</v>
      </c>
      <c r="M162" s="1329">
        <f t="shared" si="148"/>
        <v>0</v>
      </c>
      <c r="N162" s="1330">
        <f t="shared" si="149"/>
        <v>0</v>
      </c>
      <c r="O162" s="1331">
        <f t="shared" si="150"/>
        <v>0</v>
      </c>
      <c r="P162" s="1332">
        <f t="shared" si="151"/>
        <v>0</v>
      </c>
      <c r="Q162" s="1333">
        <f t="shared" si="152"/>
        <v>0</v>
      </c>
      <c r="R162" s="1333">
        <f t="shared" si="153"/>
        <v>0</v>
      </c>
      <c r="S162" s="1458"/>
    </row>
    <row r="163" spans="2:19" s="1128" customFormat="1">
      <c r="B163" s="940"/>
      <c r="C163" s="2028" t="s">
        <v>266</v>
      </c>
      <c r="D163" s="944" t="s">
        <v>262</v>
      </c>
      <c r="E163" s="1087">
        <v>160</v>
      </c>
      <c r="F163" s="946">
        <v>160</v>
      </c>
      <c r="G163" s="1202">
        <v>107700</v>
      </c>
      <c r="H163" s="1149">
        <f t="shared" si="128"/>
        <v>17232000</v>
      </c>
      <c r="I163" s="374">
        <f>H163/'REKAP TOTAL'!F44</f>
        <v>1.417211210024057E-3</v>
      </c>
      <c r="J163" s="1326">
        <v>0</v>
      </c>
      <c r="K163" s="1327">
        <v>0</v>
      </c>
      <c r="L163" s="1328">
        <v>0</v>
      </c>
      <c r="M163" s="1329">
        <f t="shared" si="148"/>
        <v>0</v>
      </c>
      <c r="N163" s="1330">
        <f t="shared" si="149"/>
        <v>0</v>
      </c>
      <c r="O163" s="1331">
        <f t="shared" si="150"/>
        <v>0</v>
      </c>
      <c r="P163" s="1332">
        <f t="shared" si="151"/>
        <v>0</v>
      </c>
      <c r="Q163" s="1333">
        <f t="shared" si="152"/>
        <v>0</v>
      </c>
      <c r="R163" s="1333">
        <f t="shared" si="153"/>
        <v>0</v>
      </c>
      <c r="S163" s="1458"/>
    </row>
    <row r="164" spans="2:19" s="1128" customFormat="1">
      <c r="B164" s="940">
        <v>10</v>
      </c>
      <c r="C164" s="1151" t="s">
        <v>267</v>
      </c>
      <c r="D164" s="944"/>
      <c r="E164" s="1087"/>
      <c r="F164" s="946"/>
      <c r="G164" s="1202"/>
      <c r="H164" s="1149">
        <f t="shared" si="128"/>
        <v>0</v>
      </c>
      <c r="I164" s="1149"/>
      <c r="J164" s="1244"/>
      <c r="K164" s="1244"/>
      <c r="L164" s="1082"/>
      <c r="M164" s="1455"/>
      <c r="N164" s="1244"/>
      <c r="O164" s="1456"/>
      <c r="P164" s="1457"/>
      <c r="Q164" s="1244"/>
      <c r="R164" s="1244"/>
      <c r="S164" s="1458"/>
    </row>
    <row r="165" spans="2:19" s="1128" customFormat="1">
      <c r="B165" s="940"/>
      <c r="C165" s="2033" t="s">
        <v>268</v>
      </c>
      <c r="D165" s="944" t="s">
        <v>262</v>
      </c>
      <c r="E165" s="1087">
        <v>148</v>
      </c>
      <c r="F165" s="946">
        <v>148</v>
      </c>
      <c r="G165" s="1202">
        <v>53600</v>
      </c>
      <c r="H165" s="1149">
        <f t="shared" si="128"/>
        <v>7932800</v>
      </c>
      <c r="I165" s="374">
        <f>H165/'REKAP TOTAL'!F44</f>
        <v>6.5241719399250454E-4</v>
      </c>
      <c r="J165" s="1326">
        <v>0</v>
      </c>
      <c r="K165" s="1327">
        <v>0</v>
      </c>
      <c r="L165" s="1328">
        <v>0</v>
      </c>
      <c r="M165" s="1329">
        <f t="shared" ref="M165:M167" si="154">+P165-J165</f>
        <v>0</v>
      </c>
      <c r="N165" s="1330">
        <f t="shared" ref="N165:N167" si="155">+Q165-K165</f>
        <v>0</v>
      </c>
      <c r="O165" s="1331">
        <f t="shared" ref="O165:O167" si="156">+R165-L165</f>
        <v>0</v>
      </c>
      <c r="P165" s="1332">
        <f t="shared" ref="P165:P167" si="157">+W165</f>
        <v>0</v>
      </c>
      <c r="Q165" s="1333">
        <f t="shared" ref="Q165:Q167" si="158">+P165/E165</f>
        <v>0</v>
      </c>
      <c r="R165" s="1333">
        <f t="shared" ref="R165:R167" si="159">+Q165*I165</f>
        <v>0</v>
      </c>
      <c r="S165" s="1458"/>
    </row>
    <row r="166" spans="2:19" s="1128" customFormat="1">
      <c r="B166" s="940">
        <v>11</v>
      </c>
      <c r="C166" s="1151" t="s">
        <v>269</v>
      </c>
      <c r="D166" s="944" t="s">
        <v>143</v>
      </c>
      <c r="E166" s="1087">
        <v>5.0685000000000001E-2</v>
      </c>
      <c r="F166" s="946">
        <v>5.0685000000000001E-2</v>
      </c>
      <c r="G166" s="1202">
        <v>28560000</v>
      </c>
      <c r="H166" s="1149">
        <f t="shared" si="128"/>
        <v>1447563.6</v>
      </c>
      <c r="I166" s="374">
        <f>H166/'REKAP TOTAL'!F44</f>
        <v>1.1905195921209263E-4</v>
      </c>
      <c r="J166" s="1326">
        <v>0</v>
      </c>
      <c r="K166" s="1327">
        <v>0</v>
      </c>
      <c r="L166" s="1328">
        <v>0</v>
      </c>
      <c r="M166" s="1329">
        <f t="shared" si="154"/>
        <v>0</v>
      </c>
      <c r="N166" s="1330">
        <f t="shared" si="155"/>
        <v>0</v>
      </c>
      <c r="O166" s="1331">
        <f t="shared" si="156"/>
        <v>0</v>
      </c>
      <c r="P166" s="1332">
        <f t="shared" si="157"/>
        <v>0</v>
      </c>
      <c r="Q166" s="1333">
        <f t="shared" si="158"/>
        <v>0</v>
      </c>
      <c r="R166" s="1333">
        <f t="shared" si="159"/>
        <v>0</v>
      </c>
      <c r="S166" s="1458"/>
    </row>
    <row r="167" spans="2:19" s="1128" customFormat="1">
      <c r="B167" s="940">
        <v>12</v>
      </c>
      <c r="C167" s="1151" t="s">
        <v>270</v>
      </c>
      <c r="D167" s="944" t="s">
        <v>165</v>
      </c>
      <c r="E167" s="1087">
        <v>61638.22414464</v>
      </c>
      <c r="F167" s="946">
        <v>55709.031836640002</v>
      </c>
      <c r="G167" s="1202">
        <v>3500</v>
      </c>
      <c r="H167" s="1149">
        <f t="shared" si="128"/>
        <v>194981611.42824</v>
      </c>
      <c r="I167" s="374">
        <f>H167/'REKAP TOTAL'!F44</f>
        <v>1.6035870790660198E-2</v>
      </c>
      <c r="J167" s="1326">
        <v>0</v>
      </c>
      <c r="K167" s="1327">
        <v>0</v>
      </c>
      <c r="L167" s="1328">
        <v>0</v>
      </c>
      <c r="M167" s="1329">
        <f t="shared" si="154"/>
        <v>0</v>
      </c>
      <c r="N167" s="1330">
        <f t="shared" si="155"/>
        <v>0</v>
      </c>
      <c r="O167" s="1331">
        <f t="shared" si="156"/>
        <v>0</v>
      </c>
      <c r="P167" s="1332">
        <f t="shared" si="157"/>
        <v>0</v>
      </c>
      <c r="Q167" s="1333">
        <f t="shared" si="158"/>
        <v>0</v>
      </c>
      <c r="R167" s="1333">
        <f t="shared" si="159"/>
        <v>0</v>
      </c>
      <c r="S167" s="1458"/>
    </row>
    <row r="168" spans="2:19" s="1128" customFormat="1" ht="27.6">
      <c r="B168" s="940"/>
      <c r="C168" s="2034" t="s">
        <v>271</v>
      </c>
      <c r="D168" s="944"/>
      <c r="E168" s="1087"/>
      <c r="F168" s="1148"/>
      <c r="G168" s="1149"/>
      <c r="H168" s="1149">
        <f t="shared" si="128"/>
        <v>0</v>
      </c>
      <c r="I168" s="1149"/>
      <c r="J168" s="1244"/>
      <c r="K168" s="1244"/>
      <c r="L168" s="1082"/>
      <c r="M168" s="1455"/>
      <c r="N168" s="1244"/>
      <c r="O168" s="1456"/>
      <c r="P168" s="1457"/>
      <c r="Q168" s="1244"/>
      <c r="R168" s="1244"/>
      <c r="S168" s="1458"/>
    </row>
    <row r="169" spans="2:19" s="1128" customFormat="1" ht="27.6">
      <c r="B169" s="940"/>
      <c r="C169" s="2034" t="s">
        <v>272</v>
      </c>
      <c r="D169" s="944"/>
      <c r="E169" s="1087"/>
      <c r="F169" s="1148"/>
      <c r="G169" s="1149"/>
      <c r="H169" s="1149"/>
      <c r="I169" s="1149"/>
      <c r="J169" s="1244"/>
      <c r="K169" s="1244"/>
      <c r="L169" s="1082"/>
      <c r="M169" s="1455"/>
      <c r="N169" s="1244"/>
      <c r="O169" s="1456"/>
      <c r="P169" s="1457"/>
      <c r="Q169" s="1244"/>
      <c r="R169" s="1244"/>
      <c r="S169" s="1458"/>
    </row>
    <row r="170" spans="2:19" s="1128" customFormat="1">
      <c r="B170" s="940"/>
      <c r="C170" s="1151"/>
      <c r="D170" s="944"/>
      <c r="E170" s="1087"/>
      <c r="F170" s="1148"/>
      <c r="G170" s="1149"/>
      <c r="H170" s="1149"/>
      <c r="I170" s="1149"/>
      <c r="J170" s="1244"/>
      <c r="K170" s="1244"/>
      <c r="L170" s="1082"/>
      <c r="M170" s="1455"/>
      <c r="N170" s="1244"/>
      <c r="O170" s="1456"/>
      <c r="P170" s="1457"/>
      <c r="Q170" s="1244"/>
      <c r="R170" s="1244"/>
      <c r="S170" s="1458"/>
    </row>
    <row r="171" spans="2:19" s="1128" customFormat="1">
      <c r="B171" s="1147"/>
      <c r="C171" s="1385" t="s">
        <v>273</v>
      </c>
      <c r="D171" s="944"/>
      <c r="E171" s="1087"/>
      <c r="F171" s="1148"/>
      <c r="G171" s="1149"/>
      <c r="H171" s="1149"/>
      <c r="I171" s="1149"/>
      <c r="J171" s="1244"/>
      <c r="K171" s="1244"/>
      <c r="L171" s="1082"/>
      <c r="M171" s="1455"/>
      <c r="N171" s="1244"/>
      <c r="O171" s="1456"/>
      <c r="P171" s="1457"/>
      <c r="Q171" s="1244"/>
      <c r="R171" s="1244"/>
      <c r="S171" s="1458"/>
    </row>
    <row r="172" spans="2:19" s="1128" customFormat="1" ht="17.25" customHeight="1">
      <c r="B172" s="940">
        <v>1</v>
      </c>
      <c r="C172" s="1151" t="s">
        <v>245</v>
      </c>
      <c r="D172" s="944"/>
      <c r="E172" s="1087"/>
      <c r="F172" s="1148"/>
      <c r="G172" s="1149"/>
      <c r="H172" s="1149">
        <f t="shared" ref="H172:H186" si="160">$F172*G172</f>
        <v>0</v>
      </c>
      <c r="I172" s="1149"/>
      <c r="J172" s="1244"/>
      <c r="K172" s="1244"/>
      <c r="L172" s="1082"/>
      <c r="M172" s="1455"/>
      <c r="N172" s="1244"/>
      <c r="O172" s="1456"/>
      <c r="P172" s="1457"/>
      <c r="Q172" s="1244"/>
      <c r="R172" s="1244"/>
      <c r="S172" s="1458"/>
    </row>
    <row r="173" spans="2:19" s="1128" customFormat="1" ht="17.25" customHeight="1">
      <c r="B173" s="1147"/>
      <c r="C173" s="2028" t="s">
        <v>274</v>
      </c>
      <c r="D173" s="944" t="s">
        <v>165</v>
      </c>
      <c r="E173" s="1087">
        <v>2532.8945399999998</v>
      </c>
      <c r="F173" s="946">
        <v>1668.6980000000001</v>
      </c>
      <c r="G173" s="1237">
        <v>33700</v>
      </c>
      <c r="H173" s="1149">
        <f t="shared" si="160"/>
        <v>56235122.600000001</v>
      </c>
      <c r="I173" s="374">
        <f>H173/'REKAP TOTAL'!F44</f>
        <v>4.624944646343848E-3</v>
      </c>
      <c r="J173" s="1326">
        <v>0</v>
      </c>
      <c r="K173" s="1327">
        <v>0</v>
      </c>
      <c r="L173" s="1328">
        <v>0</v>
      </c>
      <c r="M173" s="1329">
        <f t="shared" ref="M173:M180" si="161">+P173-J173</f>
        <v>0</v>
      </c>
      <c r="N173" s="1330">
        <f t="shared" ref="N173:N180" si="162">+Q173-K173</f>
        <v>0</v>
      </c>
      <c r="O173" s="1331">
        <f t="shared" ref="O173:O180" si="163">+R173-L173</f>
        <v>0</v>
      </c>
      <c r="P173" s="1332">
        <f t="shared" ref="P173:P180" si="164">+W173</f>
        <v>0</v>
      </c>
      <c r="Q173" s="1333">
        <f t="shared" ref="Q173:Q180" si="165">+P173/E173</f>
        <v>0</v>
      </c>
      <c r="R173" s="1333">
        <f t="shared" ref="R173:R180" si="166">+Q173*I173</f>
        <v>0</v>
      </c>
      <c r="S173" s="1458"/>
    </row>
    <row r="174" spans="2:19" s="1128" customFormat="1" ht="17.25" customHeight="1">
      <c r="B174" s="1147"/>
      <c r="C174" s="2028" t="s">
        <v>246</v>
      </c>
      <c r="D174" s="944" t="s">
        <v>165</v>
      </c>
      <c r="E174" s="1087">
        <v>958.40414999999996</v>
      </c>
      <c r="F174" s="946">
        <v>778.39300000000003</v>
      </c>
      <c r="G174" s="1237">
        <v>29200</v>
      </c>
      <c r="H174" s="1149">
        <f t="shared" si="160"/>
        <v>22729075.600000001</v>
      </c>
      <c r="I174" s="374">
        <f>H174/'REKAP TOTAL'!F44</f>
        <v>1.8693071456478802E-3</v>
      </c>
      <c r="J174" s="1326">
        <v>0</v>
      </c>
      <c r="K174" s="1327">
        <v>0</v>
      </c>
      <c r="L174" s="1328">
        <v>0</v>
      </c>
      <c r="M174" s="1329">
        <f t="shared" si="161"/>
        <v>0</v>
      </c>
      <c r="N174" s="1330">
        <f t="shared" si="162"/>
        <v>0</v>
      </c>
      <c r="O174" s="1331">
        <f t="shared" si="163"/>
        <v>0</v>
      </c>
      <c r="P174" s="1332">
        <f t="shared" si="164"/>
        <v>0</v>
      </c>
      <c r="Q174" s="1333">
        <f t="shared" si="165"/>
        <v>0</v>
      </c>
      <c r="R174" s="1333">
        <f t="shared" si="166"/>
        <v>0</v>
      </c>
      <c r="S174" s="1458"/>
    </row>
    <row r="175" spans="2:19" s="1128" customFormat="1" ht="17.25" customHeight="1">
      <c r="B175" s="1147"/>
      <c r="C175" s="2028" t="s">
        <v>250</v>
      </c>
      <c r="D175" s="944" t="s">
        <v>165</v>
      </c>
      <c r="E175" s="1087">
        <v>3864.2163999999998</v>
      </c>
      <c r="F175" s="946">
        <v>3248.4319999999998</v>
      </c>
      <c r="G175" s="1237">
        <v>32100</v>
      </c>
      <c r="H175" s="1149">
        <f t="shared" si="160"/>
        <v>104274667.2</v>
      </c>
      <c r="I175" s="374">
        <f>H175/'REKAP TOTAL'!F44</f>
        <v>8.5758604501722287E-3</v>
      </c>
      <c r="J175" s="1326">
        <v>0</v>
      </c>
      <c r="K175" s="1327">
        <v>0</v>
      </c>
      <c r="L175" s="1328">
        <v>0</v>
      </c>
      <c r="M175" s="1329">
        <f t="shared" si="161"/>
        <v>0</v>
      </c>
      <c r="N175" s="1330">
        <f t="shared" si="162"/>
        <v>0</v>
      </c>
      <c r="O175" s="1331">
        <f t="shared" si="163"/>
        <v>0</v>
      </c>
      <c r="P175" s="1332">
        <f t="shared" si="164"/>
        <v>0</v>
      </c>
      <c r="Q175" s="1333">
        <f t="shared" si="165"/>
        <v>0</v>
      </c>
      <c r="R175" s="1333">
        <f t="shared" si="166"/>
        <v>0</v>
      </c>
      <c r="S175" s="1458"/>
    </row>
    <row r="176" spans="2:19" s="1128" customFormat="1" ht="17.25" customHeight="1">
      <c r="B176" s="1147"/>
      <c r="C176" s="2028" t="s">
        <v>248</v>
      </c>
      <c r="D176" s="944" t="s">
        <v>165</v>
      </c>
      <c r="E176" s="1087">
        <v>36.19</v>
      </c>
      <c r="F176" s="946">
        <v>23.789000000000001</v>
      </c>
      <c r="G176" s="1237">
        <v>27500</v>
      </c>
      <c r="H176" s="1149">
        <f t="shared" si="160"/>
        <v>654197.5</v>
      </c>
      <c r="I176" s="374">
        <f>H176/'REKAP TOTAL'!F44</f>
        <v>5.3803158691371458E-5</v>
      </c>
      <c r="J176" s="1326">
        <v>0</v>
      </c>
      <c r="K176" s="1327">
        <v>0</v>
      </c>
      <c r="L176" s="1328">
        <v>0</v>
      </c>
      <c r="M176" s="1329">
        <f t="shared" si="161"/>
        <v>0</v>
      </c>
      <c r="N176" s="1330">
        <f t="shared" si="162"/>
        <v>0</v>
      </c>
      <c r="O176" s="1331">
        <f t="shared" si="163"/>
        <v>0</v>
      </c>
      <c r="P176" s="1332">
        <f t="shared" si="164"/>
        <v>0</v>
      </c>
      <c r="Q176" s="1333">
        <f t="shared" si="165"/>
        <v>0</v>
      </c>
      <c r="R176" s="1333">
        <f t="shared" si="166"/>
        <v>0</v>
      </c>
      <c r="S176" s="1458"/>
    </row>
    <row r="177" spans="2:19" s="1128" customFormat="1" ht="17.25" customHeight="1">
      <c r="B177" s="940">
        <v>2</v>
      </c>
      <c r="C177" s="2030" t="s">
        <v>275</v>
      </c>
      <c r="D177" s="944" t="s">
        <v>165</v>
      </c>
      <c r="E177" s="1087">
        <v>2692.0079999999998</v>
      </c>
      <c r="F177" s="946">
        <v>2507.9180000000001</v>
      </c>
      <c r="G177" s="1237">
        <v>28100</v>
      </c>
      <c r="H177" s="1149">
        <f t="shared" si="160"/>
        <v>70472495.799999997</v>
      </c>
      <c r="I177" s="374">
        <f>H177/'REKAP TOTAL'!F44</f>
        <v>5.7958687932992839E-3</v>
      </c>
      <c r="J177" s="1326">
        <v>0</v>
      </c>
      <c r="K177" s="1327">
        <v>0</v>
      </c>
      <c r="L177" s="1328">
        <v>0</v>
      </c>
      <c r="M177" s="1329">
        <f t="shared" si="161"/>
        <v>0</v>
      </c>
      <c r="N177" s="1330">
        <f t="shared" si="162"/>
        <v>0</v>
      </c>
      <c r="O177" s="1331">
        <f t="shared" si="163"/>
        <v>0</v>
      </c>
      <c r="P177" s="1332">
        <f t="shared" si="164"/>
        <v>0</v>
      </c>
      <c r="Q177" s="1333">
        <f t="shared" si="165"/>
        <v>0</v>
      </c>
      <c r="R177" s="1333">
        <f t="shared" si="166"/>
        <v>0</v>
      </c>
      <c r="S177" s="1458"/>
    </row>
    <row r="178" spans="2:19" s="1128" customFormat="1" ht="17.25" customHeight="1">
      <c r="B178" s="940">
        <v>3</v>
      </c>
      <c r="C178" s="2030" t="s">
        <v>257</v>
      </c>
      <c r="D178" s="944" t="s">
        <v>165</v>
      </c>
      <c r="E178" s="1087">
        <v>182.59039876</v>
      </c>
      <c r="F178" s="946">
        <v>182.59039876</v>
      </c>
      <c r="G178" s="1237">
        <v>28100</v>
      </c>
      <c r="H178" s="1149">
        <f t="shared" si="160"/>
        <v>5130790.2051560003</v>
      </c>
      <c r="I178" s="374">
        <f>H178/'REKAP TOTAL'!F44</f>
        <v>4.2197152942367194E-4</v>
      </c>
      <c r="J178" s="1326">
        <v>0</v>
      </c>
      <c r="K178" s="1327">
        <v>0</v>
      </c>
      <c r="L178" s="1328">
        <v>0</v>
      </c>
      <c r="M178" s="1329">
        <f t="shared" si="161"/>
        <v>0</v>
      </c>
      <c r="N178" s="1330">
        <f t="shared" si="162"/>
        <v>0</v>
      </c>
      <c r="O178" s="1331">
        <f t="shared" si="163"/>
        <v>0</v>
      </c>
      <c r="P178" s="1332">
        <f t="shared" si="164"/>
        <v>0</v>
      </c>
      <c r="Q178" s="1333">
        <f t="shared" si="165"/>
        <v>0</v>
      </c>
      <c r="R178" s="1333">
        <f t="shared" si="166"/>
        <v>0</v>
      </c>
      <c r="S178" s="1458"/>
    </row>
    <row r="179" spans="2:19" s="1128" customFormat="1" ht="17.25" customHeight="1">
      <c r="B179" s="940">
        <f t="shared" ref="B179:B181" si="167">B178+1</f>
        <v>4</v>
      </c>
      <c r="C179" s="2030" t="s">
        <v>276</v>
      </c>
      <c r="D179" s="944" t="s">
        <v>165</v>
      </c>
      <c r="E179" s="1087">
        <v>202.15365577</v>
      </c>
      <c r="F179" s="946">
        <v>202.15365577</v>
      </c>
      <c r="G179" s="1237">
        <v>28100</v>
      </c>
      <c r="H179" s="1149">
        <f t="shared" si="160"/>
        <v>5680517.7271370003</v>
      </c>
      <c r="I179" s="374">
        <f>H179/'REKAP TOTAL'!F44</f>
        <v>4.6718276471906532E-4</v>
      </c>
      <c r="J179" s="1326">
        <v>0</v>
      </c>
      <c r="K179" s="1327">
        <v>0</v>
      </c>
      <c r="L179" s="1328">
        <v>0</v>
      </c>
      <c r="M179" s="1329">
        <f t="shared" si="161"/>
        <v>0</v>
      </c>
      <c r="N179" s="1330">
        <f t="shared" si="162"/>
        <v>0</v>
      </c>
      <c r="O179" s="1331">
        <f t="shared" si="163"/>
        <v>0</v>
      </c>
      <c r="P179" s="1332">
        <f t="shared" si="164"/>
        <v>0</v>
      </c>
      <c r="Q179" s="1333">
        <f t="shared" si="165"/>
        <v>0</v>
      </c>
      <c r="R179" s="1333">
        <f t="shared" si="166"/>
        <v>0</v>
      </c>
      <c r="S179" s="1458"/>
    </row>
    <row r="180" spans="2:19" s="1128" customFormat="1" ht="17.25" customHeight="1">
      <c r="B180" s="940">
        <f t="shared" si="167"/>
        <v>5</v>
      </c>
      <c r="C180" s="2030" t="s">
        <v>259</v>
      </c>
      <c r="D180" s="944" t="s">
        <v>165</v>
      </c>
      <c r="E180" s="1087">
        <v>1308.5571430662501</v>
      </c>
      <c r="F180" s="946">
        <v>1308.5571430662501</v>
      </c>
      <c r="G180" s="1237">
        <v>28100</v>
      </c>
      <c r="H180" s="1149">
        <f t="shared" si="160"/>
        <v>36770455.720161602</v>
      </c>
      <c r="I180" s="374">
        <f>H180/'REKAP TOTAL'!F44</f>
        <v>3.0241122356259417E-3</v>
      </c>
      <c r="J180" s="1326">
        <v>0</v>
      </c>
      <c r="K180" s="1327">
        <v>0</v>
      </c>
      <c r="L180" s="1328">
        <v>0</v>
      </c>
      <c r="M180" s="1329">
        <f t="shared" si="161"/>
        <v>0</v>
      </c>
      <c r="N180" s="1330">
        <f t="shared" si="162"/>
        <v>0</v>
      </c>
      <c r="O180" s="1331">
        <f t="shared" si="163"/>
        <v>0</v>
      </c>
      <c r="P180" s="1332">
        <f t="shared" si="164"/>
        <v>0</v>
      </c>
      <c r="Q180" s="1333">
        <f t="shared" si="165"/>
        <v>0</v>
      </c>
      <c r="R180" s="1333">
        <f t="shared" si="166"/>
        <v>0</v>
      </c>
      <c r="S180" s="1458"/>
    </row>
    <row r="181" spans="2:19" s="1128" customFormat="1" ht="17.25" customHeight="1">
      <c r="B181" s="940">
        <f t="shared" si="167"/>
        <v>6</v>
      </c>
      <c r="C181" s="1151" t="s">
        <v>260</v>
      </c>
      <c r="D181" s="944"/>
      <c r="E181" s="1087"/>
      <c r="F181" s="1248"/>
      <c r="G181" s="1237"/>
      <c r="H181" s="1149">
        <f t="shared" si="160"/>
        <v>0</v>
      </c>
      <c r="I181" s="1149"/>
      <c r="J181" s="1244"/>
      <c r="K181" s="1244"/>
      <c r="L181" s="1082"/>
      <c r="M181" s="1455"/>
      <c r="N181" s="1244"/>
      <c r="O181" s="1456"/>
      <c r="P181" s="1457"/>
      <c r="Q181" s="1244"/>
      <c r="R181" s="1244"/>
      <c r="S181" s="1458"/>
    </row>
    <row r="182" spans="2:19" s="1128" customFormat="1" ht="17.25" customHeight="1">
      <c r="B182" s="940"/>
      <c r="C182" s="2028" t="s">
        <v>277</v>
      </c>
      <c r="D182" s="944" t="s">
        <v>262</v>
      </c>
      <c r="E182" s="1087">
        <v>138</v>
      </c>
      <c r="F182" s="946">
        <v>138</v>
      </c>
      <c r="G182" s="1202">
        <v>18600</v>
      </c>
      <c r="H182" s="1149">
        <f t="shared" si="160"/>
        <v>2566800</v>
      </c>
      <c r="I182" s="374">
        <f>H182/'REKAP TOTAL'!F44</f>
        <v>2.1110130767698174E-4</v>
      </c>
      <c r="J182" s="1326">
        <v>0</v>
      </c>
      <c r="K182" s="1327">
        <v>0</v>
      </c>
      <c r="L182" s="1328">
        <v>0</v>
      </c>
      <c r="M182" s="1329">
        <f t="shared" ref="M182:M186" si="168">+P182-J182</f>
        <v>0</v>
      </c>
      <c r="N182" s="1330">
        <f t="shared" ref="N182:N186" si="169">+Q182-K182</f>
        <v>0</v>
      </c>
      <c r="O182" s="1331">
        <f t="shared" ref="O182:O186" si="170">+R182-L182</f>
        <v>0</v>
      </c>
      <c r="P182" s="1332">
        <f t="shared" ref="P182:P186" si="171">+W182</f>
        <v>0</v>
      </c>
      <c r="Q182" s="1333">
        <f t="shared" ref="Q182:Q186" si="172">+P182/E182</f>
        <v>0</v>
      </c>
      <c r="R182" s="1333">
        <f t="shared" ref="R182:R186" si="173">+Q182*I182</f>
        <v>0</v>
      </c>
      <c r="S182" s="1458"/>
    </row>
    <row r="183" spans="2:19" s="1128" customFormat="1" ht="17.25" customHeight="1">
      <c r="B183" s="940"/>
      <c r="C183" s="2028" t="s">
        <v>278</v>
      </c>
      <c r="D183" s="944" t="s">
        <v>262</v>
      </c>
      <c r="E183" s="1087">
        <v>1050</v>
      </c>
      <c r="F183" s="946">
        <v>1050</v>
      </c>
      <c r="G183" s="1202">
        <v>28000</v>
      </c>
      <c r="H183" s="1149">
        <f t="shared" si="160"/>
        <v>29400000</v>
      </c>
      <c r="I183" s="374">
        <f>H183/'REKAP TOTAL'!F44</f>
        <v>2.4179439168237741E-3</v>
      </c>
      <c r="J183" s="1326">
        <v>0</v>
      </c>
      <c r="K183" s="1327">
        <v>0</v>
      </c>
      <c r="L183" s="1328">
        <v>0</v>
      </c>
      <c r="M183" s="1329">
        <f t="shared" si="168"/>
        <v>0</v>
      </c>
      <c r="N183" s="1330">
        <f t="shared" si="169"/>
        <v>0</v>
      </c>
      <c r="O183" s="1331">
        <f t="shared" si="170"/>
        <v>0</v>
      </c>
      <c r="P183" s="1332">
        <f t="shared" si="171"/>
        <v>0</v>
      </c>
      <c r="Q183" s="1333">
        <f t="shared" si="172"/>
        <v>0</v>
      </c>
      <c r="R183" s="1333">
        <f t="shared" si="173"/>
        <v>0</v>
      </c>
      <c r="S183" s="1458"/>
    </row>
    <row r="184" spans="2:19" s="1128" customFormat="1" ht="17.25" customHeight="1">
      <c r="B184" s="940"/>
      <c r="C184" s="2028" t="s">
        <v>265</v>
      </c>
      <c r="D184" s="944" t="s">
        <v>262</v>
      </c>
      <c r="E184" s="1087">
        <v>216</v>
      </c>
      <c r="F184" s="946">
        <v>216</v>
      </c>
      <c r="G184" s="1202">
        <v>12200</v>
      </c>
      <c r="H184" s="1149">
        <f t="shared" si="160"/>
        <v>2635200</v>
      </c>
      <c r="I184" s="374">
        <f>H184/'REKAP TOTAL'!F44</f>
        <v>2.167267282181636E-4</v>
      </c>
      <c r="J184" s="1326">
        <v>0</v>
      </c>
      <c r="K184" s="1327">
        <v>0</v>
      </c>
      <c r="L184" s="1328">
        <v>0</v>
      </c>
      <c r="M184" s="1329">
        <f t="shared" si="168"/>
        <v>0</v>
      </c>
      <c r="N184" s="1330">
        <f t="shared" si="169"/>
        <v>0</v>
      </c>
      <c r="O184" s="1331">
        <f t="shared" si="170"/>
        <v>0</v>
      </c>
      <c r="P184" s="1332">
        <f t="shared" si="171"/>
        <v>0</v>
      </c>
      <c r="Q184" s="1333">
        <f t="shared" si="172"/>
        <v>0</v>
      </c>
      <c r="R184" s="1333">
        <f t="shared" si="173"/>
        <v>0</v>
      </c>
      <c r="S184" s="1458"/>
    </row>
    <row r="185" spans="2:19" s="1128" customFormat="1" ht="17.25" customHeight="1">
      <c r="B185" s="940"/>
      <c r="C185" s="2028" t="s">
        <v>266</v>
      </c>
      <c r="D185" s="944" t="s">
        <v>262</v>
      </c>
      <c r="E185" s="1087">
        <v>20</v>
      </c>
      <c r="F185" s="946">
        <v>20</v>
      </c>
      <c r="G185" s="1202">
        <v>107700</v>
      </c>
      <c r="H185" s="1149">
        <f t="shared" si="160"/>
        <v>2154000</v>
      </c>
      <c r="I185" s="374">
        <f>H185/'REKAP TOTAL'!F44</f>
        <v>1.7715140125300712E-4</v>
      </c>
      <c r="J185" s="1326">
        <v>0</v>
      </c>
      <c r="K185" s="1327">
        <v>0</v>
      </c>
      <c r="L185" s="1328">
        <v>0</v>
      </c>
      <c r="M185" s="1329">
        <f t="shared" si="168"/>
        <v>0</v>
      </c>
      <c r="N185" s="1330">
        <f t="shared" si="169"/>
        <v>0</v>
      </c>
      <c r="O185" s="1331">
        <f t="shared" si="170"/>
        <v>0</v>
      </c>
      <c r="P185" s="1332">
        <f t="shared" si="171"/>
        <v>0</v>
      </c>
      <c r="Q185" s="1333">
        <f t="shared" si="172"/>
        <v>0</v>
      </c>
      <c r="R185" s="1333">
        <f t="shared" si="173"/>
        <v>0</v>
      </c>
      <c r="S185" s="1458"/>
    </row>
    <row r="186" spans="2:19" s="1128" customFormat="1" ht="17.25" customHeight="1">
      <c r="B186" s="940">
        <v>7</v>
      </c>
      <c r="C186" s="1151" t="s">
        <v>270</v>
      </c>
      <c r="D186" s="944" t="s">
        <v>165</v>
      </c>
      <c r="E186" s="1087">
        <v>11777.014287596299</v>
      </c>
      <c r="F186" s="946">
        <v>9920.5311975962504</v>
      </c>
      <c r="G186" s="1202">
        <v>3500</v>
      </c>
      <c r="H186" s="1149">
        <f t="shared" si="160"/>
        <v>34721859.191586897</v>
      </c>
      <c r="I186" s="374">
        <f>H186/'REKAP TOTAL'!F44</f>
        <v>2.8556295310581356E-3</v>
      </c>
      <c r="J186" s="1326">
        <v>0</v>
      </c>
      <c r="K186" s="1327">
        <v>0</v>
      </c>
      <c r="L186" s="1328">
        <v>0</v>
      </c>
      <c r="M186" s="1329">
        <f t="shared" si="168"/>
        <v>0</v>
      </c>
      <c r="N186" s="1330">
        <f t="shared" si="169"/>
        <v>0</v>
      </c>
      <c r="O186" s="1331">
        <f t="shared" si="170"/>
        <v>0</v>
      </c>
      <c r="P186" s="1332">
        <f t="shared" si="171"/>
        <v>0</v>
      </c>
      <c r="Q186" s="1333">
        <f t="shared" si="172"/>
        <v>0</v>
      </c>
      <c r="R186" s="1333">
        <f t="shared" si="173"/>
        <v>0</v>
      </c>
      <c r="S186" s="1458"/>
    </row>
    <row r="187" spans="2:19" s="1128" customFormat="1" ht="17.25" customHeight="1">
      <c r="B187" s="940"/>
      <c r="C187" s="2028" t="s">
        <v>271</v>
      </c>
      <c r="D187" s="944"/>
      <c r="E187" s="1087"/>
      <c r="F187" s="1148"/>
      <c r="G187" s="1149"/>
      <c r="H187" s="1149"/>
      <c r="I187" s="1149"/>
      <c r="J187" s="1244"/>
      <c r="K187" s="1244"/>
      <c r="L187" s="1082"/>
      <c r="M187" s="1455"/>
      <c r="N187" s="1244"/>
      <c r="O187" s="1456"/>
      <c r="P187" s="1457"/>
      <c r="Q187" s="1244"/>
      <c r="R187" s="1244"/>
      <c r="S187" s="1458"/>
    </row>
    <row r="188" spans="2:19" s="1128" customFormat="1" ht="17.25" customHeight="1">
      <c r="B188" s="940"/>
      <c r="C188" s="2028" t="s">
        <v>272</v>
      </c>
      <c r="D188" s="944"/>
      <c r="E188" s="1087"/>
      <c r="F188" s="1148"/>
      <c r="G188" s="1149"/>
      <c r="H188" s="1149"/>
      <c r="I188" s="1149"/>
      <c r="J188" s="1244"/>
      <c r="K188" s="1244"/>
      <c r="L188" s="1082"/>
      <c r="M188" s="1455"/>
      <c r="N188" s="1244"/>
      <c r="O188" s="1456"/>
      <c r="P188" s="1457"/>
      <c r="Q188" s="1244"/>
      <c r="R188" s="1244"/>
      <c r="S188" s="1458"/>
    </row>
    <row r="189" spans="2:19" s="1128" customFormat="1" ht="12" customHeight="1">
      <c r="B189" s="1030"/>
      <c r="C189" s="1469"/>
      <c r="D189" s="1032"/>
      <c r="E189" s="1168"/>
      <c r="F189" s="1169"/>
      <c r="G189" s="1170"/>
      <c r="H189" s="1170"/>
      <c r="I189" s="1170"/>
      <c r="J189" s="1336"/>
      <c r="K189" s="1336"/>
      <c r="L189" s="1337"/>
      <c r="M189" s="1338"/>
      <c r="N189" s="1336"/>
      <c r="O189" s="1339"/>
      <c r="P189" s="1340"/>
      <c r="Q189" s="1336"/>
      <c r="R189" s="1336"/>
      <c r="S189" s="1341"/>
    </row>
    <row r="190" spans="2:19" s="1128" customFormat="1" ht="22.5" customHeight="1">
      <c r="B190" s="978"/>
      <c r="C190" s="1421" t="s">
        <v>279</v>
      </c>
      <c r="D190" s="981"/>
      <c r="E190" s="1470"/>
      <c r="F190" s="1471"/>
      <c r="G190" s="1179"/>
      <c r="H190" s="1179">
        <f>SUM(H139:H188)</f>
        <v>2337235268.0818701</v>
      </c>
      <c r="I190" s="392">
        <f>H190/'REKAP TOTAL'!F44</f>
        <v>0.19222121764097078</v>
      </c>
      <c r="J190" s="1345"/>
      <c r="K190" s="1345"/>
      <c r="L190" s="1463">
        <f>SUM(L136:L189)</f>
        <v>0</v>
      </c>
      <c r="M190" s="1347"/>
      <c r="N190" s="1345"/>
      <c r="O190" s="1463">
        <f>SUM(O136:O189)</f>
        <v>0</v>
      </c>
      <c r="P190" s="1349"/>
      <c r="Q190" s="1345"/>
      <c r="R190" s="1463">
        <f>SUM(R136:R189)</f>
        <v>0</v>
      </c>
      <c r="S190" s="1350"/>
    </row>
    <row r="191" spans="2:19" s="1128" customFormat="1" ht="14.25" customHeight="1">
      <c r="B191" s="1304"/>
      <c r="C191" s="1047"/>
      <c r="D191" s="1047"/>
      <c r="E191" s="1187"/>
      <c r="F191" s="1188"/>
      <c r="G191" s="1352"/>
      <c r="H191" s="1352"/>
      <c r="I191" s="1352"/>
      <c r="J191" s="1353"/>
      <c r="K191" s="1353"/>
      <c r="L191" s="1354"/>
      <c r="M191" s="1355"/>
      <c r="N191" s="1353"/>
      <c r="O191" s="1356"/>
      <c r="P191" s="1357"/>
      <c r="Q191" s="1353"/>
      <c r="R191" s="1353"/>
      <c r="S191" s="1358"/>
    </row>
    <row r="192" spans="2:19" s="1128" customFormat="1">
      <c r="B192" s="1147" t="s">
        <v>171</v>
      </c>
      <c r="C192" s="1244" t="s">
        <v>280</v>
      </c>
      <c r="D192" s="944"/>
      <c r="E192" s="1087"/>
      <c r="F192" s="1148"/>
      <c r="G192" s="1149"/>
      <c r="H192" s="1149"/>
      <c r="I192" s="1149"/>
      <c r="J192" s="1244"/>
      <c r="K192" s="1244"/>
      <c r="L192" s="1082"/>
      <c r="M192" s="1455"/>
      <c r="N192" s="1244"/>
      <c r="O192" s="1456"/>
      <c r="P192" s="1457"/>
      <c r="Q192" s="1244"/>
      <c r="R192" s="1244"/>
      <c r="S192" s="1458"/>
    </row>
    <row r="193" spans="2:21" s="1125" customFormat="1" ht="10.5" customHeight="1">
      <c r="B193" s="940"/>
      <c r="C193" s="1151"/>
      <c r="D193" s="944"/>
      <c r="E193" s="1148"/>
      <c r="F193" s="1148"/>
      <c r="G193" s="1149"/>
      <c r="H193" s="1149"/>
      <c r="I193" s="1149"/>
      <c r="J193" s="1151"/>
      <c r="K193" s="1151"/>
      <c r="L193" s="1083"/>
      <c r="M193" s="1334"/>
      <c r="N193" s="1151"/>
      <c r="O193" s="1335"/>
      <c r="P193" s="1322"/>
      <c r="Q193" s="1151"/>
      <c r="R193" s="1151"/>
      <c r="S193" s="1323"/>
    </row>
    <row r="194" spans="2:21" s="1125" customFormat="1">
      <c r="B194" s="940"/>
      <c r="C194" s="1385" t="s">
        <v>281</v>
      </c>
      <c r="D194" s="944"/>
      <c r="E194" s="1148"/>
      <c r="F194" s="1148"/>
      <c r="G194" s="1149"/>
      <c r="H194" s="1149"/>
      <c r="I194" s="1149"/>
      <c r="J194" s="1151"/>
      <c r="K194" s="1151"/>
      <c r="L194" s="1083"/>
      <c r="M194" s="1334"/>
      <c r="N194" s="1151"/>
      <c r="O194" s="1335"/>
      <c r="P194" s="1322"/>
      <c r="Q194" s="1151"/>
      <c r="R194" s="1151"/>
      <c r="S194" s="1323"/>
    </row>
    <row r="195" spans="2:21" s="1125" customFormat="1" ht="41.4">
      <c r="B195" s="1238">
        <v>1</v>
      </c>
      <c r="C195" s="1472" t="s">
        <v>282</v>
      </c>
      <c r="D195" s="944" t="s">
        <v>220</v>
      </c>
      <c r="E195" s="1087">
        <v>1834.06</v>
      </c>
      <c r="F195" s="946">
        <v>1834.37</v>
      </c>
      <c r="G195" s="1202">
        <v>239300</v>
      </c>
      <c r="H195" s="1149">
        <f t="shared" ref="H195:H205" si="174">$F195*G195</f>
        <v>438964741</v>
      </c>
      <c r="I195" s="374">
        <f>H195/'REKAP TOTAL'!F44</f>
        <v>3.6101772966022912E-2</v>
      </c>
      <c r="J195" s="1326">
        <v>0</v>
      </c>
      <c r="K195" s="1327">
        <v>0</v>
      </c>
      <c r="L195" s="1328">
        <v>0</v>
      </c>
      <c r="M195" s="1329">
        <f t="shared" ref="M195:M202" si="175">+P195-J195</f>
        <v>0</v>
      </c>
      <c r="N195" s="1330">
        <f t="shared" ref="N195:N202" si="176">+Q195-K195</f>
        <v>0</v>
      </c>
      <c r="O195" s="1331">
        <f t="shared" ref="O195:O202" si="177">+R195-L195</f>
        <v>0</v>
      </c>
      <c r="P195" s="1332">
        <f t="shared" ref="P195:P202" si="178">+W195</f>
        <v>0</v>
      </c>
      <c r="Q195" s="1333">
        <f t="shared" ref="Q195:Q202" si="179">+P195/E195</f>
        <v>0</v>
      </c>
      <c r="R195" s="1333">
        <f t="shared" ref="R195:R202" si="180">+Q195*I195</f>
        <v>0</v>
      </c>
      <c r="S195" s="1323"/>
    </row>
    <row r="196" spans="2:21" s="1125" customFormat="1" ht="16.2">
      <c r="B196" s="940">
        <v>2</v>
      </c>
      <c r="C196" s="1151" t="s">
        <v>283</v>
      </c>
      <c r="D196" s="944" t="s">
        <v>220</v>
      </c>
      <c r="E196" s="1087">
        <v>1834.06</v>
      </c>
      <c r="F196" s="946">
        <v>1834.37</v>
      </c>
      <c r="G196" s="1202">
        <v>96000</v>
      </c>
      <c r="H196" s="1149">
        <f t="shared" si="174"/>
        <v>176099520</v>
      </c>
      <c r="I196" s="374">
        <f>H196/'REKAP TOTAL'!F44</f>
        <v>1.4482951127196822E-2</v>
      </c>
      <c r="J196" s="1326">
        <v>0</v>
      </c>
      <c r="K196" s="1327">
        <v>0</v>
      </c>
      <c r="L196" s="1328">
        <v>0</v>
      </c>
      <c r="M196" s="1329">
        <f t="shared" si="175"/>
        <v>0</v>
      </c>
      <c r="N196" s="1330">
        <f t="shared" si="176"/>
        <v>0</v>
      </c>
      <c r="O196" s="1331">
        <f t="shared" si="177"/>
        <v>0</v>
      </c>
      <c r="P196" s="1332">
        <f t="shared" si="178"/>
        <v>0</v>
      </c>
      <c r="Q196" s="1333">
        <f t="shared" si="179"/>
        <v>0</v>
      </c>
      <c r="R196" s="1333">
        <f t="shared" si="180"/>
        <v>0</v>
      </c>
      <c r="S196" s="1323"/>
    </row>
    <row r="197" spans="2:21" s="1125" customFormat="1" ht="27.6">
      <c r="B197" s="940">
        <f>B196+1</f>
        <v>3</v>
      </c>
      <c r="C197" s="1444" t="s">
        <v>284</v>
      </c>
      <c r="D197" s="944" t="s">
        <v>88</v>
      </c>
      <c r="E197" s="1087">
        <v>129.04900000000001</v>
      </c>
      <c r="F197" s="946">
        <v>131.76</v>
      </c>
      <c r="G197" s="1202">
        <v>1037000</v>
      </c>
      <c r="H197" s="1149">
        <f t="shared" si="174"/>
        <v>136635120</v>
      </c>
      <c r="I197" s="374">
        <f>H197/'REKAP TOTAL'!F44</f>
        <v>1.1237280858111782E-2</v>
      </c>
      <c r="J197" s="1326">
        <v>0</v>
      </c>
      <c r="K197" s="1327">
        <v>0</v>
      </c>
      <c r="L197" s="1328">
        <v>0</v>
      </c>
      <c r="M197" s="1329">
        <f t="shared" si="175"/>
        <v>0</v>
      </c>
      <c r="N197" s="1330">
        <f t="shared" si="176"/>
        <v>0</v>
      </c>
      <c r="O197" s="1331">
        <f t="shared" si="177"/>
        <v>0</v>
      </c>
      <c r="P197" s="1332">
        <f t="shared" si="178"/>
        <v>0</v>
      </c>
      <c r="Q197" s="1333">
        <f t="shared" si="179"/>
        <v>0</v>
      </c>
      <c r="R197" s="1333">
        <f t="shared" si="180"/>
        <v>0</v>
      </c>
      <c r="S197" s="1323"/>
    </row>
    <row r="198" spans="2:21" s="1125" customFormat="1">
      <c r="B198" s="940">
        <f>B197+1</f>
        <v>4</v>
      </c>
      <c r="C198" s="1151" t="s">
        <v>285</v>
      </c>
      <c r="D198" s="944"/>
      <c r="E198" s="1148"/>
      <c r="F198" s="946"/>
      <c r="G198" s="1149"/>
      <c r="H198" s="1149"/>
      <c r="I198" s="374"/>
      <c r="J198" s="1326"/>
      <c r="K198" s="1327"/>
      <c r="L198" s="1328"/>
      <c r="M198" s="1329"/>
      <c r="N198" s="1330"/>
      <c r="O198" s="1331"/>
      <c r="P198" s="1332"/>
      <c r="Q198" s="1333"/>
      <c r="R198" s="1333"/>
      <c r="S198" s="1323"/>
    </row>
    <row r="199" spans="2:21" s="1125" customFormat="1">
      <c r="B199" s="940"/>
      <c r="C199" s="2028" t="s">
        <v>286</v>
      </c>
      <c r="D199" s="944" t="s">
        <v>88</v>
      </c>
      <c r="E199" s="1087">
        <v>129.04900000000001</v>
      </c>
      <c r="F199" s="946">
        <v>131.76</v>
      </c>
      <c r="G199" s="1237">
        <v>76300</v>
      </c>
      <c r="H199" s="1149">
        <f t="shared" si="174"/>
        <v>10053288</v>
      </c>
      <c r="I199" s="374">
        <f>H199/'REKAP TOTAL'!F44</f>
        <v>8.2681246815229407E-4</v>
      </c>
      <c r="J199" s="1326">
        <v>0</v>
      </c>
      <c r="K199" s="1327">
        <v>0</v>
      </c>
      <c r="L199" s="1328">
        <v>0</v>
      </c>
      <c r="M199" s="1329">
        <f t="shared" si="175"/>
        <v>0</v>
      </c>
      <c r="N199" s="1330">
        <f t="shared" si="176"/>
        <v>0</v>
      </c>
      <c r="O199" s="1331">
        <f t="shared" si="177"/>
        <v>0</v>
      </c>
      <c r="P199" s="1332">
        <f t="shared" si="178"/>
        <v>0</v>
      </c>
      <c r="Q199" s="1333">
        <f t="shared" si="179"/>
        <v>0</v>
      </c>
      <c r="R199" s="1333">
        <f t="shared" si="180"/>
        <v>0</v>
      </c>
      <c r="S199" s="1323"/>
    </row>
    <row r="200" spans="2:21" s="1125" customFormat="1">
      <c r="B200" s="940"/>
      <c r="C200" s="2028" t="s">
        <v>287</v>
      </c>
      <c r="D200" s="944" t="s">
        <v>88</v>
      </c>
      <c r="E200" s="1087">
        <v>129.04900000000001</v>
      </c>
      <c r="F200" s="946">
        <v>131.76</v>
      </c>
      <c r="G200" s="1237">
        <v>92600</v>
      </c>
      <c r="H200" s="1149">
        <f t="shared" si="174"/>
        <v>12200976</v>
      </c>
      <c r="I200" s="374">
        <f>H200/'REKAP TOTAL'!F44</f>
        <v>1.0034447516500975E-3</v>
      </c>
      <c r="J200" s="1326">
        <v>0</v>
      </c>
      <c r="K200" s="1327">
        <v>0</v>
      </c>
      <c r="L200" s="1328">
        <v>0</v>
      </c>
      <c r="M200" s="1329">
        <f t="shared" si="175"/>
        <v>0</v>
      </c>
      <c r="N200" s="1330">
        <f t="shared" si="176"/>
        <v>0</v>
      </c>
      <c r="O200" s="1331">
        <f t="shared" si="177"/>
        <v>0</v>
      </c>
      <c r="P200" s="1332">
        <f t="shared" si="178"/>
        <v>0</v>
      </c>
      <c r="Q200" s="1333">
        <f t="shared" si="179"/>
        <v>0</v>
      </c>
      <c r="R200" s="1333">
        <f t="shared" si="180"/>
        <v>0</v>
      </c>
      <c r="S200" s="1323"/>
    </row>
    <row r="201" spans="2:21" s="1125" customFormat="1">
      <c r="B201" s="940"/>
      <c r="C201" s="2028" t="s">
        <v>288</v>
      </c>
      <c r="D201" s="944" t="s">
        <v>88</v>
      </c>
      <c r="E201" s="1087">
        <v>165.16</v>
      </c>
      <c r="F201" s="946">
        <v>190.78700000000001</v>
      </c>
      <c r="G201" s="1237">
        <v>92600</v>
      </c>
      <c r="H201" s="1149">
        <f t="shared" si="174"/>
        <v>17666876.199999999</v>
      </c>
      <c r="I201" s="374">
        <f>H201/'REKAP TOTAL'!F44</f>
        <v>1.4529767291519969E-3</v>
      </c>
      <c r="J201" s="1326">
        <v>0</v>
      </c>
      <c r="K201" s="1327">
        <v>0</v>
      </c>
      <c r="L201" s="1328">
        <v>0</v>
      </c>
      <c r="M201" s="1329">
        <f t="shared" si="175"/>
        <v>0</v>
      </c>
      <c r="N201" s="1330">
        <f t="shared" si="176"/>
        <v>0</v>
      </c>
      <c r="O201" s="1331">
        <f t="shared" si="177"/>
        <v>0</v>
      </c>
      <c r="P201" s="1332">
        <f t="shared" si="178"/>
        <v>0</v>
      </c>
      <c r="Q201" s="1333">
        <f t="shared" si="179"/>
        <v>0</v>
      </c>
      <c r="R201" s="1333">
        <f t="shared" si="180"/>
        <v>0</v>
      </c>
      <c r="S201" s="1323"/>
    </row>
    <row r="202" spans="2:21" s="1125" customFormat="1">
      <c r="B202" s="940"/>
      <c r="C202" s="2028" t="s">
        <v>289</v>
      </c>
      <c r="D202" s="944" t="s">
        <v>88</v>
      </c>
      <c r="E202" s="1087">
        <v>63.2</v>
      </c>
      <c r="F202" s="946">
        <v>65.88</v>
      </c>
      <c r="G202" s="1237">
        <v>112500</v>
      </c>
      <c r="H202" s="1149">
        <f t="shared" si="174"/>
        <v>7411500</v>
      </c>
      <c r="I202" s="374">
        <f>H202/'REKAP TOTAL'!F44</f>
        <v>6.0954392311358507E-4</v>
      </c>
      <c r="J202" s="1326">
        <v>0</v>
      </c>
      <c r="K202" s="1327">
        <v>0</v>
      </c>
      <c r="L202" s="1328">
        <v>0</v>
      </c>
      <c r="M202" s="1329">
        <f t="shared" si="175"/>
        <v>0</v>
      </c>
      <c r="N202" s="1330">
        <f t="shared" si="176"/>
        <v>0</v>
      </c>
      <c r="O202" s="1331">
        <f t="shared" si="177"/>
        <v>0</v>
      </c>
      <c r="P202" s="1332">
        <f t="shared" si="178"/>
        <v>0</v>
      </c>
      <c r="Q202" s="1333">
        <f t="shared" si="179"/>
        <v>0</v>
      </c>
      <c r="R202" s="1333">
        <f t="shared" si="180"/>
        <v>0</v>
      </c>
      <c r="S202" s="1323"/>
    </row>
    <row r="203" spans="2:21" s="1270" customFormat="1">
      <c r="B203" s="1473">
        <v>5</v>
      </c>
      <c r="C203" s="1474" t="s">
        <v>290</v>
      </c>
      <c r="D203" s="1475" t="s">
        <v>262</v>
      </c>
      <c r="E203" s="1476"/>
      <c r="F203" s="963"/>
      <c r="G203" s="1477"/>
      <c r="H203" s="1478" t="s">
        <v>291</v>
      </c>
      <c r="I203" s="1478"/>
      <c r="J203" s="1479"/>
      <c r="K203" s="1479"/>
      <c r="L203" s="1480"/>
      <c r="M203" s="1481"/>
      <c r="N203" s="1479"/>
      <c r="O203" s="1482"/>
      <c r="P203" s="1483"/>
      <c r="Q203" s="1479"/>
      <c r="R203" s="1479"/>
      <c r="S203" s="1484"/>
      <c r="T203" s="1485"/>
      <c r="U203" s="1485"/>
    </row>
    <row r="204" spans="2:21" s="1125" customFormat="1" ht="30" customHeight="1">
      <c r="B204" s="1238">
        <v>6</v>
      </c>
      <c r="C204" s="1486" t="s">
        <v>292</v>
      </c>
      <c r="D204" s="944" t="s">
        <v>220</v>
      </c>
      <c r="E204" s="1087">
        <v>422.827</v>
      </c>
      <c r="F204" s="946">
        <v>422.827</v>
      </c>
      <c r="G204" s="1202">
        <v>171500</v>
      </c>
      <c r="H204" s="1149">
        <f t="shared" si="174"/>
        <v>72514830.5</v>
      </c>
      <c r="I204" s="374">
        <f>H204/'REKAP TOTAL'!F44</f>
        <v>5.9638365063599342E-3</v>
      </c>
      <c r="J204" s="1326">
        <v>0</v>
      </c>
      <c r="K204" s="1327">
        <v>0</v>
      </c>
      <c r="L204" s="1328">
        <v>0</v>
      </c>
      <c r="M204" s="1329">
        <f t="shared" ref="M204:M205" si="181">+P204-J204</f>
        <v>0</v>
      </c>
      <c r="N204" s="1330">
        <f t="shared" ref="N204:N205" si="182">+Q204-K204</f>
        <v>0</v>
      </c>
      <c r="O204" s="1331">
        <f t="shared" ref="O204:O205" si="183">+R204-L204</f>
        <v>0</v>
      </c>
      <c r="P204" s="1332">
        <f t="shared" ref="P204:P205" si="184">+W204</f>
        <v>0</v>
      </c>
      <c r="Q204" s="1333">
        <f t="shared" ref="Q204:Q205" si="185">+P204/E204</f>
        <v>0</v>
      </c>
      <c r="R204" s="1333">
        <f t="shared" ref="R204:R205" si="186">+Q204*I204</f>
        <v>0</v>
      </c>
      <c r="S204" s="1323"/>
    </row>
    <row r="205" spans="2:21" s="1126" customFormat="1" ht="30" customHeight="1">
      <c r="B205" s="1487">
        <v>7</v>
      </c>
      <c r="C205" s="1488" t="s">
        <v>293</v>
      </c>
      <c r="D205" s="961" t="s">
        <v>70</v>
      </c>
      <c r="E205" s="1158">
        <v>1</v>
      </c>
      <c r="F205" s="963">
        <v>1</v>
      </c>
      <c r="G205" s="1489">
        <v>13533700</v>
      </c>
      <c r="H205" s="1160">
        <f t="shared" si="174"/>
        <v>13533700</v>
      </c>
      <c r="I205" s="374">
        <f>H205/'REKAP TOTAL'!F44</f>
        <v>1.1130519587455071E-3</v>
      </c>
      <c r="J205" s="1326">
        <v>0</v>
      </c>
      <c r="K205" s="1327">
        <v>0</v>
      </c>
      <c r="L205" s="1328">
        <v>0</v>
      </c>
      <c r="M205" s="1329">
        <f t="shared" si="181"/>
        <v>0</v>
      </c>
      <c r="N205" s="1330">
        <f t="shared" si="182"/>
        <v>0</v>
      </c>
      <c r="O205" s="1331">
        <f t="shared" si="183"/>
        <v>0</v>
      </c>
      <c r="P205" s="1332">
        <f t="shared" si="184"/>
        <v>0</v>
      </c>
      <c r="Q205" s="1333">
        <f t="shared" si="185"/>
        <v>0</v>
      </c>
      <c r="R205" s="1333">
        <f t="shared" si="186"/>
        <v>0</v>
      </c>
      <c r="S205" s="1323"/>
      <c r="T205" s="1125"/>
      <c r="U205" s="1125"/>
    </row>
    <row r="206" spans="2:21" s="1125" customFormat="1" ht="15" customHeight="1">
      <c r="B206" s="1238"/>
      <c r="C206" s="1486"/>
      <c r="D206" s="944"/>
      <c r="E206" s="1087"/>
      <c r="F206" s="946"/>
      <c r="G206" s="1202"/>
      <c r="H206" s="1149"/>
      <c r="I206" s="1149"/>
      <c r="J206" s="1151"/>
      <c r="K206" s="1151"/>
      <c r="L206" s="1083"/>
      <c r="M206" s="1334"/>
      <c r="N206" s="1151"/>
      <c r="O206" s="1335"/>
      <c r="P206" s="1322"/>
      <c r="Q206" s="1151"/>
      <c r="R206" s="1151"/>
      <c r="S206" s="1323"/>
    </row>
    <row r="207" spans="2:21" s="1125" customFormat="1">
      <c r="B207" s="940"/>
      <c r="C207" s="1385" t="s">
        <v>273</v>
      </c>
      <c r="D207" s="944"/>
      <c r="E207" s="1148"/>
      <c r="F207" s="1148"/>
      <c r="G207" s="1149"/>
      <c r="H207" s="1149"/>
      <c r="I207" s="1149"/>
      <c r="J207" s="1151"/>
      <c r="K207" s="1151"/>
      <c r="L207" s="1083"/>
      <c r="M207" s="1334"/>
      <c r="N207" s="1151"/>
      <c r="O207" s="1335"/>
      <c r="P207" s="1322"/>
      <c r="Q207" s="1151"/>
      <c r="R207" s="1151"/>
      <c r="S207" s="1323"/>
    </row>
    <row r="208" spans="2:21" s="1125" customFormat="1" ht="41.4">
      <c r="B208" s="1238">
        <v>1</v>
      </c>
      <c r="C208" s="1488" t="s">
        <v>294</v>
      </c>
      <c r="D208" s="944" t="s">
        <v>220</v>
      </c>
      <c r="E208" s="1087">
        <v>6</v>
      </c>
      <c r="F208" s="946">
        <v>274.05</v>
      </c>
      <c r="G208" s="1202">
        <v>239300</v>
      </c>
      <c r="H208" s="1149">
        <f t="shared" ref="H208:H212" si="187">$F208*G208</f>
        <v>65580165</v>
      </c>
      <c r="I208" s="374">
        <f>H208/'REKAP TOTAL'!F44</f>
        <v>5.393508878437054E-3</v>
      </c>
      <c r="J208" s="1326">
        <v>0</v>
      </c>
      <c r="K208" s="1327">
        <v>0</v>
      </c>
      <c r="L208" s="1328">
        <v>0</v>
      </c>
      <c r="M208" s="1329">
        <f t="shared" ref="M208" si="188">+P208-J208</f>
        <v>0</v>
      </c>
      <c r="N208" s="1330">
        <f t="shared" ref="N208" si="189">+Q208-K208</f>
        <v>0</v>
      </c>
      <c r="O208" s="1331">
        <f t="shared" ref="O208" si="190">+R208-L208</f>
        <v>0</v>
      </c>
      <c r="P208" s="1332">
        <f t="shared" ref="P208" si="191">+W208</f>
        <v>0</v>
      </c>
      <c r="Q208" s="1333">
        <f t="shared" ref="Q208" si="192">+P208/E208</f>
        <v>0</v>
      </c>
      <c r="R208" s="1333">
        <f t="shared" ref="R208" si="193">+Q208*I208</f>
        <v>0</v>
      </c>
      <c r="S208" s="1323"/>
    </row>
    <row r="209" spans="2:21" s="1271" customFormat="1">
      <c r="B209" s="1490">
        <f>B208+1</f>
        <v>2</v>
      </c>
      <c r="C209" s="1491" t="s">
        <v>285</v>
      </c>
      <c r="D209" s="1492"/>
      <c r="E209" s="1493"/>
      <c r="F209" s="1494"/>
      <c r="G209" s="1495"/>
      <c r="H209" s="1149">
        <f t="shared" si="187"/>
        <v>0</v>
      </c>
      <c r="I209" s="1149"/>
      <c r="J209" s="1151"/>
      <c r="K209" s="1151"/>
      <c r="L209" s="1083"/>
      <c r="M209" s="1334"/>
      <c r="N209" s="1151"/>
      <c r="O209" s="1335"/>
      <c r="P209" s="1322"/>
      <c r="Q209" s="1151"/>
      <c r="R209" s="1151"/>
      <c r="S209" s="1323"/>
      <c r="T209" s="1125"/>
      <c r="U209" s="1125"/>
    </row>
    <row r="210" spans="2:21" s="1271" customFormat="1">
      <c r="B210" s="1490"/>
      <c r="C210" s="2035" t="s">
        <v>295</v>
      </c>
      <c r="D210" s="1492" t="s">
        <v>88</v>
      </c>
      <c r="E210" s="1496">
        <v>6</v>
      </c>
      <c r="F210" s="1494">
        <v>6</v>
      </c>
      <c r="G210" s="1497">
        <v>112500</v>
      </c>
      <c r="H210" s="1149">
        <f t="shared" si="187"/>
        <v>675000</v>
      </c>
      <c r="I210" s="374">
        <f>H210/'REKAP TOTAL'!F44</f>
        <v>5.5514018498505019E-5</v>
      </c>
      <c r="J210" s="1326">
        <v>0</v>
      </c>
      <c r="K210" s="1327">
        <v>0</v>
      </c>
      <c r="L210" s="1328">
        <v>0</v>
      </c>
      <c r="M210" s="1329">
        <f t="shared" ref="M210:M212" si="194">+P210-J210</f>
        <v>0</v>
      </c>
      <c r="N210" s="1330">
        <f t="shared" ref="N210:N212" si="195">+Q210-K210</f>
        <v>0</v>
      </c>
      <c r="O210" s="1331">
        <f t="shared" ref="O210:O212" si="196">+R210-L210</f>
        <v>0</v>
      </c>
      <c r="P210" s="1332">
        <f t="shared" ref="P210:P212" si="197">+W210</f>
        <v>0</v>
      </c>
      <c r="Q210" s="1333">
        <f t="shared" ref="Q210:Q212" si="198">+P210/E210</f>
        <v>0</v>
      </c>
      <c r="R210" s="1333">
        <f t="shared" ref="R210:R212" si="199">+Q210*I210</f>
        <v>0</v>
      </c>
      <c r="S210" s="1323"/>
      <c r="T210" s="1125"/>
      <c r="U210" s="1125"/>
    </row>
    <row r="211" spans="2:21" s="1271" customFormat="1">
      <c r="B211" s="1490"/>
      <c r="C211" s="2035" t="s">
        <v>296</v>
      </c>
      <c r="D211" s="1492" t="s">
        <v>88</v>
      </c>
      <c r="E211" s="1496">
        <v>4.2</v>
      </c>
      <c r="F211" s="1494">
        <v>4.2</v>
      </c>
      <c r="G211" s="1497">
        <v>76300</v>
      </c>
      <c r="H211" s="1149">
        <f t="shared" si="187"/>
        <v>320460</v>
      </c>
      <c r="I211" s="374">
        <f>H211/'REKAP TOTAL'!F44</f>
        <v>2.6355588693379137E-5</v>
      </c>
      <c r="J211" s="1326">
        <v>0</v>
      </c>
      <c r="K211" s="1327">
        <v>0</v>
      </c>
      <c r="L211" s="1328">
        <v>0</v>
      </c>
      <c r="M211" s="1329">
        <f t="shared" si="194"/>
        <v>0</v>
      </c>
      <c r="N211" s="1330">
        <f t="shared" si="195"/>
        <v>0</v>
      </c>
      <c r="O211" s="1331">
        <f t="shared" si="196"/>
        <v>0</v>
      </c>
      <c r="P211" s="1332">
        <f t="shared" si="197"/>
        <v>0</v>
      </c>
      <c r="Q211" s="1333">
        <f t="shared" si="198"/>
        <v>0</v>
      </c>
      <c r="R211" s="1333">
        <f t="shared" si="199"/>
        <v>0</v>
      </c>
      <c r="S211" s="1323"/>
      <c r="T211" s="1125"/>
      <c r="U211" s="1125"/>
    </row>
    <row r="212" spans="2:21" s="1271" customFormat="1">
      <c r="B212" s="1490"/>
      <c r="C212" s="2035" t="s">
        <v>297</v>
      </c>
      <c r="D212" s="1492" t="s">
        <v>88</v>
      </c>
      <c r="E212" s="1496">
        <v>139</v>
      </c>
      <c r="F212" s="1494">
        <v>139</v>
      </c>
      <c r="G212" s="1497">
        <v>92600</v>
      </c>
      <c r="H212" s="1149">
        <f t="shared" si="187"/>
        <v>12871400</v>
      </c>
      <c r="I212" s="374">
        <f>H212/'REKAP TOTAL'!F44</f>
        <v>1.0585824262246777E-3</v>
      </c>
      <c r="J212" s="1326">
        <v>0</v>
      </c>
      <c r="K212" s="1327">
        <v>0</v>
      </c>
      <c r="L212" s="1328">
        <v>0</v>
      </c>
      <c r="M212" s="1329">
        <f t="shared" si="194"/>
        <v>0</v>
      </c>
      <c r="N212" s="1330">
        <f t="shared" si="195"/>
        <v>0</v>
      </c>
      <c r="O212" s="1331">
        <f t="shared" si="196"/>
        <v>0</v>
      </c>
      <c r="P212" s="1332">
        <f t="shared" si="197"/>
        <v>0</v>
      </c>
      <c r="Q212" s="1333">
        <f t="shared" si="198"/>
        <v>0</v>
      </c>
      <c r="R212" s="1333">
        <f t="shared" si="199"/>
        <v>0</v>
      </c>
      <c r="S212" s="1323"/>
      <c r="T212" s="1125"/>
      <c r="U212" s="1125"/>
    </row>
    <row r="213" spans="2:21" s="1125" customFormat="1" ht="12" customHeight="1">
      <c r="B213" s="1498"/>
      <c r="C213" s="1469"/>
      <c r="D213" s="1499"/>
      <c r="E213" s="1500"/>
      <c r="F213" s="1501"/>
      <c r="G213" s="1414"/>
      <c r="H213" s="1170"/>
      <c r="I213" s="374"/>
      <c r="J213" s="1174"/>
      <c r="K213" s="1174"/>
      <c r="L213" s="1175"/>
      <c r="M213" s="1447"/>
      <c r="N213" s="1174"/>
      <c r="O213" s="1448"/>
      <c r="P213" s="1449"/>
      <c r="Q213" s="1174"/>
      <c r="R213" s="1174"/>
      <c r="S213" s="1450"/>
    </row>
    <row r="214" spans="2:21" s="1128" customFormat="1">
      <c r="B214" s="978"/>
      <c r="C214" s="1421" t="s">
        <v>298</v>
      </c>
      <c r="D214" s="981"/>
      <c r="E214" s="1470"/>
      <c r="F214" s="1471"/>
      <c r="G214" s="1179"/>
      <c r="H214" s="1179">
        <f>SUM(H195:H213)</f>
        <v>964527576.70000005</v>
      </c>
      <c r="I214" s="392">
        <f>H214/'REKAP TOTAL'!F44</f>
        <v>7.9325632200358542E-2</v>
      </c>
      <c r="J214" s="1345"/>
      <c r="K214" s="1345"/>
      <c r="L214" s="1463">
        <f>SUM(L191:L213)</f>
        <v>0</v>
      </c>
      <c r="M214" s="1347"/>
      <c r="N214" s="1345"/>
      <c r="O214" s="1463">
        <f>SUM(O191:O213)</f>
        <v>0</v>
      </c>
      <c r="P214" s="1349"/>
      <c r="Q214" s="1345"/>
      <c r="R214" s="1463">
        <f>SUM(R191:R213)</f>
        <v>0</v>
      </c>
      <c r="S214" s="1350"/>
    </row>
    <row r="215" spans="2:21" s="1125" customFormat="1">
      <c r="B215" s="1304"/>
      <c r="C215" s="1047"/>
      <c r="D215" s="1047"/>
      <c r="E215" s="1187"/>
      <c r="F215" s="1188"/>
      <c r="G215" s="1352"/>
      <c r="H215" s="1352"/>
      <c r="I215" s="1352"/>
      <c r="J215" s="1193"/>
      <c r="K215" s="1193"/>
      <c r="L215" s="1194"/>
      <c r="M215" s="1502"/>
      <c r="N215" s="1193"/>
      <c r="O215" s="1503"/>
      <c r="P215" s="1504"/>
      <c r="Q215" s="1193"/>
      <c r="R215" s="1193"/>
      <c r="S215" s="1505"/>
    </row>
    <row r="216" spans="2:21" s="1125" customFormat="1">
      <c r="B216" s="1147" t="s">
        <v>22</v>
      </c>
      <c r="C216" s="1244" t="s">
        <v>299</v>
      </c>
      <c r="D216" s="944"/>
      <c r="E216" s="1087"/>
      <c r="F216" s="1148"/>
      <c r="G216" s="1149"/>
      <c r="H216" s="1149"/>
      <c r="I216" s="1149"/>
      <c r="J216" s="1151"/>
      <c r="K216" s="1151"/>
      <c r="L216" s="1083"/>
      <c r="M216" s="1334"/>
      <c r="N216" s="1151"/>
      <c r="O216" s="1335"/>
      <c r="P216" s="1322"/>
      <c r="Q216" s="1151"/>
      <c r="R216" s="1151"/>
      <c r="S216" s="1323"/>
    </row>
    <row r="217" spans="2:21" s="1125" customFormat="1">
      <c r="B217" s="1147"/>
      <c r="C217" s="1244"/>
      <c r="D217" s="944"/>
      <c r="E217" s="1087"/>
      <c r="F217" s="1148"/>
      <c r="G217" s="1149"/>
      <c r="H217" s="1149"/>
      <c r="I217" s="1149"/>
      <c r="J217" s="1151"/>
      <c r="K217" s="1151"/>
      <c r="L217" s="1083"/>
      <c r="M217" s="1334"/>
      <c r="N217" s="1151"/>
      <c r="O217" s="1335"/>
      <c r="P217" s="1322"/>
      <c r="Q217" s="1151"/>
      <c r="R217" s="1151"/>
      <c r="S217" s="1323"/>
    </row>
    <row r="218" spans="2:21" s="1125" customFormat="1">
      <c r="B218" s="940">
        <v>1</v>
      </c>
      <c r="C218" s="1389" t="s">
        <v>300</v>
      </c>
      <c r="D218" s="944"/>
      <c r="E218" s="1087"/>
      <c r="F218" s="1148"/>
      <c r="G218" s="1149"/>
      <c r="H218" s="1149"/>
      <c r="I218" s="1149"/>
      <c r="J218" s="1151"/>
      <c r="K218" s="1151"/>
      <c r="L218" s="1083"/>
      <c r="M218" s="1334"/>
      <c r="N218" s="1151"/>
      <c r="O218" s="1335"/>
      <c r="P218" s="1322"/>
      <c r="Q218" s="1151"/>
      <c r="R218" s="1151"/>
      <c r="S218" s="1323"/>
    </row>
    <row r="219" spans="2:21" s="1125" customFormat="1" ht="16.2">
      <c r="B219" s="957"/>
      <c r="C219" s="2029" t="s">
        <v>301</v>
      </c>
      <c r="D219" s="944" t="s">
        <v>220</v>
      </c>
      <c r="E219" s="1087">
        <v>26.855</v>
      </c>
      <c r="F219" s="946">
        <v>26.855</v>
      </c>
      <c r="G219" s="1202">
        <v>640800</v>
      </c>
      <c r="H219" s="1149">
        <f t="shared" ref="H219" si="200">$F219*G219</f>
        <v>17208684</v>
      </c>
      <c r="I219" s="374">
        <f>H219/'REKAP TOTAL'!F44</f>
        <v>1.4152936324606331E-3</v>
      </c>
      <c r="J219" s="1326">
        <v>0</v>
      </c>
      <c r="K219" s="1327">
        <v>0</v>
      </c>
      <c r="L219" s="1328">
        <v>0</v>
      </c>
      <c r="M219" s="1329">
        <f t="shared" ref="M219" si="201">+P219-J219</f>
        <v>0</v>
      </c>
      <c r="N219" s="1330">
        <f t="shared" ref="N219" si="202">+Q219-K219</f>
        <v>0</v>
      </c>
      <c r="O219" s="1331">
        <f t="shared" ref="O219" si="203">+R219-L219</f>
        <v>0</v>
      </c>
      <c r="P219" s="1332">
        <f t="shared" ref="P219" si="204">+W219</f>
        <v>0</v>
      </c>
      <c r="Q219" s="1333">
        <f t="shared" ref="Q219" si="205">+P219/E219</f>
        <v>0</v>
      </c>
      <c r="R219" s="1333">
        <f t="shared" ref="R219" si="206">+Q219*I219</f>
        <v>0</v>
      </c>
      <c r="S219" s="1323"/>
    </row>
    <row r="220" spans="2:21" s="1125" customFormat="1">
      <c r="B220" s="957"/>
      <c r="C220" s="1151"/>
      <c r="D220" s="944"/>
      <c r="E220" s="1087"/>
      <c r="F220" s="1148"/>
      <c r="G220" s="1149"/>
      <c r="H220" s="1149"/>
      <c r="I220" s="1149"/>
      <c r="J220" s="1151"/>
      <c r="K220" s="1151"/>
      <c r="L220" s="1083"/>
      <c r="M220" s="1334"/>
      <c r="N220" s="1151"/>
      <c r="O220" s="1335"/>
      <c r="P220" s="1322"/>
      <c r="Q220" s="1151"/>
      <c r="R220" s="1151"/>
      <c r="S220" s="1323"/>
    </row>
    <row r="221" spans="2:21">
      <c r="B221" s="978"/>
      <c r="C221" s="1421" t="s">
        <v>302</v>
      </c>
      <c r="D221" s="981"/>
      <c r="E221" s="982"/>
      <c r="F221" s="983"/>
      <c r="G221" s="984"/>
      <c r="H221" s="984">
        <f>SUM(H216:H220)</f>
        <v>17208684</v>
      </c>
      <c r="I221" s="392">
        <f>SUM(I219:I220)</f>
        <v>1.4152936324606331E-3</v>
      </c>
      <c r="J221" s="1372"/>
      <c r="K221" s="1373"/>
      <c r="L221" s="1506">
        <f>SUM(L219:L220)</f>
        <v>0</v>
      </c>
      <c r="M221" s="1375"/>
      <c r="N221" s="1376"/>
      <c r="O221" s="1507">
        <f>SUM(O219:O220)</f>
        <v>0</v>
      </c>
      <c r="P221" s="1378"/>
      <c r="Q221" s="987"/>
      <c r="R221" s="1507">
        <f>SUM(R219:R220)</f>
        <v>0</v>
      </c>
      <c r="S221" s="1042"/>
    </row>
    <row r="222" spans="2:21" s="1125" customFormat="1">
      <c r="B222" s="1147"/>
      <c r="C222" s="1386"/>
      <c r="D222" s="944"/>
      <c r="E222" s="1087"/>
      <c r="F222" s="1148"/>
      <c r="G222" s="1508"/>
      <c r="H222" s="1508">
        <f>SUM(H219:H220)</f>
        <v>17208684</v>
      </c>
      <c r="I222" s="374"/>
      <c r="J222" s="1326"/>
      <c r="K222" s="1327"/>
      <c r="L222" s="1328"/>
      <c r="M222" s="1329"/>
      <c r="N222" s="1330"/>
      <c r="O222" s="1331"/>
      <c r="P222" s="1332"/>
      <c r="Q222" s="1333"/>
      <c r="R222" s="1333"/>
      <c r="S222" s="1323"/>
    </row>
    <row r="223" spans="2:21">
      <c r="B223" s="940"/>
      <c r="C223" s="1151"/>
      <c r="D223" s="944"/>
      <c r="E223" s="945"/>
      <c r="F223" s="1020"/>
      <c r="G223" s="1021"/>
      <c r="H223" s="1021"/>
      <c r="I223" s="1021"/>
      <c r="J223" s="1360"/>
      <c r="K223" s="947"/>
      <c r="L223" s="1361"/>
      <c r="M223" s="1314"/>
      <c r="N223" s="1315"/>
      <c r="O223" s="1316"/>
      <c r="P223" s="1317"/>
      <c r="Q223" s="955"/>
      <c r="R223" s="955"/>
      <c r="S223" s="1024"/>
    </row>
    <row r="224" spans="2:21">
      <c r="B224" s="1147">
        <v>1</v>
      </c>
      <c r="C224" s="1385" t="s">
        <v>35</v>
      </c>
      <c r="D224" s="944"/>
      <c r="E224" s="1509"/>
      <c r="F224" s="1510"/>
      <c r="G224" s="1021"/>
      <c r="H224" s="1021"/>
      <c r="I224" s="1021"/>
      <c r="J224" s="1360"/>
      <c r="K224" s="947"/>
      <c r="L224" s="1361"/>
      <c r="M224" s="1314"/>
      <c r="N224" s="1315"/>
      <c r="O224" s="1316"/>
      <c r="P224" s="1317"/>
      <c r="Q224" s="955"/>
      <c r="R224" s="955"/>
      <c r="S224" s="1024"/>
    </row>
    <row r="225" spans="2:19">
      <c r="B225" s="1147"/>
      <c r="C225" s="1385"/>
      <c r="D225" s="944"/>
      <c r="E225" s="945"/>
      <c r="F225" s="1020"/>
      <c r="G225" s="1021"/>
      <c r="H225" s="1021"/>
      <c r="I225" s="1021"/>
      <c r="J225" s="1360"/>
      <c r="K225" s="947"/>
      <c r="L225" s="1361"/>
      <c r="M225" s="1314"/>
      <c r="N225" s="1315"/>
      <c r="O225" s="1316"/>
      <c r="P225" s="1317"/>
      <c r="Q225" s="955"/>
      <c r="R225" s="955"/>
      <c r="S225" s="1024"/>
    </row>
    <row r="226" spans="2:19">
      <c r="B226" s="1147" t="s">
        <v>32</v>
      </c>
      <c r="C226" s="1244" t="s">
        <v>303</v>
      </c>
      <c r="D226" s="944"/>
      <c r="E226" s="945"/>
      <c r="F226" s="1020"/>
      <c r="G226" s="1021"/>
      <c r="H226" s="1021"/>
      <c r="I226" s="1021"/>
      <c r="J226" s="1360"/>
      <c r="K226" s="947"/>
      <c r="L226" s="1361"/>
      <c r="M226" s="1314"/>
      <c r="N226" s="1315"/>
      <c r="O226" s="1316"/>
      <c r="P226" s="1317"/>
      <c r="Q226" s="955"/>
      <c r="R226" s="955"/>
      <c r="S226" s="1024"/>
    </row>
    <row r="227" spans="2:19">
      <c r="B227" s="1147"/>
      <c r="C227" s="1244"/>
      <c r="D227" s="944"/>
      <c r="E227" s="945"/>
      <c r="F227" s="1020"/>
      <c r="G227" s="1021"/>
      <c r="H227" s="1021"/>
      <c r="I227" s="1021"/>
      <c r="J227" s="1360"/>
      <c r="K227" s="947"/>
      <c r="L227" s="1361"/>
      <c r="M227" s="1314"/>
      <c r="N227" s="1315"/>
      <c r="O227" s="1316"/>
      <c r="P227" s="1317"/>
      <c r="Q227" s="955"/>
      <c r="R227" s="955"/>
      <c r="S227" s="1024"/>
    </row>
    <row r="228" spans="2:19" ht="27.6">
      <c r="B228" s="940">
        <v>1</v>
      </c>
      <c r="C228" s="1511" t="s">
        <v>304</v>
      </c>
      <c r="D228" s="944"/>
      <c r="E228" s="945"/>
      <c r="F228" s="1020"/>
      <c r="G228" s="1021"/>
      <c r="H228" s="1021"/>
      <c r="I228" s="1021"/>
      <c r="J228" s="1360"/>
      <c r="K228" s="947"/>
      <c r="L228" s="1361"/>
      <c r="M228" s="1314"/>
      <c r="N228" s="1315"/>
      <c r="O228" s="1316"/>
      <c r="P228" s="1317"/>
      <c r="Q228" s="955"/>
      <c r="R228" s="955"/>
      <c r="S228" s="1024"/>
    </row>
    <row r="229" spans="2:19" ht="16.2">
      <c r="B229" s="957" t="s">
        <v>188</v>
      </c>
      <c r="C229" s="1151" t="s">
        <v>235</v>
      </c>
      <c r="D229" s="944" t="s">
        <v>220</v>
      </c>
      <c r="E229" s="945">
        <v>240.90299999999999</v>
      </c>
      <c r="F229" s="946">
        <v>263.28300000000002</v>
      </c>
      <c r="G229" s="947">
        <v>282000</v>
      </c>
      <c r="H229" s="1149">
        <f t="shared" ref="H229" si="207">$F229*G229</f>
        <v>74245806</v>
      </c>
      <c r="I229" s="374">
        <f>H229/'REKAP TOTAL'!F44</f>
        <v>6.1061971077339475E-3</v>
      </c>
      <c r="J229" s="1326">
        <v>0</v>
      </c>
      <c r="K229" s="1327">
        <v>0</v>
      </c>
      <c r="L229" s="1328">
        <v>0</v>
      </c>
      <c r="M229" s="1329">
        <f t="shared" ref="M229" si="208">+P229-J229</f>
        <v>0</v>
      </c>
      <c r="N229" s="1330">
        <f t="shared" ref="N229" si="209">+Q229-K229</f>
        <v>0</v>
      </c>
      <c r="O229" s="1331">
        <f t="shared" ref="O229" si="210">+R229-L229</f>
        <v>0</v>
      </c>
      <c r="P229" s="1332">
        <f t="shared" ref="P229" si="211">+W229</f>
        <v>0</v>
      </c>
      <c r="Q229" s="1333">
        <f t="shared" ref="Q229" si="212">+P229/E229</f>
        <v>0</v>
      </c>
      <c r="R229" s="1333">
        <f t="shared" ref="R229" si="213">+Q229*I229</f>
        <v>0</v>
      </c>
      <c r="S229" s="1024"/>
    </row>
    <row r="230" spans="2:19">
      <c r="B230" s="957"/>
      <c r="C230" s="1151"/>
      <c r="D230" s="944"/>
      <c r="E230" s="945"/>
      <c r="F230" s="1512"/>
      <c r="G230" s="1021"/>
      <c r="H230" s="1021"/>
      <c r="I230" s="1021"/>
      <c r="J230" s="1360"/>
      <c r="K230" s="947"/>
      <c r="L230" s="1361"/>
      <c r="M230" s="1314"/>
      <c r="N230" s="1315"/>
      <c r="O230" s="1316"/>
      <c r="P230" s="1317"/>
      <c r="Q230" s="955"/>
      <c r="R230" s="955"/>
      <c r="S230" s="1024"/>
    </row>
    <row r="231" spans="2:19">
      <c r="B231" s="940">
        <v>2</v>
      </c>
      <c r="C231" s="1491" t="s">
        <v>305</v>
      </c>
      <c r="D231" s="944"/>
      <c r="E231" s="945"/>
      <c r="F231" s="1020"/>
      <c r="G231" s="1021"/>
      <c r="H231" s="1021"/>
      <c r="I231" s="1021"/>
      <c r="J231" s="1360"/>
      <c r="K231" s="947"/>
      <c r="L231" s="1361"/>
      <c r="M231" s="1314"/>
      <c r="N231" s="1315"/>
      <c r="O231" s="1316"/>
      <c r="P231" s="1317"/>
      <c r="Q231" s="955"/>
      <c r="R231" s="955"/>
      <c r="S231" s="1024"/>
    </row>
    <row r="232" spans="2:19" ht="16.2">
      <c r="B232" s="957" t="s">
        <v>188</v>
      </c>
      <c r="C232" s="1151" t="s">
        <v>235</v>
      </c>
      <c r="D232" s="944" t="s">
        <v>220</v>
      </c>
      <c r="E232" s="945">
        <v>481.80599999999998</v>
      </c>
      <c r="F232" s="946">
        <v>526.56600000000003</v>
      </c>
      <c r="G232" s="947">
        <v>190600</v>
      </c>
      <c r="H232" s="1149">
        <f t="shared" ref="H232" si="214">$F232*G232</f>
        <v>100363479.59999999</v>
      </c>
      <c r="I232" s="374">
        <f>H232/'REKAP TOTAL'!F44</f>
        <v>8.254192686057378E-3</v>
      </c>
      <c r="J232" s="1326">
        <v>0</v>
      </c>
      <c r="K232" s="1327">
        <v>0</v>
      </c>
      <c r="L232" s="1328">
        <v>0</v>
      </c>
      <c r="M232" s="1329">
        <f t="shared" ref="M232" si="215">+P232-J232</f>
        <v>0</v>
      </c>
      <c r="N232" s="1330">
        <f t="shared" ref="N232" si="216">+Q232-K232</f>
        <v>0</v>
      </c>
      <c r="O232" s="1331">
        <f t="shared" ref="O232" si="217">+R232-L232</f>
        <v>0</v>
      </c>
      <c r="P232" s="1332">
        <f t="shared" ref="P232" si="218">+W232</f>
        <v>0</v>
      </c>
      <c r="Q232" s="1333">
        <f t="shared" ref="Q232" si="219">+P232/E232</f>
        <v>0</v>
      </c>
      <c r="R232" s="1333">
        <f t="shared" ref="R232" si="220">+Q232*I232</f>
        <v>0</v>
      </c>
      <c r="S232" s="1024"/>
    </row>
    <row r="233" spans="2:19" ht="9.75" customHeight="1">
      <c r="B233" s="1030"/>
      <c r="C233" s="1174"/>
      <c r="D233" s="1032"/>
      <c r="E233" s="1033"/>
      <c r="F233" s="1513"/>
      <c r="G233" s="1035"/>
      <c r="H233" s="1035"/>
      <c r="I233" s="1035"/>
      <c r="J233" s="1364"/>
      <c r="K233" s="1365"/>
      <c r="L233" s="1366"/>
      <c r="M233" s="1367"/>
      <c r="N233" s="1368"/>
      <c r="O233" s="1369"/>
      <c r="P233" s="1370"/>
      <c r="Q233" s="1039"/>
      <c r="R233" s="1039"/>
      <c r="S233" s="1040"/>
    </row>
    <row r="234" spans="2:19">
      <c r="B234" s="978"/>
      <c r="C234" s="1421" t="s">
        <v>306</v>
      </c>
      <c r="D234" s="981"/>
      <c r="E234" s="982"/>
      <c r="F234" s="983"/>
      <c r="G234" s="984"/>
      <c r="H234" s="984">
        <f>SUM(H229:H233)</f>
        <v>174609285.59999999</v>
      </c>
      <c r="I234" s="392">
        <f>H234/'REKAP TOTAL'!F44</f>
        <v>1.4360389793791326E-2</v>
      </c>
      <c r="J234" s="1372"/>
      <c r="K234" s="1373"/>
      <c r="L234" s="1374">
        <f>SUM(L222:L233)</f>
        <v>0</v>
      </c>
      <c r="M234" s="1375"/>
      <c r="N234" s="1376"/>
      <c r="O234" s="1374">
        <f>SUM(O222:O233)</f>
        <v>0</v>
      </c>
      <c r="P234" s="1378"/>
      <c r="Q234" s="987"/>
      <c r="R234" s="1374">
        <f>SUM(R222:R233)</f>
        <v>0</v>
      </c>
      <c r="S234" s="1042"/>
    </row>
    <row r="235" spans="2:19">
      <c r="B235" s="1304"/>
      <c r="C235" s="1047"/>
      <c r="D235" s="1047"/>
      <c r="E235" s="1048"/>
      <c r="F235" s="1049"/>
      <c r="G235" s="1050"/>
      <c r="H235" s="1050"/>
      <c r="I235" s="1050"/>
      <c r="J235" s="1380"/>
      <c r="K235" s="1381"/>
      <c r="L235" s="1382"/>
      <c r="M235" s="1308"/>
      <c r="N235" s="1309"/>
      <c r="O235" s="1310"/>
      <c r="P235" s="1311"/>
      <c r="Q235" s="1054"/>
      <c r="R235" s="1054"/>
      <c r="S235" s="1055"/>
    </row>
    <row r="236" spans="2:19">
      <c r="B236" s="1147" t="s">
        <v>34</v>
      </c>
      <c r="C236" s="1244" t="s">
        <v>307</v>
      </c>
      <c r="D236" s="944"/>
      <c r="E236" s="945"/>
      <c r="F236" s="1020"/>
      <c r="G236" s="1021"/>
      <c r="H236" s="1021"/>
      <c r="I236" s="1021"/>
      <c r="J236" s="1360"/>
      <c r="K236" s="947"/>
      <c r="L236" s="1361"/>
      <c r="M236" s="1314"/>
      <c r="N236" s="1315"/>
      <c r="O236" s="1316"/>
      <c r="P236" s="1317"/>
      <c r="Q236" s="955"/>
      <c r="R236" s="955"/>
      <c r="S236" s="1024"/>
    </row>
    <row r="237" spans="2:19" ht="9.75" customHeight="1">
      <c r="B237" s="1147"/>
      <c r="C237" s="1244"/>
      <c r="D237" s="944"/>
      <c r="E237" s="945"/>
      <c r="F237" s="1020"/>
      <c r="G237" s="1021"/>
      <c r="H237" s="1021"/>
      <c r="I237" s="1021"/>
      <c r="J237" s="1360"/>
      <c r="K237" s="947"/>
      <c r="L237" s="1361"/>
      <c r="M237" s="1314"/>
      <c r="N237" s="1315"/>
      <c r="O237" s="1316"/>
      <c r="P237" s="1317"/>
      <c r="Q237" s="955"/>
      <c r="R237" s="955"/>
      <c r="S237" s="1024"/>
    </row>
    <row r="238" spans="2:19" ht="16.5" customHeight="1">
      <c r="B238" s="940">
        <v>1</v>
      </c>
      <c r="C238" s="1514" t="s">
        <v>308</v>
      </c>
      <c r="D238" s="944"/>
      <c r="E238" s="945"/>
      <c r="F238" s="1020"/>
      <c r="G238" s="1021"/>
      <c r="H238" s="1021"/>
      <c r="I238" s="1021"/>
      <c r="J238" s="1360"/>
      <c r="K238" s="947"/>
      <c r="L238" s="1361"/>
      <c r="M238" s="1314"/>
      <c r="N238" s="1315"/>
      <c r="O238" s="1316"/>
      <c r="P238" s="1317"/>
      <c r="Q238" s="955"/>
      <c r="R238" s="955"/>
      <c r="S238" s="1024"/>
    </row>
    <row r="239" spans="2:19" ht="27.75" customHeight="1">
      <c r="B239" s="1147"/>
      <c r="C239" s="2036" t="s">
        <v>309</v>
      </c>
      <c r="D239" s="944" t="s">
        <v>220</v>
      </c>
      <c r="E239" s="945">
        <v>78.040000000000006</v>
      </c>
      <c r="F239" s="946">
        <v>78.984999999999999</v>
      </c>
      <c r="G239" s="1202">
        <v>283500</v>
      </c>
      <c r="H239" s="1149">
        <f t="shared" ref="H239:H249" si="221">$F239*G239</f>
        <v>22392247.5</v>
      </c>
      <c r="I239" s="374">
        <f>H239/'REKAP TOTAL'!F44</f>
        <v>1.841605395463856E-3</v>
      </c>
      <c r="J239" s="1326">
        <v>0</v>
      </c>
      <c r="K239" s="1327">
        <v>0</v>
      </c>
      <c r="L239" s="1328">
        <v>0</v>
      </c>
      <c r="M239" s="1329">
        <f t="shared" ref="M239" si="222">+P239-J239</f>
        <v>0</v>
      </c>
      <c r="N239" s="1330">
        <f t="shared" ref="N239" si="223">+Q239-K239</f>
        <v>0</v>
      </c>
      <c r="O239" s="1331">
        <f t="shared" ref="O239" si="224">+R239-L239</f>
        <v>0</v>
      </c>
      <c r="P239" s="1332">
        <f t="shared" ref="P239" si="225">+W239</f>
        <v>0</v>
      </c>
      <c r="Q239" s="1333">
        <f t="shared" ref="Q239" si="226">+P239/E239</f>
        <v>0</v>
      </c>
      <c r="R239" s="1333">
        <f t="shared" ref="R239" si="227">+Q239*I239</f>
        <v>0</v>
      </c>
      <c r="S239" s="1024"/>
    </row>
    <row r="240" spans="2:19">
      <c r="B240" s="940">
        <v>2</v>
      </c>
      <c r="C240" s="1514" t="s">
        <v>310</v>
      </c>
      <c r="D240" s="944"/>
      <c r="E240" s="945"/>
      <c r="F240" s="946"/>
      <c r="G240" s="1021"/>
      <c r="H240" s="1021"/>
      <c r="I240" s="1021"/>
      <c r="J240" s="1360"/>
      <c r="K240" s="947"/>
      <c r="L240" s="1361"/>
      <c r="M240" s="1314"/>
      <c r="N240" s="1315"/>
      <c r="O240" s="1316"/>
      <c r="P240" s="1317"/>
      <c r="Q240" s="955"/>
      <c r="R240" s="955"/>
      <c r="S240" s="1024"/>
    </row>
    <row r="241" spans="2:19" ht="27.6">
      <c r="B241" s="1147"/>
      <c r="C241" s="2036" t="s">
        <v>311</v>
      </c>
      <c r="D241" s="944" t="s">
        <v>220</v>
      </c>
      <c r="E241" s="945">
        <v>1554.12</v>
      </c>
      <c r="F241" s="946">
        <v>1507.3630000000001</v>
      </c>
      <c r="G241" s="1202">
        <v>507800</v>
      </c>
      <c r="H241" s="1149">
        <f t="shared" si="221"/>
        <v>765438931.39999998</v>
      </c>
      <c r="I241" s="374">
        <f>H241/'REKAP TOTAL'!F44</f>
        <v>6.2951986662541495E-2</v>
      </c>
      <c r="J241" s="1326">
        <v>0</v>
      </c>
      <c r="K241" s="1327">
        <v>0</v>
      </c>
      <c r="L241" s="1328">
        <v>0</v>
      </c>
      <c r="M241" s="1329">
        <f t="shared" ref="M241" si="228">+P241-J241</f>
        <v>0</v>
      </c>
      <c r="N241" s="1330">
        <f t="shared" ref="N241" si="229">+Q241-K241</f>
        <v>0</v>
      </c>
      <c r="O241" s="1331">
        <f t="shared" ref="O241" si="230">+R241-L241</f>
        <v>0</v>
      </c>
      <c r="P241" s="1332">
        <f t="shared" ref="P241" si="231">+W241</f>
        <v>0</v>
      </c>
      <c r="Q241" s="1333">
        <f t="shared" ref="Q241" si="232">+P241/E241</f>
        <v>0</v>
      </c>
      <c r="R241" s="1333">
        <f t="shared" ref="R241" si="233">+Q241*I241</f>
        <v>0</v>
      </c>
      <c r="S241" s="1024"/>
    </row>
    <row r="242" spans="2:19">
      <c r="B242" s="940">
        <v>3</v>
      </c>
      <c r="C242" s="1514" t="s">
        <v>312</v>
      </c>
      <c r="D242" s="944"/>
      <c r="E242" s="945"/>
      <c r="F242" s="946"/>
      <c r="G242" s="1021"/>
      <c r="H242" s="1021"/>
      <c r="I242" s="1021"/>
      <c r="J242" s="1360"/>
      <c r="K242" s="947"/>
      <c r="L242" s="1361"/>
      <c r="M242" s="1314"/>
      <c r="N242" s="1315"/>
      <c r="O242" s="1316"/>
      <c r="P242" s="1317"/>
      <c r="Q242" s="955"/>
      <c r="R242" s="955"/>
      <c r="S242" s="1024"/>
    </row>
    <row r="243" spans="2:19">
      <c r="B243" s="1147"/>
      <c r="C243" s="2036" t="s">
        <v>313</v>
      </c>
      <c r="D243" s="944" t="s">
        <v>88</v>
      </c>
      <c r="E243" s="945">
        <v>461.4</v>
      </c>
      <c r="F243" s="946">
        <v>45.356000000000002</v>
      </c>
      <c r="G243" s="1202">
        <v>115500</v>
      </c>
      <c r="H243" s="1149">
        <f t="shared" si="221"/>
        <v>5238618</v>
      </c>
      <c r="I243" s="374">
        <f>H243/'REKAP TOTAL'!F44</f>
        <v>4.3083960971644647E-4</v>
      </c>
      <c r="J243" s="1326">
        <v>0</v>
      </c>
      <c r="K243" s="1327">
        <v>0</v>
      </c>
      <c r="L243" s="1328">
        <v>0</v>
      </c>
      <c r="M243" s="1329">
        <f t="shared" ref="M243" si="234">+P243-J243</f>
        <v>0</v>
      </c>
      <c r="N243" s="1330">
        <f t="shared" ref="N243" si="235">+Q243-K243</f>
        <v>0</v>
      </c>
      <c r="O243" s="1331">
        <f t="shared" ref="O243" si="236">+R243-L243</f>
        <v>0</v>
      </c>
      <c r="P243" s="1332">
        <f t="shared" ref="P243" si="237">+W243</f>
        <v>0</v>
      </c>
      <c r="Q243" s="1333">
        <f t="shared" ref="Q243" si="238">+P243/E243</f>
        <v>0</v>
      </c>
      <c r="R243" s="1333">
        <f t="shared" ref="R243" si="239">+Q243*I243</f>
        <v>0</v>
      </c>
      <c r="S243" s="1024"/>
    </row>
    <row r="244" spans="2:19">
      <c r="B244" s="940">
        <v>4</v>
      </c>
      <c r="C244" s="1514" t="s">
        <v>314</v>
      </c>
      <c r="D244" s="944"/>
      <c r="E244" s="945"/>
      <c r="F244" s="946"/>
      <c r="G244" s="1021"/>
      <c r="H244" s="1021"/>
      <c r="I244" s="1021"/>
      <c r="J244" s="1360"/>
      <c r="K244" s="947"/>
      <c r="L244" s="1361"/>
      <c r="M244" s="1314"/>
      <c r="N244" s="1315"/>
      <c r="O244" s="1316"/>
      <c r="P244" s="1317"/>
      <c r="Q244" s="955"/>
      <c r="R244" s="955"/>
      <c r="S244" s="1024"/>
    </row>
    <row r="245" spans="2:19" ht="16.2">
      <c r="B245" s="940"/>
      <c r="C245" s="2036" t="s">
        <v>315</v>
      </c>
      <c r="D245" s="944" t="s">
        <v>220</v>
      </c>
      <c r="E245" s="945">
        <v>11.99</v>
      </c>
      <c r="F245" s="946">
        <v>4.9359999999999999</v>
      </c>
      <c r="G245" s="1202">
        <v>283500</v>
      </c>
      <c r="H245" s="1149">
        <f t="shared" si="221"/>
        <v>1399356</v>
      </c>
      <c r="I245" s="374">
        <f>H245/'REKAP TOTAL'!F44</f>
        <v>1.1508722202962071E-4</v>
      </c>
      <c r="J245" s="1326">
        <v>0</v>
      </c>
      <c r="K245" s="1327">
        <v>0</v>
      </c>
      <c r="L245" s="1328">
        <v>0</v>
      </c>
      <c r="M245" s="1329">
        <f t="shared" ref="M245" si="240">+P245-J245</f>
        <v>0</v>
      </c>
      <c r="N245" s="1330">
        <f t="shared" ref="N245" si="241">+Q245-K245</f>
        <v>0</v>
      </c>
      <c r="O245" s="1331">
        <f t="shared" ref="O245" si="242">+R245-L245</f>
        <v>0</v>
      </c>
      <c r="P245" s="1332">
        <f t="shared" ref="P245" si="243">+W245</f>
        <v>0</v>
      </c>
      <c r="Q245" s="1333">
        <f t="shared" ref="Q245" si="244">+P245/E245</f>
        <v>0</v>
      </c>
      <c r="R245" s="1333">
        <f t="shared" ref="R245" si="245">+Q245*I245</f>
        <v>0</v>
      </c>
      <c r="S245" s="1024"/>
    </row>
    <row r="246" spans="2:19">
      <c r="B246" s="940">
        <v>5</v>
      </c>
      <c r="C246" s="1514" t="s">
        <v>316</v>
      </c>
      <c r="D246" s="944"/>
      <c r="E246" s="945"/>
      <c r="F246" s="946"/>
      <c r="G246" s="1021"/>
      <c r="H246" s="1021"/>
      <c r="I246" s="1021"/>
      <c r="J246" s="1360"/>
      <c r="K246" s="947"/>
      <c r="L246" s="1361"/>
      <c r="M246" s="1314"/>
      <c r="N246" s="1315"/>
      <c r="O246" s="1316"/>
      <c r="P246" s="1317"/>
      <c r="Q246" s="955"/>
      <c r="R246" s="955"/>
      <c r="S246" s="1024"/>
    </row>
    <row r="247" spans="2:19" ht="27.6">
      <c r="B247" s="940"/>
      <c r="C247" s="2036" t="s">
        <v>317</v>
      </c>
      <c r="D247" s="944" t="s">
        <v>88</v>
      </c>
      <c r="E247" s="945">
        <v>63.820999999999998</v>
      </c>
      <c r="F247" s="946">
        <v>63.820999999999998</v>
      </c>
      <c r="G247" s="1202">
        <v>105900</v>
      </c>
      <c r="H247" s="1149">
        <f t="shared" si="221"/>
        <v>6758643.9000000004</v>
      </c>
      <c r="I247" s="374">
        <f>H247/'REKAP TOTAL'!F44</f>
        <v>5.5585108516949353E-4</v>
      </c>
      <c r="J247" s="1326">
        <v>0</v>
      </c>
      <c r="K247" s="1327">
        <v>0</v>
      </c>
      <c r="L247" s="1328">
        <v>0</v>
      </c>
      <c r="M247" s="1329">
        <f t="shared" ref="M247" si="246">+P247-J247</f>
        <v>0</v>
      </c>
      <c r="N247" s="1330">
        <f t="shared" ref="N247" si="247">+Q247-K247</f>
        <v>0</v>
      </c>
      <c r="O247" s="1331">
        <f t="shared" ref="O247" si="248">+R247-L247</f>
        <v>0</v>
      </c>
      <c r="P247" s="1332">
        <f t="shared" ref="P247" si="249">+W247</f>
        <v>0</v>
      </c>
      <c r="Q247" s="1333">
        <f t="shared" ref="Q247" si="250">+P247/E247</f>
        <v>0</v>
      </c>
      <c r="R247" s="1333">
        <f t="shared" ref="R247" si="251">+Q247*I247</f>
        <v>0</v>
      </c>
      <c r="S247" s="1024"/>
    </row>
    <row r="248" spans="2:19" customFormat="1" ht="14.4">
      <c r="B248" s="890">
        <v>6</v>
      </c>
      <c r="C248" s="1514" t="s">
        <v>318</v>
      </c>
      <c r="D248" s="870"/>
      <c r="E248" s="871"/>
      <c r="F248" s="1228"/>
      <c r="G248" s="873"/>
      <c r="H248" s="873"/>
      <c r="I248" s="873"/>
      <c r="J248" s="879"/>
      <c r="K248" s="879"/>
      <c r="L248" s="880"/>
      <c r="M248" s="1515"/>
      <c r="N248" s="879"/>
      <c r="O248" s="1516"/>
      <c r="P248" s="1517"/>
      <c r="Q248" s="879"/>
      <c r="R248" s="879"/>
      <c r="S248" s="995"/>
    </row>
    <row r="249" spans="2:19" customFormat="1" ht="15.6">
      <c r="B249" s="939"/>
      <c r="C249" s="2036" t="s">
        <v>319</v>
      </c>
      <c r="D249" s="870" t="s">
        <v>162</v>
      </c>
      <c r="E249" s="871">
        <v>127.76</v>
      </c>
      <c r="F249" s="1228">
        <v>129.41</v>
      </c>
      <c r="G249" s="1518">
        <v>59900</v>
      </c>
      <c r="H249" s="1149">
        <f t="shared" si="221"/>
        <v>7751659</v>
      </c>
      <c r="I249" s="374">
        <f>H249/'REKAP TOTAL'!F44</f>
        <v>6.375196164742265E-4</v>
      </c>
      <c r="J249" s="1326">
        <v>0</v>
      </c>
      <c r="K249" s="1327">
        <v>0</v>
      </c>
      <c r="L249" s="1328">
        <v>0</v>
      </c>
      <c r="M249" s="1329">
        <f t="shared" ref="M249" si="252">+P249-J249</f>
        <v>0</v>
      </c>
      <c r="N249" s="1330">
        <f t="shared" ref="N249" si="253">+Q249-K249</f>
        <v>0</v>
      </c>
      <c r="O249" s="1331">
        <f t="shared" ref="O249" si="254">+R249-L249</f>
        <v>0</v>
      </c>
      <c r="P249" s="1332">
        <f t="shared" ref="P249" si="255">+W249</f>
        <v>0</v>
      </c>
      <c r="Q249" s="1333">
        <f t="shared" ref="Q249" si="256">+P249/E249</f>
        <v>0</v>
      </c>
      <c r="R249" s="1333">
        <f t="shared" ref="R249" si="257">+Q249*I249</f>
        <v>0</v>
      </c>
      <c r="S249" s="995"/>
    </row>
    <row r="250" spans="2:19" ht="10.5" customHeight="1">
      <c r="B250" s="1030"/>
      <c r="C250" s="1174"/>
      <c r="D250" s="1032"/>
      <c r="E250" s="1033"/>
      <c r="F250" s="1513"/>
      <c r="G250" s="1035"/>
      <c r="H250" s="1035"/>
      <c r="I250" s="1035"/>
      <c r="J250" s="1364"/>
      <c r="K250" s="1365"/>
      <c r="L250" s="1366"/>
      <c r="M250" s="1367"/>
      <c r="N250" s="1368"/>
      <c r="O250" s="1369"/>
      <c r="P250" s="1370"/>
      <c r="Q250" s="1039"/>
      <c r="R250" s="1039"/>
      <c r="S250" s="1040"/>
    </row>
    <row r="251" spans="2:19">
      <c r="B251" s="978"/>
      <c r="C251" s="1421" t="s">
        <v>320</v>
      </c>
      <c r="D251" s="981"/>
      <c r="E251" s="982"/>
      <c r="F251" s="983"/>
      <c r="G251" s="984"/>
      <c r="H251" s="984">
        <f>SUM(H237:H250)</f>
        <v>808979455.79999995</v>
      </c>
      <c r="I251" s="392">
        <f>H251/'REKAP TOTAL'!F44</f>
        <v>6.6532889591395139E-2</v>
      </c>
      <c r="J251" s="1372"/>
      <c r="K251" s="1373"/>
      <c r="L251" s="1506">
        <f>SUM(L235:L250)</f>
        <v>0</v>
      </c>
      <c r="M251" s="1375"/>
      <c r="N251" s="1376"/>
      <c r="O251" s="1506">
        <f>SUM(O235:O250)</f>
        <v>0</v>
      </c>
      <c r="P251" s="1378"/>
      <c r="Q251" s="987"/>
      <c r="R251" s="1506">
        <f>SUM(R235:R250)</f>
        <v>0</v>
      </c>
      <c r="S251" s="1042"/>
    </row>
    <row r="252" spans="2:19">
      <c r="B252" s="1304"/>
      <c r="C252" s="1047"/>
      <c r="D252" s="1047"/>
      <c r="E252" s="1048"/>
      <c r="F252" s="1049"/>
      <c r="G252" s="1050"/>
      <c r="H252" s="1050"/>
      <c r="I252" s="1050"/>
      <c r="J252" s="1380"/>
      <c r="K252" s="1381"/>
      <c r="L252" s="1382"/>
      <c r="M252" s="1308"/>
      <c r="N252" s="1309"/>
      <c r="O252" s="1310"/>
      <c r="P252" s="1311"/>
      <c r="Q252" s="1054"/>
      <c r="R252" s="1054"/>
      <c r="S252" s="1055"/>
    </row>
    <row r="253" spans="2:19">
      <c r="B253" s="1147" t="s">
        <v>24</v>
      </c>
      <c r="C253" s="1244" t="s">
        <v>321</v>
      </c>
      <c r="D253" s="944"/>
      <c r="E253" s="945"/>
      <c r="F253" s="1020"/>
      <c r="G253" s="1021"/>
      <c r="H253" s="1021"/>
      <c r="I253" s="1021"/>
      <c r="J253" s="1360"/>
      <c r="K253" s="947"/>
      <c r="L253" s="1361"/>
      <c r="M253" s="1314"/>
      <c r="N253" s="1315"/>
      <c r="O253" s="1316"/>
      <c r="P253" s="1317"/>
      <c r="Q253" s="955"/>
      <c r="R253" s="955"/>
      <c r="S253" s="1024"/>
    </row>
    <row r="254" spans="2:19" ht="10.5" customHeight="1">
      <c r="B254" s="1147"/>
      <c r="C254" s="1244"/>
      <c r="D254" s="944"/>
      <c r="E254" s="945"/>
      <c r="F254" s="1020"/>
      <c r="G254" s="1021"/>
      <c r="H254" s="1021"/>
      <c r="I254" s="1021"/>
      <c r="J254" s="1360"/>
      <c r="K254" s="947"/>
      <c r="L254" s="1361"/>
      <c r="M254" s="1314"/>
      <c r="N254" s="1315"/>
      <c r="O254" s="1316"/>
      <c r="P254" s="1317"/>
      <c r="Q254" s="955"/>
      <c r="R254" s="955"/>
      <c r="S254" s="1024"/>
    </row>
    <row r="255" spans="2:19" customFormat="1" ht="18.75" customHeight="1">
      <c r="B255" s="890">
        <v>1</v>
      </c>
      <c r="C255" s="1514" t="s">
        <v>322</v>
      </c>
      <c r="D255" s="870"/>
      <c r="E255" s="871"/>
      <c r="F255" s="872"/>
      <c r="G255" s="873"/>
      <c r="H255" s="873"/>
      <c r="I255" s="873"/>
      <c r="J255" s="879"/>
      <c r="K255" s="879"/>
      <c r="L255" s="880"/>
      <c r="M255" s="1515"/>
      <c r="N255" s="879"/>
      <c r="O255" s="1516"/>
      <c r="P255" s="1517"/>
      <c r="Q255" s="879"/>
      <c r="R255" s="879"/>
      <c r="S255" s="995"/>
    </row>
    <row r="256" spans="2:19" customFormat="1" ht="15.6">
      <c r="B256" s="939"/>
      <c r="C256" s="2032" t="s">
        <v>323</v>
      </c>
      <c r="D256" s="870" t="s">
        <v>162</v>
      </c>
      <c r="E256" s="1519">
        <v>120.9144</v>
      </c>
      <c r="F256" s="1205">
        <v>120.9144</v>
      </c>
      <c r="G256" s="1518">
        <v>253900</v>
      </c>
      <c r="H256" s="1520">
        <f t="shared" ref="H256:H258" si="258">$F256*G256</f>
        <v>30700166.16</v>
      </c>
      <c r="I256" s="374">
        <f>H256/'REKAP TOTAL'!F44</f>
        <v>2.524873469797656E-3</v>
      </c>
      <c r="J256" s="1326">
        <v>0</v>
      </c>
      <c r="K256" s="1327">
        <v>0</v>
      </c>
      <c r="L256" s="1328">
        <v>0</v>
      </c>
      <c r="M256" s="1329">
        <f t="shared" ref="M256" si="259">+P256-J256</f>
        <v>0</v>
      </c>
      <c r="N256" s="1330">
        <f t="shared" ref="N256" si="260">+Q256-K256</f>
        <v>0</v>
      </c>
      <c r="O256" s="1331">
        <f t="shared" ref="O256" si="261">+R256-L256</f>
        <v>0</v>
      </c>
      <c r="P256" s="1332">
        <f t="shared" ref="P256" si="262">+W256</f>
        <v>0</v>
      </c>
      <c r="Q256" s="1333">
        <f t="shared" ref="Q256" si="263">+P256/E256</f>
        <v>0</v>
      </c>
      <c r="R256" s="1333">
        <f t="shared" ref="R256" si="264">+Q256*I256</f>
        <v>0</v>
      </c>
      <c r="S256" s="995"/>
    </row>
    <row r="257" spans="2:19" customFormat="1" ht="28.2">
      <c r="B257" s="890">
        <v>2</v>
      </c>
      <c r="C257" s="1521" t="s">
        <v>324</v>
      </c>
      <c r="D257" s="870"/>
      <c r="E257" s="871"/>
      <c r="F257" s="1205"/>
      <c r="G257" s="873"/>
      <c r="H257" s="1520"/>
      <c r="I257" s="1520"/>
      <c r="J257" s="879"/>
      <c r="K257" s="879"/>
      <c r="L257" s="880"/>
      <c r="M257" s="1515"/>
      <c r="N257" s="879"/>
      <c r="O257" s="1516"/>
      <c r="P257" s="1517"/>
      <c r="Q257" s="879"/>
      <c r="R257" s="879"/>
      <c r="S257" s="995"/>
    </row>
    <row r="258" spans="2:19" customFormat="1" ht="15.6">
      <c r="B258" s="890"/>
      <c r="C258" s="2032" t="s">
        <v>323</v>
      </c>
      <c r="D258" s="870" t="s">
        <v>162</v>
      </c>
      <c r="E258" s="1519">
        <v>195.99435</v>
      </c>
      <c r="F258" s="1205">
        <v>195.99435</v>
      </c>
      <c r="G258" s="1518">
        <v>416500</v>
      </c>
      <c r="H258" s="1520">
        <f t="shared" si="258"/>
        <v>81631646.775000006</v>
      </c>
      <c r="I258" s="374">
        <f>H258/'REKAP TOTAL'!F44</f>
        <v>6.713630739453004E-3</v>
      </c>
      <c r="J258" s="1326">
        <v>0</v>
      </c>
      <c r="K258" s="1327">
        <v>0</v>
      </c>
      <c r="L258" s="1328">
        <v>0</v>
      </c>
      <c r="M258" s="1329">
        <f t="shared" ref="M258" si="265">+P258-J258</f>
        <v>0</v>
      </c>
      <c r="N258" s="1330">
        <f t="shared" ref="N258" si="266">+Q258-K258</f>
        <v>0</v>
      </c>
      <c r="O258" s="1331">
        <f t="shared" ref="O258" si="267">+R258-L258</f>
        <v>0</v>
      </c>
      <c r="P258" s="1332">
        <f t="shared" ref="P258" si="268">+W258</f>
        <v>0</v>
      </c>
      <c r="Q258" s="1333">
        <f t="shared" ref="Q258" si="269">+P258/E258</f>
        <v>0</v>
      </c>
      <c r="R258" s="1333">
        <f t="shared" ref="R258" si="270">+Q258*I258</f>
        <v>0</v>
      </c>
      <c r="S258" s="995"/>
    </row>
    <row r="259" spans="2:19">
      <c r="B259" s="940">
        <v>3</v>
      </c>
      <c r="C259" s="1514" t="s">
        <v>325</v>
      </c>
      <c r="D259" s="944"/>
      <c r="E259" s="945"/>
      <c r="F259" s="1512"/>
      <c r="G259" s="1021"/>
      <c r="H259" s="1021"/>
      <c r="I259" s="1021"/>
      <c r="J259" s="1360"/>
      <c r="K259" s="947"/>
      <c r="L259" s="1361"/>
      <c r="M259" s="1314"/>
      <c r="N259" s="1315"/>
      <c r="O259" s="1316"/>
      <c r="P259" s="1317"/>
      <c r="Q259" s="955"/>
      <c r="R259" s="955"/>
      <c r="S259" s="1024"/>
    </row>
    <row r="260" spans="2:19" ht="16.2">
      <c r="B260" s="1147"/>
      <c r="C260" s="2028" t="s">
        <v>326</v>
      </c>
      <c r="D260" s="944" t="s">
        <v>220</v>
      </c>
      <c r="E260" s="1085">
        <v>164.976</v>
      </c>
      <c r="F260" s="1102">
        <v>164.976</v>
      </c>
      <c r="G260" s="1202">
        <v>253900</v>
      </c>
      <c r="H260" s="1399">
        <f>$F260*G260</f>
        <v>41887406.399999999</v>
      </c>
      <c r="I260" s="374">
        <f>H260/'REKAP TOTAL'!F44</f>
        <v>3.4449455611022181E-3</v>
      </c>
      <c r="J260" s="1326">
        <v>0</v>
      </c>
      <c r="K260" s="1327">
        <v>0</v>
      </c>
      <c r="L260" s="1328">
        <v>0</v>
      </c>
      <c r="M260" s="1329">
        <f t="shared" ref="M260" si="271">+P260-J260</f>
        <v>0</v>
      </c>
      <c r="N260" s="1330">
        <f t="shared" ref="N260" si="272">+Q260-K260</f>
        <v>0</v>
      </c>
      <c r="O260" s="1331">
        <f t="shared" ref="O260" si="273">+R260-L260</f>
        <v>0</v>
      </c>
      <c r="P260" s="1332">
        <f t="shared" ref="P260" si="274">+W260</f>
        <v>0</v>
      </c>
      <c r="Q260" s="1333">
        <f t="shared" ref="Q260" si="275">+P260/E260</f>
        <v>0</v>
      </c>
      <c r="R260" s="1333">
        <f t="shared" ref="R260" si="276">+Q260*I260</f>
        <v>0</v>
      </c>
      <c r="S260" s="1024"/>
    </row>
    <row r="261" spans="2:19">
      <c r="B261" s="940">
        <v>4</v>
      </c>
      <c r="C261" s="1514" t="s">
        <v>327</v>
      </c>
      <c r="D261" s="944"/>
      <c r="E261" s="1085"/>
      <c r="F261" s="1522"/>
      <c r="G261" s="1021"/>
      <c r="H261" s="1021"/>
      <c r="I261" s="1021"/>
      <c r="J261" s="1360"/>
      <c r="K261" s="947"/>
      <c r="L261" s="1361"/>
      <c r="M261" s="1314"/>
      <c r="N261" s="1315"/>
      <c r="O261" s="1316"/>
      <c r="P261" s="1317"/>
      <c r="Q261" s="955"/>
      <c r="R261" s="955"/>
      <c r="S261" s="1024"/>
    </row>
    <row r="262" spans="2:19" ht="16.2">
      <c r="B262" s="940"/>
      <c r="C262" s="2036" t="s">
        <v>315</v>
      </c>
      <c r="D262" s="944" t="s">
        <v>220</v>
      </c>
      <c r="E262" s="1085">
        <v>22.8</v>
      </c>
      <c r="F262" s="946">
        <v>22.8</v>
      </c>
      <c r="G262" s="1202">
        <v>258600</v>
      </c>
      <c r="H262" s="1149">
        <f t="shared" ref="H262" si="277">$F262*G262</f>
        <v>5896080</v>
      </c>
      <c r="I262" s="374">
        <f>H262/'REKAP TOTAL'!F44</f>
        <v>4.8491125064987475E-4</v>
      </c>
      <c r="J262" s="1326">
        <v>0</v>
      </c>
      <c r="K262" s="1327">
        <v>0</v>
      </c>
      <c r="L262" s="1328">
        <v>0</v>
      </c>
      <c r="M262" s="1329">
        <f t="shared" ref="M262" si="278">+P262-J262</f>
        <v>0</v>
      </c>
      <c r="N262" s="1330">
        <f t="shared" ref="N262" si="279">+Q262-K262</f>
        <v>0</v>
      </c>
      <c r="O262" s="1331">
        <f t="shared" ref="O262" si="280">+R262-L262</f>
        <v>0</v>
      </c>
      <c r="P262" s="1332">
        <f t="shared" ref="P262" si="281">+W262</f>
        <v>0</v>
      </c>
      <c r="Q262" s="1333">
        <f t="shared" ref="Q262" si="282">+P262/E262</f>
        <v>0</v>
      </c>
      <c r="R262" s="1333">
        <f t="shared" ref="R262" si="283">+Q262*I262</f>
        <v>0</v>
      </c>
      <c r="S262" s="1024"/>
    </row>
    <row r="263" spans="2:19">
      <c r="B263" s="1030"/>
      <c r="C263" s="1174"/>
      <c r="D263" s="1032"/>
      <c r="E263" s="1033"/>
      <c r="F263" s="1513"/>
      <c r="G263" s="1035"/>
      <c r="H263" s="1035"/>
      <c r="I263" s="1035"/>
      <c r="J263" s="1364"/>
      <c r="K263" s="1365"/>
      <c r="L263" s="1366"/>
      <c r="M263" s="1367"/>
      <c r="N263" s="1368"/>
      <c r="O263" s="1369"/>
      <c r="P263" s="1370"/>
      <c r="Q263" s="1039"/>
      <c r="R263" s="1039"/>
      <c r="S263" s="1040"/>
    </row>
    <row r="264" spans="2:19">
      <c r="B264" s="978"/>
      <c r="C264" s="1421" t="s">
        <v>328</v>
      </c>
      <c r="D264" s="981"/>
      <c r="E264" s="982"/>
      <c r="F264" s="983"/>
      <c r="G264" s="984"/>
      <c r="H264" s="984">
        <f>SUM(H254:H263)</f>
        <v>160115299.33500001</v>
      </c>
      <c r="I264" s="392">
        <f>H264/'REKAP TOTAL'!F44</f>
        <v>1.3168361021002753E-2</v>
      </c>
      <c r="J264" s="1372"/>
      <c r="K264" s="1373"/>
      <c r="L264" s="1506">
        <f>SUM(L252:L263)</f>
        <v>0</v>
      </c>
      <c r="M264" s="1375"/>
      <c r="N264" s="1376"/>
      <c r="O264" s="1506">
        <f>SUM(O252:O263)</f>
        <v>0</v>
      </c>
      <c r="P264" s="1378"/>
      <c r="Q264" s="987"/>
      <c r="R264" s="1506">
        <f>SUM(R252:R263)</f>
        <v>0</v>
      </c>
      <c r="S264" s="1042"/>
    </row>
    <row r="265" spans="2:19">
      <c r="B265" s="1185"/>
      <c r="C265" s="1429"/>
      <c r="D265" s="1047"/>
      <c r="E265" s="1048"/>
      <c r="F265" s="1049"/>
      <c r="G265" s="1208"/>
      <c r="H265" s="1208"/>
      <c r="I265" s="1208"/>
      <c r="J265" s="1380"/>
      <c r="K265" s="1381"/>
      <c r="L265" s="1382"/>
      <c r="M265" s="1308"/>
      <c r="N265" s="1309"/>
      <c r="O265" s="1310"/>
      <c r="P265" s="1311"/>
      <c r="Q265" s="1054"/>
      <c r="R265" s="1054"/>
      <c r="S265" s="1055"/>
    </row>
    <row r="266" spans="2:19">
      <c r="B266" s="1147" t="s">
        <v>25</v>
      </c>
      <c r="C266" s="1244" t="s">
        <v>329</v>
      </c>
      <c r="D266" s="944"/>
      <c r="E266" s="945"/>
      <c r="F266" s="1020"/>
      <c r="G266" s="1021"/>
      <c r="H266" s="1021"/>
      <c r="I266" s="1021"/>
      <c r="J266" s="1360"/>
      <c r="K266" s="947"/>
      <c r="L266" s="1361"/>
      <c r="M266" s="1314"/>
      <c r="N266" s="1315"/>
      <c r="O266" s="1316"/>
      <c r="P266" s="1317"/>
      <c r="Q266" s="955"/>
      <c r="R266" s="955"/>
      <c r="S266" s="1024"/>
    </row>
    <row r="267" spans="2:19">
      <c r="B267" s="1147"/>
      <c r="C267" s="1244"/>
      <c r="D267" s="944"/>
      <c r="E267" s="945"/>
      <c r="F267" s="1020"/>
      <c r="G267" s="1021"/>
      <c r="H267" s="1021"/>
      <c r="I267" s="1021"/>
      <c r="J267" s="1360"/>
      <c r="K267" s="947"/>
      <c r="L267" s="1361"/>
      <c r="M267" s="1314"/>
      <c r="N267" s="1315"/>
      <c r="O267" s="1316"/>
      <c r="P267" s="1317"/>
      <c r="Q267" s="955"/>
      <c r="R267" s="955"/>
      <c r="S267" s="1024"/>
    </row>
    <row r="268" spans="2:19" ht="15.75" customHeight="1">
      <c r="B268" s="940">
        <v>1</v>
      </c>
      <c r="C268" s="1151" t="s">
        <v>330</v>
      </c>
      <c r="D268" s="944" t="s">
        <v>135</v>
      </c>
      <c r="E268" s="945">
        <v>2</v>
      </c>
      <c r="F268" s="946">
        <v>2</v>
      </c>
      <c r="G268" s="947">
        <v>11099600</v>
      </c>
      <c r="H268" s="1149">
        <f>$F268*G268</f>
        <v>22199200</v>
      </c>
      <c r="I268" s="374">
        <f>H268/'REKAP TOTAL'!F44</f>
        <v>1.8257285917807594E-3</v>
      </c>
      <c r="J268" s="1326">
        <v>0</v>
      </c>
      <c r="K268" s="1327">
        <v>0</v>
      </c>
      <c r="L268" s="1328">
        <v>0</v>
      </c>
      <c r="M268" s="1329">
        <f t="shared" ref="M268" si="284">+P268-J268</f>
        <v>0</v>
      </c>
      <c r="N268" s="1330">
        <f t="shared" ref="N268" si="285">+Q268-K268</f>
        <v>0</v>
      </c>
      <c r="O268" s="1331">
        <f t="shared" ref="O268" si="286">+R268-L268</f>
        <v>0</v>
      </c>
      <c r="P268" s="1332">
        <f t="shared" ref="P268" si="287">+W268</f>
        <v>0</v>
      </c>
      <c r="Q268" s="1333">
        <f t="shared" ref="Q268" si="288">+P268/E268</f>
        <v>0</v>
      </c>
      <c r="R268" s="1333">
        <f t="shared" ref="R268" si="289">+Q268*I268</f>
        <v>0</v>
      </c>
      <c r="S268" s="1024"/>
    </row>
    <row r="269" spans="2:19">
      <c r="B269" s="940"/>
      <c r="C269" s="2029" t="s">
        <v>331</v>
      </c>
      <c r="D269" s="944"/>
      <c r="E269" s="945"/>
      <c r="F269" s="1020"/>
      <c r="G269" s="1021"/>
      <c r="H269" s="1021"/>
      <c r="I269" s="1021"/>
      <c r="J269" s="1360"/>
      <c r="K269" s="947"/>
      <c r="L269" s="1361"/>
      <c r="M269" s="1314"/>
      <c r="N269" s="1315"/>
      <c r="O269" s="1316"/>
      <c r="P269" s="1317"/>
      <c r="Q269" s="955"/>
      <c r="R269" s="955"/>
      <c r="S269" s="1024"/>
    </row>
    <row r="270" spans="2:19">
      <c r="B270" s="940"/>
      <c r="C270" s="2029" t="s">
        <v>332</v>
      </c>
      <c r="D270" s="944"/>
      <c r="E270" s="945"/>
      <c r="F270" s="1020"/>
      <c r="G270" s="1021"/>
      <c r="H270" s="1021"/>
      <c r="I270" s="1021"/>
      <c r="J270" s="1360"/>
      <c r="K270" s="947"/>
      <c r="L270" s="1361"/>
      <c r="M270" s="1314"/>
      <c r="N270" s="1315"/>
      <c r="O270" s="1316"/>
      <c r="P270" s="1317"/>
      <c r="Q270" s="955"/>
      <c r="R270" s="955"/>
      <c r="S270" s="1024"/>
    </row>
    <row r="271" spans="2:19">
      <c r="B271" s="940"/>
      <c r="C271" s="2029" t="s">
        <v>333</v>
      </c>
      <c r="D271" s="944"/>
      <c r="E271" s="945"/>
      <c r="F271" s="1020"/>
      <c r="G271" s="1021"/>
      <c r="H271" s="1021"/>
      <c r="I271" s="1021"/>
      <c r="J271" s="1360"/>
      <c r="K271" s="947"/>
      <c r="L271" s="1361"/>
      <c r="M271" s="1314"/>
      <c r="N271" s="1315"/>
      <c r="O271" s="1316"/>
      <c r="P271" s="1317"/>
      <c r="Q271" s="955"/>
      <c r="R271" s="955"/>
      <c r="S271" s="1024"/>
    </row>
    <row r="272" spans="2:19">
      <c r="B272" s="940"/>
      <c r="C272" s="2029" t="s">
        <v>334</v>
      </c>
      <c r="D272" s="944"/>
      <c r="E272" s="945"/>
      <c r="F272" s="1020"/>
      <c r="G272" s="1021"/>
      <c r="H272" s="1021"/>
      <c r="I272" s="1021"/>
      <c r="J272" s="1360"/>
      <c r="K272" s="947"/>
      <c r="L272" s="1361"/>
      <c r="M272" s="1314"/>
      <c r="N272" s="1315"/>
      <c r="O272" s="1316"/>
      <c r="P272" s="1317"/>
      <c r="Q272" s="955"/>
      <c r="R272" s="955"/>
      <c r="S272" s="1024"/>
    </row>
    <row r="273" spans="2:19">
      <c r="B273" s="940"/>
      <c r="C273" s="2029" t="s">
        <v>335</v>
      </c>
      <c r="D273" s="944"/>
      <c r="E273" s="945"/>
      <c r="F273" s="1020"/>
      <c r="G273" s="1021"/>
      <c r="H273" s="1021"/>
      <c r="I273" s="1021"/>
      <c r="J273" s="1360"/>
      <c r="K273" s="947"/>
      <c r="L273" s="1361"/>
      <c r="M273" s="1314"/>
      <c r="N273" s="1315"/>
      <c r="O273" s="1316"/>
      <c r="P273" s="1317"/>
      <c r="Q273" s="955"/>
      <c r="R273" s="955"/>
      <c r="S273" s="1024"/>
    </row>
    <row r="274" spans="2:19">
      <c r="B274" s="940"/>
      <c r="C274" s="1151" t="s">
        <v>336</v>
      </c>
      <c r="D274" s="944"/>
      <c r="E274" s="945"/>
      <c r="F274" s="1020"/>
      <c r="G274" s="1021"/>
      <c r="H274" s="1021"/>
      <c r="I274" s="1021"/>
      <c r="J274" s="1360"/>
      <c r="K274" s="947"/>
      <c r="L274" s="1361"/>
      <c r="M274" s="1314"/>
      <c r="N274" s="1315"/>
      <c r="O274" s="1316"/>
      <c r="P274" s="1317"/>
      <c r="Q274" s="955"/>
      <c r="R274" s="955"/>
      <c r="S274" s="1024"/>
    </row>
    <row r="275" spans="2:19">
      <c r="B275" s="940"/>
      <c r="C275" s="1151" t="s">
        <v>337</v>
      </c>
      <c r="D275" s="944"/>
      <c r="E275" s="945"/>
      <c r="F275" s="1020"/>
      <c r="G275" s="1021"/>
      <c r="H275" s="1021"/>
      <c r="I275" s="1021"/>
      <c r="J275" s="1360"/>
      <c r="K275" s="947"/>
      <c r="L275" s="1361"/>
      <c r="M275" s="1314"/>
      <c r="N275" s="1315"/>
      <c r="O275" s="1316"/>
      <c r="P275" s="1317"/>
      <c r="Q275" s="955"/>
      <c r="R275" s="955"/>
      <c r="S275" s="1024"/>
    </row>
    <row r="276" spans="2:19">
      <c r="B276" s="940"/>
      <c r="C276" s="1151" t="s">
        <v>338</v>
      </c>
      <c r="D276" s="944"/>
      <c r="E276" s="945"/>
      <c r="F276" s="1020"/>
      <c r="G276" s="1021"/>
      <c r="H276" s="1021"/>
      <c r="I276" s="1021"/>
      <c r="J276" s="1360"/>
      <c r="K276" s="947"/>
      <c r="L276" s="1361"/>
      <c r="M276" s="1314"/>
      <c r="N276" s="1315"/>
      <c r="O276" s="1316"/>
      <c r="P276" s="1317"/>
      <c r="Q276" s="955"/>
      <c r="R276" s="955"/>
      <c r="S276" s="1024"/>
    </row>
    <row r="277" spans="2:19">
      <c r="B277" s="940"/>
      <c r="C277" s="1151"/>
      <c r="D277" s="944"/>
      <c r="E277" s="945"/>
      <c r="F277" s="1020"/>
      <c r="G277" s="1021"/>
      <c r="H277" s="1021"/>
      <c r="I277" s="1021"/>
      <c r="J277" s="1360"/>
      <c r="K277" s="947"/>
      <c r="L277" s="1361"/>
      <c r="M277" s="1314"/>
      <c r="N277" s="1315"/>
      <c r="O277" s="1316"/>
      <c r="P277" s="1317"/>
      <c r="Q277" s="955"/>
      <c r="R277" s="955"/>
      <c r="S277" s="1024"/>
    </row>
    <row r="278" spans="2:19" ht="15.75" customHeight="1">
      <c r="B278" s="940">
        <v>2</v>
      </c>
      <c r="C278" s="1151" t="s">
        <v>339</v>
      </c>
      <c r="D278" s="944" t="s">
        <v>135</v>
      </c>
      <c r="E278" s="945">
        <v>1</v>
      </c>
      <c r="F278" s="946">
        <v>1</v>
      </c>
      <c r="G278" s="947">
        <v>2365000</v>
      </c>
      <c r="H278" s="1149">
        <f>$F278*G278</f>
        <v>2365000</v>
      </c>
      <c r="I278" s="374">
        <f>H278/'REKAP TOTAL'!F44</f>
        <v>1.9450467222068793E-4</v>
      </c>
      <c r="J278" s="1326">
        <v>0</v>
      </c>
      <c r="K278" s="1327">
        <v>0</v>
      </c>
      <c r="L278" s="1328">
        <v>0</v>
      </c>
      <c r="M278" s="1329">
        <f t="shared" ref="M278" si="290">+P278-J278</f>
        <v>0</v>
      </c>
      <c r="N278" s="1330">
        <f t="shared" ref="N278" si="291">+Q278-K278</f>
        <v>0</v>
      </c>
      <c r="O278" s="1331">
        <f t="shared" ref="O278" si="292">+R278-L278</f>
        <v>0</v>
      </c>
      <c r="P278" s="1332">
        <f t="shared" ref="P278" si="293">+W278</f>
        <v>0</v>
      </c>
      <c r="Q278" s="1333">
        <f t="shared" ref="Q278" si="294">+P278/E278</f>
        <v>0</v>
      </c>
      <c r="R278" s="1333">
        <f t="shared" ref="R278" si="295">+Q278*I278</f>
        <v>0</v>
      </c>
      <c r="S278" s="1024"/>
    </row>
    <row r="279" spans="2:19">
      <c r="B279" s="940"/>
      <c r="C279" s="2029" t="s">
        <v>331</v>
      </c>
      <c r="D279" s="944"/>
      <c r="E279" s="945"/>
      <c r="F279" s="1020"/>
      <c r="G279" s="1021"/>
      <c r="H279" s="1021"/>
      <c r="I279" s="1021"/>
      <c r="J279" s="1360"/>
      <c r="K279" s="947"/>
      <c r="L279" s="1361"/>
      <c r="M279" s="1314"/>
      <c r="N279" s="1315"/>
      <c r="O279" s="1316"/>
      <c r="P279" s="1317"/>
      <c r="Q279" s="955"/>
      <c r="R279" s="955"/>
      <c r="S279" s="1024"/>
    </row>
    <row r="280" spans="2:19">
      <c r="B280" s="940"/>
      <c r="C280" s="2029" t="s">
        <v>340</v>
      </c>
      <c r="D280" s="944"/>
      <c r="E280" s="945"/>
      <c r="F280" s="1020"/>
      <c r="G280" s="1021"/>
      <c r="H280" s="1021"/>
      <c r="I280" s="1021"/>
      <c r="J280" s="1360"/>
      <c r="K280" s="947"/>
      <c r="L280" s="1361"/>
      <c r="M280" s="1314"/>
      <c r="N280" s="1315"/>
      <c r="O280" s="1316"/>
      <c r="P280" s="1317"/>
      <c r="Q280" s="955"/>
      <c r="R280" s="955"/>
      <c r="S280" s="1024"/>
    </row>
    <row r="281" spans="2:19">
      <c r="B281" s="940"/>
      <c r="C281" s="2029" t="s">
        <v>334</v>
      </c>
      <c r="D281" s="944"/>
      <c r="E281" s="945"/>
      <c r="F281" s="1020"/>
      <c r="G281" s="1021"/>
      <c r="H281" s="1021"/>
      <c r="I281" s="1021"/>
      <c r="J281" s="1360"/>
      <c r="K281" s="947"/>
      <c r="L281" s="1361"/>
      <c r="M281" s="1314"/>
      <c r="N281" s="1315"/>
      <c r="O281" s="1316"/>
      <c r="P281" s="1317"/>
      <c r="Q281" s="955"/>
      <c r="R281" s="955"/>
      <c r="S281" s="1024"/>
    </row>
    <row r="282" spans="2:19">
      <c r="B282" s="940"/>
      <c r="C282" s="2029" t="s">
        <v>335</v>
      </c>
      <c r="D282" s="944"/>
      <c r="E282" s="945"/>
      <c r="F282" s="1020"/>
      <c r="G282" s="1021"/>
      <c r="H282" s="1021"/>
      <c r="I282" s="1021"/>
      <c r="J282" s="1360"/>
      <c r="K282" s="947"/>
      <c r="L282" s="1361"/>
      <c r="M282" s="1314"/>
      <c r="N282" s="1315"/>
      <c r="O282" s="1316"/>
      <c r="P282" s="1317"/>
      <c r="Q282" s="955"/>
      <c r="R282" s="955"/>
      <c r="S282" s="1024"/>
    </row>
    <row r="283" spans="2:19">
      <c r="B283" s="940"/>
      <c r="C283" s="1151" t="s">
        <v>341</v>
      </c>
      <c r="D283" s="944"/>
      <c r="E283" s="945"/>
      <c r="F283" s="1020"/>
      <c r="G283" s="1021"/>
      <c r="H283" s="1021"/>
      <c r="I283" s="1021"/>
      <c r="J283" s="1360"/>
      <c r="K283" s="947"/>
      <c r="L283" s="1361"/>
      <c r="M283" s="1314"/>
      <c r="N283" s="1315"/>
      <c r="O283" s="1316"/>
      <c r="P283" s="1317"/>
      <c r="Q283" s="955"/>
      <c r="R283" s="955"/>
      <c r="S283" s="1024"/>
    </row>
    <row r="284" spans="2:19">
      <c r="B284" s="940"/>
      <c r="C284" s="1151"/>
      <c r="D284" s="944"/>
      <c r="E284" s="945"/>
      <c r="F284" s="1020"/>
      <c r="G284" s="1021"/>
      <c r="H284" s="1021"/>
      <c r="I284" s="1021"/>
      <c r="J284" s="1360"/>
      <c r="K284" s="947"/>
      <c r="L284" s="1361"/>
      <c r="M284" s="1314"/>
      <c r="N284" s="1315"/>
      <c r="O284" s="1316"/>
      <c r="P284" s="1317"/>
      <c r="Q284" s="955"/>
      <c r="R284" s="955"/>
      <c r="S284" s="1024"/>
    </row>
    <row r="285" spans="2:19" ht="15.75" customHeight="1">
      <c r="B285" s="940">
        <v>3</v>
      </c>
      <c r="C285" s="1151" t="s">
        <v>342</v>
      </c>
      <c r="D285" s="944" t="s">
        <v>135</v>
      </c>
      <c r="E285" s="945">
        <v>1</v>
      </c>
      <c r="F285" s="946">
        <v>1</v>
      </c>
      <c r="G285" s="947">
        <v>4589800</v>
      </c>
      <c r="H285" s="1149">
        <f>$F285*G285</f>
        <v>4589800</v>
      </c>
      <c r="I285" s="374">
        <f>H285/'REKAP TOTAL'!F44</f>
        <v>3.7747887719176047E-4</v>
      </c>
      <c r="J285" s="1326">
        <v>0</v>
      </c>
      <c r="K285" s="1327">
        <v>0</v>
      </c>
      <c r="L285" s="1328">
        <v>0</v>
      </c>
      <c r="M285" s="1329">
        <f t="shared" ref="M285" si="296">+P285-J285</f>
        <v>0</v>
      </c>
      <c r="N285" s="1330">
        <f t="shared" ref="N285" si="297">+Q285-K285</f>
        <v>0</v>
      </c>
      <c r="O285" s="1331">
        <f t="shared" ref="O285" si="298">+R285-L285</f>
        <v>0</v>
      </c>
      <c r="P285" s="1332">
        <f t="shared" ref="P285" si="299">+W285</f>
        <v>0</v>
      </c>
      <c r="Q285" s="1333">
        <f t="shared" ref="Q285" si="300">+P285/E285</f>
        <v>0</v>
      </c>
      <c r="R285" s="1333">
        <f t="shared" ref="R285" si="301">+Q285*I285</f>
        <v>0</v>
      </c>
      <c r="S285" s="1024"/>
    </row>
    <row r="286" spans="2:19">
      <c r="B286" s="940"/>
      <c r="C286" s="2029" t="s">
        <v>331</v>
      </c>
      <c r="D286" s="944"/>
      <c r="E286" s="945"/>
      <c r="F286" s="1020"/>
      <c r="G286" s="1021"/>
      <c r="H286" s="1021"/>
      <c r="I286" s="1021"/>
      <c r="J286" s="1360"/>
      <c r="K286" s="947"/>
      <c r="L286" s="1361"/>
      <c r="M286" s="1314"/>
      <c r="N286" s="1315"/>
      <c r="O286" s="1316"/>
      <c r="P286" s="1317"/>
      <c r="Q286" s="955"/>
      <c r="R286" s="955"/>
      <c r="S286" s="1024"/>
    </row>
    <row r="287" spans="2:19">
      <c r="B287" s="940"/>
      <c r="C287" s="2029" t="s">
        <v>340</v>
      </c>
      <c r="D287" s="944"/>
      <c r="E287" s="945"/>
      <c r="F287" s="1020"/>
      <c r="G287" s="1021"/>
      <c r="H287" s="1021"/>
      <c r="I287" s="1021"/>
      <c r="J287" s="1360"/>
      <c r="K287" s="947"/>
      <c r="L287" s="1361"/>
      <c r="M287" s="1314"/>
      <c r="N287" s="1315"/>
      <c r="O287" s="1316"/>
      <c r="P287" s="1317"/>
      <c r="Q287" s="955"/>
      <c r="R287" s="955"/>
      <c r="S287" s="1024"/>
    </row>
    <row r="288" spans="2:19">
      <c r="B288" s="940"/>
      <c r="C288" s="2029" t="s">
        <v>334</v>
      </c>
      <c r="D288" s="944"/>
      <c r="E288" s="945"/>
      <c r="F288" s="1020"/>
      <c r="G288" s="1021"/>
      <c r="H288" s="1021"/>
      <c r="I288" s="1021"/>
      <c r="J288" s="1360"/>
      <c r="K288" s="947"/>
      <c r="L288" s="1361"/>
      <c r="M288" s="1314"/>
      <c r="N288" s="1315"/>
      <c r="O288" s="1316"/>
      <c r="P288" s="1317"/>
      <c r="Q288" s="955"/>
      <c r="R288" s="955"/>
      <c r="S288" s="1024"/>
    </row>
    <row r="289" spans="2:19">
      <c r="B289" s="940"/>
      <c r="C289" s="2029" t="s">
        <v>335</v>
      </c>
      <c r="D289" s="944"/>
      <c r="E289" s="945"/>
      <c r="F289" s="1020"/>
      <c r="G289" s="1021"/>
      <c r="H289" s="1021"/>
      <c r="I289" s="1021"/>
      <c r="J289" s="1360"/>
      <c r="K289" s="947"/>
      <c r="L289" s="1361"/>
      <c r="M289" s="1314"/>
      <c r="N289" s="1315"/>
      <c r="O289" s="1316"/>
      <c r="P289" s="1317"/>
      <c r="Q289" s="955"/>
      <c r="R289" s="955"/>
      <c r="S289" s="1024"/>
    </row>
    <row r="290" spans="2:19">
      <c r="B290" s="940"/>
      <c r="C290" s="1151" t="s">
        <v>341</v>
      </c>
      <c r="D290" s="944"/>
      <c r="E290" s="945"/>
      <c r="F290" s="1020"/>
      <c r="G290" s="1021"/>
      <c r="H290" s="1021"/>
      <c r="I290" s="1021"/>
      <c r="J290" s="1360"/>
      <c r="K290" s="947"/>
      <c r="L290" s="1361"/>
      <c r="M290" s="1314"/>
      <c r="N290" s="1315"/>
      <c r="O290" s="1316"/>
      <c r="P290" s="1317"/>
      <c r="Q290" s="955"/>
      <c r="R290" s="955"/>
      <c r="S290" s="1024"/>
    </row>
    <row r="291" spans="2:19">
      <c r="B291" s="940"/>
      <c r="C291" s="1151"/>
      <c r="D291" s="944"/>
      <c r="E291" s="945"/>
      <c r="F291" s="1020"/>
      <c r="G291" s="1021"/>
      <c r="H291" s="1021"/>
      <c r="I291" s="1021"/>
      <c r="J291" s="1360"/>
      <c r="K291" s="947"/>
      <c r="L291" s="1361"/>
      <c r="M291" s="1314"/>
      <c r="N291" s="1315"/>
      <c r="O291" s="1316"/>
      <c r="P291" s="1317"/>
      <c r="Q291" s="955"/>
      <c r="R291" s="955"/>
      <c r="S291" s="1024"/>
    </row>
    <row r="292" spans="2:19" ht="39" customHeight="1">
      <c r="B292" s="940">
        <v>4</v>
      </c>
      <c r="C292" s="1444" t="s">
        <v>343</v>
      </c>
      <c r="D292" s="944" t="s">
        <v>135</v>
      </c>
      <c r="E292" s="945">
        <v>3</v>
      </c>
      <c r="F292" s="946">
        <v>3</v>
      </c>
      <c r="G292" s="947">
        <v>24740100</v>
      </c>
      <c r="H292" s="1149">
        <f>$F292*G292</f>
        <v>74220300</v>
      </c>
      <c r="I292" s="374">
        <f>H292/'REKAP TOTAL'!F44</f>
        <v>6.1040994180216173E-3</v>
      </c>
      <c r="J292" s="1326">
        <v>0</v>
      </c>
      <c r="K292" s="1327">
        <v>0</v>
      </c>
      <c r="L292" s="1328">
        <v>0</v>
      </c>
      <c r="M292" s="1329">
        <f t="shared" ref="M292" si="302">+P292-J292</f>
        <v>0</v>
      </c>
      <c r="N292" s="1330">
        <f t="shared" ref="N292" si="303">+Q292-K292</f>
        <v>0</v>
      </c>
      <c r="O292" s="1331">
        <f t="shared" ref="O292" si="304">+R292-L292</f>
        <v>0</v>
      </c>
      <c r="P292" s="1332">
        <f t="shared" ref="P292" si="305">+W292</f>
        <v>0</v>
      </c>
      <c r="Q292" s="1333">
        <f t="shared" ref="Q292" si="306">+P292/E292</f>
        <v>0</v>
      </c>
      <c r="R292" s="1333">
        <f t="shared" ref="R292" si="307">+Q292*I292</f>
        <v>0</v>
      </c>
      <c r="S292" s="1024"/>
    </row>
    <row r="293" spans="2:19" ht="15.75" customHeight="1">
      <c r="B293" s="940"/>
      <c r="C293" s="2029" t="s">
        <v>344</v>
      </c>
      <c r="D293" s="944"/>
      <c r="E293" s="945"/>
      <c r="F293" s="1020"/>
      <c r="G293" s="1021"/>
      <c r="H293" s="1021"/>
      <c r="I293" s="1021"/>
      <c r="J293" s="1360"/>
      <c r="K293" s="947"/>
      <c r="L293" s="1361"/>
      <c r="M293" s="1314"/>
      <c r="N293" s="1315"/>
      <c r="O293" s="1316"/>
      <c r="P293" s="1317"/>
      <c r="Q293" s="955"/>
      <c r="R293" s="955"/>
      <c r="S293" s="1024"/>
    </row>
    <row r="294" spans="2:19" ht="15.75" customHeight="1">
      <c r="B294" s="940"/>
      <c r="C294" s="2029" t="s">
        <v>345</v>
      </c>
      <c r="D294" s="944"/>
      <c r="E294" s="945"/>
      <c r="F294" s="1020"/>
      <c r="G294" s="1021"/>
      <c r="H294" s="1021"/>
      <c r="I294" s="1021"/>
      <c r="J294" s="1360"/>
      <c r="K294" s="947"/>
      <c r="L294" s="1361"/>
      <c r="M294" s="1314"/>
      <c r="N294" s="1315"/>
      <c r="O294" s="1316"/>
      <c r="P294" s="1317"/>
      <c r="Q294" s="955"/>
      <c r="R294" s="955"/>
      <c r="S294" s="1024"/>
    </row>
    <row r="295" spans="2:19" ht="15.75" customHeight="1">
      <c r="B295" s="940"/>
      <c r="C295" s="2029" t="s">
        <v>346</v>
      </c>
      <c r="D295" s="944"/>
      <c r="E295" s="945"/>
      <c r="F295" s="1020"/>
      <c r="G295" s="1021"/>
      <c r="H295" s="1021"/>
      <c r="I295" s="1021"/>
      <c r="J295" s="1360"/>
      <c r="K295" s="947"/>
      <c r="L295" s="1361"/>
      <c r="M295" s="1314"/>
      <c r="N295" s="1315"/>
      <c r="O295" s="1316"/>
      <c r="P295" s="1317"/>
      <c r="Q295" s="955"/>
      <c r="R295" s="955"/>
      <c r="S295" s="1024"/>
    </row>
    <row r="296" spans="2:19" ht="15.75" customHeight="1">
      <c r="B296" s="940"/>
      <c r="C296" s="2029" t="s">
        <v>347</v>
      </c>
      <c r="D296" s="944"/>
      <c r="E296" s="945"/>
      <c r="F296" s="1020"/>
      <c r="G296" s="1021"/>
      <c r="H296" s="1021"/>
      <c r="I296" s="1021"/>
      <c r="J296" s="1360"/>
      <c r="K296" s="947"/>
      <c r="L296" s="1361"/>
      <c r="M296" s="1314"/>
      <c r="N296" s="1315"/>
      <c r="O296" s="1316"/>
      <c r="P296" s="1317"/>
      <c r="Q296" s="955"/>
      <c r="R296" s="955"/>
      <c r="S296" s="1024"/>
    </row>
    <row r="297" spans="2:19" ht="15.75" customHeight="1">
      <c r="B297" s="940"/>
      <c r="C297" s="2029" t="s">
        <v>335</v>
      </c>
      <c r="D297" s="944"/>
      <c r="E297" s="945"/>
      <c r="F297" s="1020"/>
      <c r="G297" s="1021"/>
      <c r="H297" s="1021"/>
      <c r="I297" s="1021"/>
      <c r="J297" s="1360"/>
      <c r="K297" s="947"/>
      <c r="L297" s="1361"/>
      <c r="M297" s="1314"/>
      <c r="N297" s="1315"/>
      <c r="O297" s="1316"/>
      <c r="P297" s="1317"/>
      <c r="Q297" s="955"/>
      <c r="R297" s="955"/>
      <c r="S297" s="1024"/>
    </row>
    <row r="298" spans="2:19" ht="15.75" customHeight="1">
      <c r="B298" s="940"/>
      <c r="C298" s="1151" t="s">
        <v>348</v>
      </c>
      <c r="D298" s="944"/>
      <c r="E298" s="945"/>
      <c r="F298" s="1020"/>
      <c r="G298" s="1021"/>
      <c r="H298" s="1021"/>
      <c r="I298" s="1021"/>
      <c r="J298" s="1360"/>
      <c r="K298" s="947"/>
      <c r="L298" s="1361"/>
      <c r="M298" s="1314"/>
      <c r="N298" s="1315"/>
      <c r="O298" s="1316"/>
      <c r="P298" s="1317"/>
      <c r="Q298" s="955"/>
      <c r="R298" s="955"/>
      <c r="S298" s="1024"/>
    </row>
    <row r="299" spans="2:19" ht="15.75" customHeight="1">
      <c r="B299" s="940"/>
      <c r="C299" s="1151" t="s">
        <v>349</v>
      </c>
      <c r="D299" s="944"/>
      <c r="E299" s="945"/>
      <c r="F299" s="1020"/>
      <c r="G299" s="1021"/>
      <c r="H299" s="1021"/>
      <c r="I299" s="1021"/>
      <c r="J299" s="1360"/>
      <c r="K299" s="947"/>
      <c r="L299" s="1361"/>
      <c r="M299" s="1314"/>
      <c r="N299" s="1315"/>
      <c r="O299" s="1316"/>
      <c r="P299" s="1317"/>
      <c r="Q299" s="955"/>
      <c r="R299" s="955"/>
      <c r="S299" s="1024"/>
    </row>
    <row r="300" spans="2:19" ht="15.75" customHeight="1">
      <c r="B300" s="940"/>
      <c r="C300" s="1151" t="s">
        <v>350</v>
      </c>
      <c r="D300" s="944"/>
      <c r="E300" s="945"/>
      <c r="F300" s="1020"/>
      <c r="G300" s="1021"/>
      <c r="H300" s="1021"/>
      <c r="I300" s="1021"/>
      <c r="J300" s="1360"/>
      <c r="K300" s="947"/>
      <c r="L300" s="1361"/>
      <c r="M300" s="1314"/>
      <c r="N300" s="1315"/>
      <c r="O300" s="1316"/>
      <c r="P300" s="1317"/>
      <c r="Q300" s="955"/>
      <c r="R300" s="955"/>
      <c r="S300" s="1024"/>
    </row>
    <row r="301" spans="2:19" ht="15.75" customHeight="1">
      <c r="B301" s="940"/>
      <c r="C301" s="1151"/>
      <c r="D301" s="944"/>
      <c r="E301" s="945"/>
      <c r="F301" s="1020"/>
      <c r="G301" s="1021"/>
      <c r="H301" s="1021"/>
      <c r="I301" s="1021"/>
      <c r="J301" s="1360"/>
      <c r="K301" s="947"/>
      <c r="L301" s="1361"/>
      <c r="M301" s="1314"/>
      <c r="N301" s="1315"/>
      <c r="O301" s="1316"/>
      <c r="P301" s="1317"/>
      <c r="Q301" s="955"/>
      <c r="R301" s="955"/>
      <c r="S301" s="1024"/>
    </row>
    <row r="302" spans="2:19" ht="25.5" customHeight="1">
      <c r="B302" s="940">
        <v>6</v>
      </c>
      <c r="C302" s="1444" t="s">
        <v>351</v>
      </c>
      <c r="D302" s="944" t="s">
        <v>135</v>
      </c>
      <c r="E302" s="945">
        <v>7</v>
      </c>
      <c r="F302" s="946">
        <v>7</v>
      </c>
      <c r="G302" s="947">
        <v>6279200</v>
      </c>
      <c r="H302" s="1149">
        <f>$F302*G302</f>
        <v>43954400</v>
      </c>
      <c r="I302" s="374">
        <f>H302/'REKAP TOTAL'!F44</f>
        <v>3.6149412958380576E-3</v>
      </c>
      <c r="J302" s="1326">
        <v>0</v>
      </c>
      <c r="K302" s="1327">
        <v>0</v>
      </c>
      <c r="L302" s="1328">
        <v>0</v>
      </c>
      <c r="M302" s="1329">
        <f t="shared" ref="M302" si="308">+P302-J302</f>
        <v>0</v>
      </c>
      <c r="N302" s="1330">
        <f t="shared" ref="N302" si="309">+Q302-K302</f>
        <v>0</v>
      </c>
      <c r="O302" s="1331">
        <f t="shared" ref="O302" si="310">+R302-L302</f>
        <v>0</v>
      </c>
      <c r="P302" s="1332">
        <f t="shared" ref="P302" si="311">+W302</f>
        <v>0</v>
      </c>
      <c r="Q302" s="1333">
        <f t="shared" ref="Q302" si="312">+P302/E302</f>
        <v>0</v>
      </c>
      <c r="R302" s="1333">
        <f t="shared" ref="R302" si="313">+Q302*I302</f>
        <v>0</v>
      </c>
      <c r="S302" s="1024"/>
    </row>
    <row r="303" spans="2:19">
      <c r="B303" s="940"/>
      <c r="C303" s="2029" t="s">
        <v>352</v>
      </c>
      <c r="D303" s="944"/>
      <c r="E303" s="945"/>
      <c r="F303" s="1020"/>
      <c r="G303" s="1021"/>
      <c r="H303" s="1021"/>
      <c r="I303" s="1021"/>
      <c r="J303" s="1360"/>
      <c r="K303" s="947"/>
      <c r="L303" s="1361"/>
      <c r="M303" s="1314"/>
      <c r="N303" s="1315"/>
      <c r="O303" s="1316"/>
      <c r="P303" s="1317"/>
      <c r="Q303" s="955"/>
      <c r="R303" s="955"/>
      <c r="S303" s="1024"/>
    </row>
    <row r="304" spans="2:19">
      <c r="B304" s="940"/>
      <c r="C304" s="2029" t="s">
        <v>353</v>
      </c>
      <c r="D304" s="944"/>
      <c r="E304" s="945"/>
      <c r="F304" s="1020"/>
      <c r="G304" s="1021"/>
      <c r="H304" s="1021"/>
      <c r="I304" s="1021"/>
      <c r="J304" s="1360"/>
      <c r="K304" s="947"/>
      <c r="L304" s="1361"/>
      <c r="M304" s="1314"/>
      <c r="N304" s="1315"/>
      <c r="O304" s="1316"/>
      <c r="P304" s="1317"/>
      <c r="Q304" s="955"/>
      <c r="R304" s="955"/>
      <c r="S304" s="1024"/>
    </row>
    <row r="305" spans="2:19">
      <c r="B305" s="940"/>
      <c r="C305" s="1151"/>
      <c r="D305" s="944"/>
      <c r="E305" s="945"/>
      <c r="F305" s="1020"/>
      <c r="G305" s="1021"/>
      <c r="H305" s="1021"/>
      <c r="I305" s="1021"/>
      <c r="J305" s="1360"/>
      <c r="K305" s="947"/>
      <c r="L305" s="1361"/>
      <c r="M305" s="1314"/>
      <c r="N305" s="1315"/>
      <c r="O305" s="1316"/>
      <c r="P305" s="1317"/>
      <c r="Q305" s="955"/>
      <c r="R305" s="955"/>
      <c r="S305" s="1024"/>
    </row>
    <row r="306" spans="2:19" ht="18" customHeight="1">
      <c r="B306" s="940">
        <v>7</v>
      </c>
      <c r="C306" s="1444" t="s">
        <v>354</v>
      </c>
      <c r="D306" s="944" t="s">
        <v>135</v>
      </c>
      <c r="E306" s="945">
        <v>12</v>
      </c>
      <c r="F306" s="946">
        <v>12</v>
      </c>
      <c r="G306" s="947">
        <v>4227800</v>
      </c>
      <c r="H306" s="1149">
        <f>$F306*G306</f>
        <v>50733600</v>
      </c>
      <c r="I306" s="374">
        <f>H306/'REKAP TOTAL'!F44</f>
        <v>4.1724829761418582E-3</v>
      </c>
      <c r="J306" s="1326">
        <v>0</v>
      </c>
      <c r="K306" s="1327">
        <v>0</v>
      </c>
      <c r="L306" s="1328">
        <v>0</v>
      </c>
      <c r="M306" s="1329">
        <f t="shared" ref="M306" si="314">+P306-J306</f>
        <v>0</v>
      </c>
      <c r="N306" s="1330">
        <f t="shared" ref="N306" si="315">+Q306-K306</f>
        <v>0</v>
      </c>
      <c r="O306" s="1331">
        <f t="shared" ref="O306" si="316">+R306-L306</f>
        <v>0</v>
      </c>
      <c r="P306" s="1332">
        <f t="shared" ref="P306" si="317">+W306</f>
        <v>0</v>
      </c>
      <c r="Q306" s="1333">
        <f t="shared" ref="Q306" si="318">+P306/E306</f>
        <v>0</v>
      </c>
      <c r="R306" s="1333">
        <f t="shared" ref="R306" si="319">+Q306*I306</f>
        <v>0</v>
      </c>
      <c r="S306" s="1024"/>
    </row>
    <row r="307" spans="2:19" ht="18" customHeight="1">
      <c r="B307" s="940"/>
      <c r="C307" s="2029" t="s">
        <v>352</v>
      </c>
      <c r="D307" s="944"/>
      <c r="E307" s="945"/>
      <c r="F307" s="1020"/>
      <c r="G307" s="1021"/>
      <c r="H307" s="1021"/>
      <c r="I307" s="1021"/>
      <c r="J307" s="1360"/>
      <c r="K307" s="947"/>
      <c r="L307" s="1361"/>
      <c r="M307" s="1314"/>
      <c r="N307" s="1315"/>
      <c r="O307" s="1316"/>
      <c r="P307" s="1317"/>
      <c r="Q307" s="955"/>
      <c r="R307" s="955"/>
      <c r="S307" s="1024"/>
    </row>
    <row r="308" spans="2:19" ht="18" customHeight="1">
      <c r="B308" s="940"/>
      <c r="C308" s="2029" t="s">
        <v>353</v>
      </c>
      <c r="D308" s="944"/>
      <c r="E308" s="945"/>
      <c r="F308" s="1020"/>
      <c r="G308" s="1021"/>
      <c r="H308" s="1021"/>
      <c r="I308" s="1021"/>
      <c r="J308" s="1360"/>
      <c r="K308" s="947"/>
      <c r="L308" s="1361"/>
      <c r="M308" s="1314"/>
      <c r="N308" s="1315"/>
      <c r="O308" s="1316"/>
      <c r="P308" s="1317"/>
      <c r="Q308" s="955"/>
      <c r="R308" s="955"/>
      <c r="S308" s="1024"/>
    </row>
    <row r="309" spans="2:19">
      <c r="B309" s="940"/>
      <c r="C309" s="1151"/>
      <c r="D309" s="944"/>
      <c r="E309" s="945"/>
      <c r="F309" s="1020"/>
      <c r="G309" s="1021"/>
      <c r="H309" s="1021"/>
      <c r="I309" s="1021"/>
      <c r="J309" s="1360"/>
      <c r="K309" s="947"/>
      <c r="L309" s="1361"/>
      <c r="M309" s="1314"/>
      <c r="N309" s="1315"/>
      <c r="O309" s="1316"/>
      <c r="P309" s="1317"/>
      <c r="Q309" s="955"/>
      <c r="R309" s="955"/>
      <c r="S309" s="1024"/>
    </row>
    <row r="310" spans="2:19" ht="19.5" customHeight="1">
      <c r="B310" s="940">
        <v>8</v>
      </c>
      <c r="C310" s="1444" t="s">
        <v>355</v>
      </c>
      <c r="D310" s="944" t="s">
        <v>135</v>
      </c>
      <c r="E310" s="945">
        <v>4</v>
      </c>
      <c r="F310" s="946">
        <v>4</v>
      </c>
      <c r="G310" s="947">
        <v>6379200</v>
      </c>
      <c r="H310" s="1149">
        <f>$F310*G310</f>
        <v>25516800</v>
      </c>
      <c r="I310" s="374">
        <f>H310/'REKAP TOTAL'!F44</f>
        <v>2.0985779366261524E-3</v>
      </c>
      <c r="J310" s="1326">
        <v>0</v>
      </c>
      <c r="K310" s="1327">
        <v>0</v>
      </c>
      <c r="L310" s="1328">
        <v>0</v>
      </c>
      <c r="M310" s="1329">
        <f t="shared" ref="M310" si="320">+P310-J310</f>
        <v>0</v>
      </c>
      <c r="N310" s="1330">
        <f t="shared" ref="N310" si="321">+Q310-K310</f>
        <v>0</v>
      </c>
      <c r="O310" s="1331">
        <f t="shared" ref="O310" si="322">+R310-L310</f>
        <v>0</v>
      </c>
      <c r="P310" s="1332">
        <f t="shared" ref="P310" si="323">+W310</f>
        <v>0</v>
      </c>
      <c r="Q310" s="1333">
        <f t="shared" ref="Q310" si="324">+P310/E310</f>
        <v>0</v>
      </c>
      <c r="R310" s="1333">
        <f t="shared" ref="R310" si="325">+Q310*I310</f>
        <v>0</v>
      </c>
      <c r="S310" s="1024"/>
    </row>
    <row r="311" spans="2:19" ht="19.5" customHeight="1">
      <c r="B311" s="940"/>
      <c r="C311" s="2029" t="s">
        <v>331</v>
      </c>
      <c r="D311" s="944"/>
      <c r="E311" s="945"/>
      <c r="F311" s="1020"/>
      <c r="G311" s="1021"/>
      <c r="H311" s="1021"/>
      <c r="I311" s="1021"/>
      <c r="J311" s="1360"/>
      <c r="K311" s="947"/>
      <c r="L311" s="1361"/>
      <c r="M311" s="1314"/>
      <c r="N311" s="1315"/>
      <c r="O311" s="1316"/>
      <c r="P311" s="1317"/>
      <c r="Q311" s="955"/>
      <c r="R311" s="955"/>
      <c r="S311" s="1024"/>
    </row>
    <row r="312" spans="2:19" ht="19.5" customHeight="1">
      <c r="B312" s="940"/>
      <c r="C312" s="2029" t="s">
        <v>356</v>
      </c>
      <c r="D312" s="944"/>
      <c r="E312" s="945"/>
      <c r="F312" s="1020"/>
      <c r="G312" s="1021"/>
      <c r="H312" s="1021"/>
      <c r="I312" s="1021"/>
      <c r="J312" s="1360"/>
      <c r="K312" s="947"/>
      <c r="L312" s="1361"/>
      <c r="M312" s="1314"/>
      <c r="N312" s="1315"/>
      <c r="O312" s="1316"/>
      <c r="P312" s="1317"/>
      <c r="Q312" s="955"/>
      <c r="R312" s="955"/>
      <c r="S312" s="1024"/>
    </row>
    <row r="313" spans="2:19" ht="19.5" customHeight="1">
      <c r="B313" s="940"/>
      <c r="C313" s="2029" t="s">
        <v>357</v>
      </c>
      <c r="D313" s="944"/>
      <c r="E313" s="945"/>
      <c r="F313" s="1020"/>
      <c r="G313" s="1021"/>
      <c r="H313" s="1021"/>
      <c r="I313" s="1021"/>
      <c r="J313" s="1360"/>
      <c r="K313" s="947"/>
      <c r="L313" s="1361"/>
      <c r="M313" s="1314"/>
      <c r="N313" s="1315"/>
      <c r="O313" s="1316"/>
      <c r="P313" s="1317"/>
      <c r="Q313" s="955"/>
      <c r="R313" s="955"/>
      <c r="S313" s="1024"/>
    </row>
    <row r="314" spans="2:19">
      <c r="B314" s="940"/>
      <c r="C314" s="1151"/>
      <c r="D314" s="944"/>
      <c r="E314" s="945"/>
      <c r="F314" s="1020"/>
      <c r="G314" s="1021"/>
      <c r="H314" s="1021"/>
      <c r="I314" s="1021"/>
      <c r="J314" s="1360"/>
      <c r="K314" s="947"/>
      <c r="L314" s="1361"/>
      <c r="M314" s="1314"/>
      <c r="N314" s="1315"/>
      <c r="O314" s="1316"/>
      <c r="P314" s="1317"/>
      <c r="Q314" s="955"/>
      <c r="R314" s="955"/>
      <c r="S314" s="1024"/>
    </row>
    <row r="315" spans="2:19" ht="17.25" customHeight="1">
      <c r="B315" s="940">
        <v>9</v>
      </c>
      <c r="C315" s="1444" t="s">
        <v>358</v>
      </c>
      <c r="D315" s="944" t="s">
        <v>135</v>
      </c>
      <c r="E315" s="945">
        <v>1</v>
      </c>
      <c r="F315" s="946">
        <v>1</v>
      </c>
      <c r="G315" s="947">
        <v>6844600</v>
      </c>
      <c r="H315" s="1149">
        <f>$F315*G315</f>
        <v>6844600</v>
      </c>
      <c r="I315" s="374">
        <f>H315/'REKAP TOTAL'!F44</f>
        <v>5.6292037187387768E-4</v>
      </c>
      <c r="J315" s="1326">
        <v>0</v>
      </c>
      <c r="K315" s="1327">
        <v>0</v>
      </c>
      <c r="L315" s="1328">
        <v>0</v>
      </c>
      <c r="M315" s="1329">
        <f t="shared" ref="M315" si="326">+P315-J315</f>
        <v>0</v>
      </c>
      <c r="N315" s="1330">
        <f t="shared" ref="N315" si="327">+Q315-K315</f>
        <v>0</v>
      </c>
      <c r="O315" s="1331">
        <f t="shared" ref="O315" si="328">+R315-L315</f>
        <v>0</v>
      </c>
      <c r="P315" s="1332">
        <f t="shared" ref="P315" si="329">+W315</f>
        <v>0</v>
      </c>
      <c r="Q315" s="1333">
        <f t="shared" ref="Q315" si="330">+P315/E315</f>
        <v>0</v>
      </c>
      <c r="R315" s="1333">
        <f t="shared" ref="R315" si="331">+Q315*I315</f>
        <v>0</v>
      </c>
      <c r="S315" s="1024"/>
    </row>
    <row r="316" spans="2:19" ht="17.25" customHeight="1">
      <c r="B316" s="940"/>
      <c r="C316" s="2029" t="s">
        <v>331</v>
      </c>
      <c r="D316" s="944"/>
      <c r="E316" s="945"/>
      <c r="F316" s="1020"/>
      <c r="G316" s="1021"/>
      <c r="H316" s="1021"/>
      <c r="I316" s="1021"/>
      <c r="J316" s="1360"/>
      <c r="K316" s="947"/>
      <c r="L316" s="1361"/>
      <c r="M316" s="1314"/>
      <c r="N316" s="1315"/>
      <c r="O316" s="1316"/>
      <c r="P316" s="1317"/>
      <c r="Q316" s="955"/>
      <c r="R316" s="955"/>
      <c r="S316" s="1024"/>
    </row>
    <row r="317" spans="2:19" ht="17.25" customHeight="1">
      <c r="B317" s="940"/>
      <c r="C317" s="2029" t="s">
        <v>356</v>
      </c>
      <c r="D317" s="944"/>
      <c r="E317" s="945"/>
      <c r="F317" s="1020"/>
      <c r="G317" s="1021"/>
      <c r="H317" s="1021"/>
      <c r="I317" s="1021"/>
      <c r="J317" s="1360"/>
      <c r="K317" s="947"/>
      <c r="L317" s="1361"/>
      <c r="M317" s="1314"/>
      <c r="N317" s="1315"/>
      <c r="O317" s="1316"/>
      <c r="P317" s="1317"/>
      <c r="Q317" s="955"/>
      <c r="R317" s="955"/>
      <c r="S317" s="1024"/>
    </row>
    <row r="318" spans="2:19" ht="17.25" customHeight="1">
      <c r="B318" s="940"/>
      <c r="C318" s="2029" t="s">
        <v>357</v>
      </c>
      <c r="D318" s="944"/>
      <c r="E318" s="945"/>
      <c r="F318" s="1020"/>
      <c r="G318" s="1021"/>
      <c r="H318" s="1021"/>
      <c r="I318" s="1021"/>
      <c r="J318" s="1360"/>
      <c r="K318" s="947"/>
      <c r="L318" s="1361"/>
      <c r="M318" s="1314"/>
      <c r="N318" s="1315"/>
      <c r="O318" s="1316"/>
      <c r="P318" s="1317"/>
      <c r="Q318" s="955"/>
      <c r="R318" s="955"/>
      <c r="S318" s="1024"/>
    </row>
    <row r="319" spans="2:19">
      <c r="B319" s="940"/>
      <c r="C319" s="1151"/>
      <c r="D319" s="944"/>
      <c r="E319" s="945"/>
      <c r="F319" s="1020"/>
      <c r="G319" s="1021"/>
      <c r="H319" s="1021"/>
      <c r="I319" s="1021"/>
      <c r="J319" s="1360"/>
      <c r="K319" s="947"/>
      <c r="L319" s="1361"/>
      <c r="M319" s="1314"/>
      <c r="N319" s="1315"/>
      <c r="O319" s="1316"/>
      <c r="P319" s="1317"/>
      <c r="Q319" s="955"/>
      <c r="R319" s="955"/>
      <c r="S319" s="1024"/>
    </row>
    <row r="320" spans="2:19" ht="18.75" customHeight="1">
      <c r="B320" s="940">
        <v>10</v>
      </c>
      <c r="C320" s="1444" t="s">
        <v>359</v>
      </c>
      <c r="D320" s="944" t="s">
        <v>135</v>
      </c>
      <c r="E320" s="945">
        <v>1</v>
      </c>
      <c r="F320" s="946">
        <v>1</v>
      </c>
      <c r="G320" s="947">
        <v>7991300</v>
      </c>
      <c r="H320" s="1149">
        <f>$F320*G320</f>
        <v>7991300</v>
      </c>
      <c r="I320" s="374">
        <f>H320/'REKAP TOTAL'!F44</f>
        <v>6.5722840892904171E-4</v>
      </c>
      <c r="J320" s="1326">
        <v>0</v>
      </c>
      <c r="K320" s="1327">
        <v>0</v>
      </c>
      <c r="L320" s="1328">
        <v>0</v>
      </c>
      <c r="M320" s="1329">
        <f t="shared" ref="M320" si="332">+P320-J320</f>
        <v>0</v>
      </c>
      <c r="N320" s="1330">
        <f t="shared" ref="N320" si="333">+Q320-K320</f>
        <v>0</v>
      </c>
      <c r="O320" s="1331">
        <f t="shared" ref="O320" si="334">+R320-L320</f>
        <v>0</v>
      </c>
      <c r="P320" s="1332">
        <f t="shared" ref="P320" si="335">+W320</f>
        <v>0</v>
      </c>
      <c r="Q320" s="1333">
        <f t="shared" ref="Q320" si="336">+P320/E320</f>
        <v>0</v>
      </c>
      <c r="R320" s="1333">
        <f t="shared" ref="R320" si="337">+Q320*I320</f>
        <v>0</v>
      </c>
      <c r="S320" s="1024"/>
    </row>
    <row r="321" spans="2:19" ht="18.75" customHeight="1">
      <c r="B321" s="940"/>
      <c r="C321" s="2029" t="s">
        <v>331</v>
      </c>
      <c r="D321" s="944"/>
      <c r="E321" s="945"/>
      <c r="F321" s="1020"/>
      <c r="G321" s="1021"/>
      <c r="H321" s="1021"/>
      <c r="I321" s="1021"/>
      <c r="J321" s="1360"/>
      <c r="K321" s="947"/>
      <c r="L321" s="1361"/>
      <c r="M321" s="1314"/>
      <c r="N321" s="1315"/>
      <c r="O321" s="1316"/>
      <c r="P321" s="1317"/>
      <c r="Q321" s="955"/>
      <c r="R321" s="955"/>
      <c r="S321" s="1024"/>
    </row>
    <row r="322" spans="2:19" ht="18.75" customHeight="1">
      <c r="B322" s="940"/>
      <c r="C322" s="2029" t="s">
        <v>356</v>
      </c>
      <c r="D322" s="944"/>
      <c r="E322" s="945"/>
      <c r="F322" s="1020"/>
      <c r="G322" s="1021"/>
      <c r="H322" s="1021"/>
      <c r="I322" s="1021"/>
      <c r="J322" s="1360"/>
      <c r="K322" s="947"/>
      <c r="L322" s="1361"/>
      <c r="M322" s="1314"/>
      <c r="N322" s="1315"/>
      <c r="O322" s="1316"/>
      <c r="P322" s="1317"/>
      <c r="Q322" s="955"/>
      <c r="R322" s="955"/>
      <c r="S322" s="1024"/>
    </row>
    <row r="323" spans="2:19" ht="18.75" customHeight="1">
      <c r="B323" s="940"/>
      <c r="C323" s="2029" t="s">
        <v>357</v>
      </c>
      <c r="D323" s="944"/>
      <c r="E323" s="945"/>
      <c r="F323" s="1020"/>
      <c r="G323" s="1021"/>
      <c r="H323" s="1021"/>
      <c r="I323" s="1021"/>
      <c r="J323" s="1360"/>
      <c r="K323" s="947"/>
      <c r="L323" s="1361"/>
      <c r="M323" s="1314"/>
      <c r="N323" s="1315"/>
      <c r="O323" s="1316"/>
      <c r="P323" s="1317"/>
      <c r="Q323" s="955"/>
      <c r="R323" s="955"/>
      <c r="S323" s="1024"/>
    </row>
    <row r="324" spans="2:19">
      <c r="B324" s="940"/>
      <c r="C324" s="1151"/>
      <c r="D324" s="944"/>
      <c r="E324" s="945"/>
      <c r="F324" s="1020"/>
      <c r="G324" s="1021"/>
      <c r="H324" s="1021"/>
      <c r="I324" s="1021"/>
      <c r="J324" s="1360"/>
      <c r="K324" s="947"/>
      <c r="L324" s="1361"/>
      <c r="M324" s="1314"/>
      <c r="N324" s="1315"/>
      <c r="O324" s="1316"/>
      <c r="P324" s="1317"/>
      <c r="Q324" s="955"/>
      <c r="R324" s="955"/>
      <c r="S324" s="1024"/>
    </row>
    <row r="325" spans="2:19" ht="17.25" customHeight="1">
      <c r="B325" s="940">
        <v>11</v>
      </c>
      <c r="C325" s="1444" t="s">
        <v>360</v>
      </c>
      <c r="D325" s="944" t="s">
        <v>135</v>
      </c>
      <c r="E325" s="945">
        <v>2</v>
      </c>
      <c r="F325" s="946">
        <v>2</v>
      </c>
      <c r="G325" s="947">
        <v>8335000</v>
      </c>
      <c r="H325" s="1149">
        <f>$F325*G325</f>
        <v>16670000</v>
      </c>
      <c r="I325" s="374">
        <f>H325/'REKAP TOTAL'!F44</f>
        <v>1.3709906494371535E-3</v>
      </c>
      <c r="J325" s="1326">
        <v>0</v>
      </c>
      <c r="K325" s="1327">
        <v>0</v>
      </c>
      <c r="L325" s="1328">
        <v>0</v>
      </c>
      <c r="M325" s="1329">
        <f t="shared" ref="M325" si="338">+P325-J325</f>
        <v>0</v>
      </c>
      <c r="N325" s="1330">
        <f t="shared" ref="N325" si="339">+Q325-K325</f>
        <v>0</v>
      </c>
      <c r="O325" s="1331">
        <f t="shared" ref="O325" si="340">+R325-L325</f>
        <v>0</v>
      </c>
      <c r="P325" s="1332">
        <f t="shared" ref="P325" si="341">+W325</f>
        <v>0</v>
      </c>
      <c r="Q325" s="1333">
        <f t="shared" ref="Q325" si="342">+P325/E325</f>
        <v>0</v>
      </c>
      <c r="R325" s="1333">
        <f t="shared" ref="R325" si="343">+Q325*I325</f>
        <v>0</v>
      </c>
      <c r="S325" s="1024"/>
    </row>
    <row r="326" spans="2:19">
      <c r="B326" s="940"/>
      <c r="C326" s="2029" t="s">
        <v>331</v>
      </c>
      <c r="D326" s="944"/>
      <c r="E326" s="945"/>
      <c r="F326" s="1020"/>
      <c r="G326" s="1021"/>
      <c r="H326" s="1021"/>
      <c r="I326" s="1021"/>
      <c r="J326" s="1360"/>
      <c r="K326" s="947"/>
      <c r="L326" s="1361"/>
      <c r="M326" s="1314"/>
      <c r="N326" s="1315"/>
      <c r="O326" s="1316"/>
      <c r="P326" s="1317"/>
      <c r="Q326" s="955"/>
      <c r="R326" s="955"/>
      <c r="S326" s="1024"/>
    </row>
    <row r="327" spans="2:19">
      <c r="B327" s="940"/>
      <c r="C327" s="2029" t="s">
        <v>356</v>
      </c>
      <c r="D327" s="944"/>
      <c r="E327" s="945"/>
      <c r="F327" s="1020"/>
      <c r="G327" s="1021"/>
      <c r="H327" s="1021"/>
      <c r="I327" s="1021"/>
      <c r="J327" s="1360"/>
      <c r="K327" s="947"/>
      <c r="L327" s="1361"/>
      <c r="M327" s="1314"/>
      <c r="N327" s="1315"/>
      <c r="O327" s="1316"/>
      <c r="P327" s="1317"/>
      <c r="Q327" s="955"/>
      <c r="R327" s="955"/>
      <c r="S327" s="1024"/>
    </row>
    <row r="328" spans="2:19">
      <c r="B328" s="940"/>
      <c r="C328" s="2029" t="s">
        <v>357</v>
      </c>
      <c r="D328" s="944"/>
      <c r="E328" s="945"/>
      <c r="F328" s="1020"/>
      <c r="G328" s="1021"/>
      <c r="H328" s="1021"/>
      <c r="I328" s="1021"/>
      <c r="J328" s="1360"/>
      <c r="K328" s="947"/>
      <c r="L328" s="1361"/>
      <c r="M328" s="1314"/>
      <c r="N328" s="1315"/>
      <c r="O328" s="1316"/>
      <c r="P328" s="1317"/>
      <c r="Q328" s="955"/>
      <c r="R328" s="955"/>
      <c r="S328" s="1024"/>
    </row>
    <row r="329" spans="2:19">
      <c r="B329" s="940"/>
      <c r="C329" s="1151"/>
      <c r="D329" s="944"/>
      <c r="E329" s="945"/>
      <c r="F329" s="1020"/>
      <c r="G329" s="1021"/>
      <c r="H329" s="1021"/>
      <c r="I329" s="1021"/>
      <c r="J329" s="1360"/>
      <c r="K329" s="947"/>
      <c r="L329" s="1361"/>
      <c r="M329" s="1314"/>
      <c r="N329" s="1315"/>
      <c r="O329" s="1316"/>
      <c r="P329" s="1317"/>
      <c r="Q329" s="955"/>
      <c r="R329" s="955"/>
      <c r="S329" s="1024"/>
    </row>
    <row r="330" spans="2:19" ht="17.25" customHeight="1">
      <c r="B330" s="940">
        <v>12</v>
      </c>
      <c r="C330" s="1444" t="s">
        <v>361</v>
      </c>
      <c r="D330" s="944" t="s">
        <v>135</v>
      </c>
      <c r="E330" s="945">
        <v>2</v>
      </c>
      <c r="F330" s="946">
        <v>2</v>
      </c>
      <c r="G330" s="947">
        <v>9158700</v>
      </c>
      <c r="H330" s="1149">
        <f>$F330*G330</f>
        <v>18317400</v>
      </c>
      <c r="I330" s="374">
        <f>H330/'REKAP TOTAL'!F44</f>
        <v>1.506477751769653E-3</v>
      </c>
      <c r="J330" s="1326">
        <v>0</v>
      </c>
      <c r="K330" s="1327">
        <v>0</v>
      </c>
      <c r="L330" s="1328">
        <v>0</v>
      </c>
      <c r="M330" s="1329">
        <f t="shared" ref="M330" si="344">+P330-J330</f>
        <v>0</v>
      </c>
      <c r="N330" s="1330">
        <f t="shared" ref="N330" si="345">+Q330-K330</f>
        <v>0</v>
      </c>
      <c r="O330" s="1331">
        <f t="shared" ref="O330" si="346">+R330-L330</f>
        <v>0</v>
      </c>
      <c r="P330" s="1332">
        <f t="shared" ref="P330" si="347">+W330</f>
        <v>0</v>
      </c>
      <c r="Q330" s="1333">
        <f t="shared" ref="Q330" si="348">+P330/E330</f>
        <v>0</v>
      </c>
      <c r="R330" s="1333">
        <f t="shared" ref="R330" si="349">+Q330*I330</f>
        <v>0</v>
      </c>
      <c r="S330" s="1024"/>
    </row>
    <row r="331" spans="2:19" ht="17.25" customHeight="1">
      <c r="B331" s="940"/>
      <c r="C331" s="2029" t="s">
        <v>331</v>
      </c>
      <c r="D331" s="944"/>
      <c r="E331" s="945"/>
      <c r="F331" s="1020"/>
      <c r="G331" s="1021"/>
      <c r="H331" s="1021"/>
      <c r="I331" s="1021"/>
      <c r="J331" s="1360"/>
      <c r="K331" s="947"/>
      <c r="L331" s="1361"/>
      <c r="M331" s="1314"/>
      <c r="N331" s="1315"/>
      <c r="O331" s="1316"/>
      <c r="P331" s="1317"/>
      <c r="Q331" s="955"/>
      <c r="R331" s="955"/>
      <c r="S331" s="1024"/>
    </row>
    <row r="332" spans="2:19" ht="17.25" customHeight="1">
      <c r="B332" s="940"/>
      <c r="C332" s="2029" t="s">
        <v>356</v>
      </c>
      <c r="D332" s="944"/>
      <c r="E332" s="945"/>
      <c r="F332" s="1020"/>
      <c r="G332" s="1021"/>
      <c r="H332" s="1021"/>
      <c r="I332" s="1021"/>
      <c r="J332" s="1360"/>
      <c r="K332" s="947"/>
      <c r="L332" s="1361"/>
      <c r="M332" s="1314"/>
      <c r="N332" s="1315"/>
      <c r="O332" s="1316"/>
      <c r="P332" s="1317"/>
      <c r="Q332" s="955"/>
      <c r="R332" s="955"/>
      <c r="S332" s="1024"/>
    </row>
    <row r="333" spans="2:19" ht="17.25" customHeight="1">
      <c r="B333" s="940"/>
      <c r="C333" s="2029" t="s">
        <v>357</v>
      </c>
      <c r="D333" s="944"/>
      <c r="E333" s="945"/>
      <c r="F333" s="1020"/>
      <c r="G333" s="1021"/>
      <c r="H333" s="1021"/>
      <c r="I333" s="1021"/>
      <c r="J333" s="1360"/>
      <c r="K333" s="947"/>
      <c r="L333" s="1361"/>
      <c r="M333" s="1314"/>
      <c r="N333" s="1315"/>
      <c r="O333" s="1316"/>
      <c r="P333" s="1317"/>
      <c r="Q333" s="955"/>
      <c r="R333" s="955"/>
      <c r="S333" s="1024"/>
    </row>
    <row r="334" spans="2:19">
      <c r="B334" s="940"/>
      <c r="C334" s="1151"/>
      <c r="D334" s="944"/>
      <c r="E334" s="945"/>
      <c r="F334" s="1020"/>
      <c r="G334" s="1021"/>
      <c r="H334" s="1021"/>
      <c r="I334" s="1021"/>
      <c r="J334" s="1360"/>
      <c r="K334" s="947"/>
      <c r="L334" s="1361"/>
      <c r="M334" s="1314"/>
      <c r="N334" s="1315"/>
      <c r="O334" s="1316"/>
      <c r="P334" s="1317"/>
      <c r="Q334" s="955"/>
      <c r="R334" s="955"/>
      <c r="S334" s="1024"/>
    </row>
    <row r="335" spans="2:19" ht="19.5" customHeight="1">
      <c r="B335" s="940">
        <v>13</v>
      </c>
      <c r="C335" s="1444" t="s">
        <v>362</v>
      </c>
      <c r="D335" s="944" t="s">
        <v>135</v>
      </c>
      <c r="E335" s="945">
        <v>8</v>
      </c>
      <c r="F335" s="946">
        <v>8</v>
      </c>
      <c r="G335" s="947">
        <v>10228500</v>
      </c>
      <c r="H335" s="1149">
        <f>$F335*G335</f>
        <v>81828000</v>
      </c>
      <c r="I335" s="374">
        <f>H335/'REKAP TOTAL'!F44</f>
        <v>6.7297794158454344E-3</v>
      </c>
      <c r="J335" s="1326">
        <v>0</v>
      </c>
      <c r="K335" s="1327">
        <v>0</v>
      </c>
      <c r="L335" s="1328">
        <v>0</v>
      </c>
      <c r="M335" s="1329">
        <f t="shared" ref="M335" si="350">+P335-J335</f>
        <v>0</v>
      </c>
      <c r="N335" s="1330">
        <f t="shared" ref="N335" si="351">+Q335-K335</f>
        <v>0</v>
      </c>
      <c r="O335" s="1331">
        <f t="shared" ref="O335" si="352">+R335-L335</f>
        <v>0</v>
      </c>
      <c r="P335" s="1332">
        <f t="shared" ref="P335" si="353">+W335</f>
        <v>0</v>
      </c>
      <c r="Q335" s="1333">
        <f t="shared" ref="Q335" si="354">+P335/E335</f>
        <v>0</v>
      </c>
      <c r="R335" s="1333">
        <f t="shared" ref="R335" si="355">+Q335*I335</f>
        <v>0</v>
      </c>
      <c r="S335" s="1024"/>
    </row>
    <row r="336" spans="2:19" ht="19.5" customHeight="1">
      <c r="B336" s="940"/>
      <c r="C336" s="2029" t="s">
        <v>331</v>
      </c>
      <c r="D336" s="944"/>
      <c r="E336" s="945"/>
      <c r="F336" s="1512"/>
      <c r="G336" s="1021"/>
      <c r="H336" s="1021"/>
      <c r="I336" s="1021"/>
      <c r="J336" s="1360"/>
      <c r="K336" s="947"/>
      <c r="L336" s="1361"/>
      <c r="M336" s="1314"/>
      <c r="N336" s="1315"/>
      <c r="O336" s="1316"/>
      <c r="P336" s="1317"/>
      <c r="Q336" s="955"/>
      <c r="R336" s="955"/>
      <c r="S336" s="1024"/>
    </row>
    <row r="337" spans="2:19" ht="19.5" customHeight="1">
      <c r="B337" s="940"/>
      <c r="C337" s="2029" t="s">
        <v>356</v>
      </c>
      <c r="D337" s="944"/>
      <c r="E337" s="945"/>
      <c r="F337" s="1020"/>
      <c r="G337" s="1021"/>
      <c r="H337" s="1021"/>
      <c r="I337" s="1021"/>
      <c r="J337" s="1360"/>
      <c r="K337" s="947"/>
      <c r="L337" s="1361"/>
      <c r="M337" s="1314"/>
      <c r="N337" s="1315"/>
      <c r="O337" s="1316"/>
      <c r="P337" s="1317"/>
      <c r="Q337" s="955"/>
      <c r="R337" s="955"/>
      <c r="S337" s="1024"/>
    </row>
    <row r="338" spans="2:19" ht="19.5" customHeight="1">
      <c r="B338" s="940"/>
      <c r="C338" s="2029" t="s">
        <v>357</v>
      </c>
      <c r="D338" s="944"/>
      <c r="E338" s="945"/>
      <c r="F338" s="1020"/>
      <c r="G338" s="1021"/>
      <c r="H338" s="1021"/>
      <c r="I338" s="1021"/>
      <c r="J338" s="1360"/>
      <c r="K338" s="947"/>
      <c r="L338" s="1361"/>
      <c r="M338" s="1314"/>
      <c r="N338" s="1315"/>
      <c r="O338" s="1316"/>
      <c r="P338" s="1317"/>
      <c r="Q338" s="955"/>
      <c r="R338" s="955"/>
      <c r="S338" s="1024"/>
    </row>
    <row r="339" spans="2:19">
      <c r="B339" s="940"/>
      <c r="C339" s="1444"/>
      <c r="D339" s="944"/>
      <c r="E339" s="945"/>
      <c r="F339" s="1020"/>
      <c r="G339" s="1021"/>
      <c r="H339" s="1021"/>
      <c r="I339" s="1021"/>
      <c r="J339" s="1360"/>
      <c r="K339" s="947"/>
      <c r="L339" s="1361"/>
      <c r="M339" s="1314"/>
      <c r="N339" s="1315"/>
      <c r="O339" s="1316"/>
      <c r="P339" s="1317"/>
      <c r="Q339" s="955"/>
      <c r="R339" s="955"/>
      <c r="S339" s="1024"/>
    </row>
    <row r="340" spans="2:19" ht="21.75" customHeight="1">
      <c r="B340" s="1147"/>
      <c r="C340" s="1386" t="s">
        <v>363</v>
      </c>
      <c r="D340" s="944"/>
      <c r="E340" s="945"/>
      <c r="F340" s="1020"/>
      <c r="G340" s="1089"/>
      <c r="H340" s="1089">
        <f>SUM(H267:H339)</f>
        <v>355230400</v>
      </c>
      <c r="I340" s="374">
        <f>H340/'REKAP TOTAL'!F44</f>
        <v>2.9215210365676054E-2</v>
      </c>
      <c r="J340" s="1360"/>
      <c r="K340" s="947"/>
      <c r="L340" s="1361">
        <f>SUM(L265:L339)</f>
        <v>0</v>
      </c>
      <c r="M340" s="1314"/>
      <c r="N340" s="1315"/>
      <c r="O340" s="1361">
        <f>SUM(O265:O339)</f>
        <v>0</v>
      </c>
      <c r="P340" s="1317"/>
      <c r="Q340" s="955"/>
      <c r="R340" s="1361">
        <f>SUM(R265:R339)</f>
        <v>0</v>
      </c>
      <c r="S340" s="1024"/>
    </row>
    <row r="341" spans="2:19">
      <c r="B341" s="1147"/>
      <c r="C341" s="1386"/>
      <c r="D341" s="944"/>
      <c r="E341" s="945"/>
      <c r="F341" s="1020"/>
      <c r="G341" s="1089"/>
      <c r="H341" s="1089"/>
      <c r="I341" s="1089"/>
      <c r="J341" s="1360"/>
      <c r="K341" s="947"/>
      <c r="L341" s="1361"/>
      <c r="M341" s="1314"/>
      <c r="N341" s="1315"/>
      <c r="O341" s="1316"/>
      <c r="P341" s="1317"/>
      <c r="Q341" s="955"/>
      <c r="R341" s="955"/>
      <c r="S341" s="1024"/>
    </row>
    <row r="342" spans="2:19">
      <c r="B342" s="1147" t="s">
        <v>26</v>
      </c>
      <c r="C342" s="1244" t="s">
        <v>364</v>
      </c>
      <c r="D342" s="944"/>
      <c r="E342" s="945"/>
      <c r="F342" s="1020"/>
      <c r="G342" s="1021"/>
      <c r="H342" s="1021"/>
      <c r="I342" s="1021"/>
      <c r="J342" s="1360"/>
      <c r="K342" s="947"/>
      <c r="L342" s="1361"/>
      <c r="M342" s="1314"/>
      <c r="N342" s="1315"/>
      <c r="O342" s="1316"/>
      <c r="P342" s="1317"/>
      <c r="Q342" s="955"/>
      <c r="R342" s="955"/>
      <c r="S342" s="1024"/>
    </row>
    <row r="343" spans="2:19">
      <c r="B343" s="940"/>
      <c r="C343" s="1151"/>
      <c r="D343" s="944"/>
      <c r="E343" s="945"/>
      <c r="F343" s="1020"/>
      <c r="G343" s="1021"/>
      <c r="H343" s="1021"/>
      <c r="I343" s="1021"/>
      <c r="J343" s="1360"/>
      <c r="K343" s="947"/>
      <c r="L343" s="1361"/>
      <c r="M343" s="1314"/>
      <c r="N343" s="1315"/>
      <c r="O343" s="1316"/>
      <c r="P343" s="1317"/>
      <c r="Q343" s="955"/>
      <c r="R343" s="955"/>
      <c r="S343" s="1024"/>
    </row>
    <row r="344" spans="2:19">
      <c r="B344" s="940">
        <v>1</v>
      </c>
      <c r="C344" s="1461" t="s">
        <v>365</v>
      </c>
      <c r="D344" s="944"/>
      <c r="E344" s="1085"/>
      <c r="F344" s="1523"/>
      <c r="G344" s="947"/>
      <c r="H344" s="1021"/>
      <c r="I344" s="1021"/>
      <c r="J344" s="1360"/>
      <c r="K344" s="947"/>
      <c r="L344" s="1361"/>
      <c r="M344" s="1314"/>
      <c r="N344" s="1315"/>
      <c r="O344" s="1316"/>
      <c r="P344" s="1317"/>
      <c r="Q344" s="955"/>
      <c r="R344" s="955"/>
      <c r="S344" s="1024"/>
    </row>
    <row r="345" spans="2:19">
      <c r="B345" s="940"/>
      <c r="C345" s="1461" t="s">
        <v>366</v>
      </c>
      <c r="D345" s="944"/>
      <c r="E345" s="1085"/>
      <c r="F345" s="1522"/>
      <c r="G345" s="1021"/>
      <c r="H345" s="1021"/>
      <c r="I345" s="1021"/>
      <c r="J345" s="1360"/>
      <c r="K345" s="947"/>
      <c r="L345" s="1361"/>
      <c r="M345" s="1314"/>
      <c r="N345" s="1315"/>
      <c r="O345" s="1316"/>
      <c r="P345" s="1317"/>
      <c r="Q345" s="955"/>
      <c r="R345" s="955"/>
      <c r="S345" s="1024"/>
    </row>
    <row r="346" spans="2:19" ht="27.6">
      <c r="B346" s="940"/>
      <c r="C346" s="2034" t="s">
        <v>367</v>
      </c>
      <c r="D346" s="944" t="s">
        <v>220</v>
      </c>
      <c r="E346" s="1201">
        <v>73.844999999999999</v>
      </c>
      <c r="F346" s="946">
        <v>64.8</v>
      </c>
      <c r="G346" s="1021">
        <v>186900</v>
      </c>
      <c r="H346" s="1149">
        <f>$F346*G346</f>
        <v>12111120</v>
      </c>
      <c r="I346" s="374">
        <f>H346/'REKAP TOTAL'!F44</f>
        <v>9.9605472550757645E-4</v>
      </c>
      <c r="J346" s="1326">
        <v>0</v>
      </c>
      <c r="K346" s="1327">
        <v>0</v>
      </c>
      <c r="L346" s="1328">
        <v>0</v>
      </c>
      <c r="M346" s="1329">
        <f t="shared" ref="M346" si="356">+P346-J346</f>
        <v>0</v>
      </c>
      <c r="N346" s="1330">
        <f t="shared" ref="N346" si="357">+Q346-K346</f>
        <v>0</v>
      </c>
      <c r="O346" s="1331">
        <f t="shared" ref="O346" si="358">+R346-L346</f>
        <v>0</v>
      </c>
      <c r="P346" s="1332">
        <f t="shared" ref="P346" si="359">+W346</f>
        <v>0</v>
      </c>
      <c r="Q346" s="1333">
        <f t="shared" ref="Q346" si="360">+P346/E346</f>
        <v>0</v>
      </c>
      <c r="R346" s="1333">
        <f t="shared" ref="R346" si="361">+Q346*I346</f>
        <v>0</v>
      </c>
      <c r="S346" s="1024"/>
    </row>
    <row r="347" spans="2:19">
      <c r="B347" s="940">
        <v>2</v>
      </c>
      <c r="C347" s="1461" t="s">
        <v>368</v>
      </c>
      <c r="D347" s="944"/>
      <c r="E347" s="1085"/>
      <c r="F347" s="1522"/>
      <c r="G347" s="1021"/>
      <c r="H347" s="1021"/>
      <c r="I347" s="1021"/>
      <c r="J347" s="1360"/>
      <c r="K347" s="947"/>
      <c r="L347" s="1361"/>
      <c r="M347" s="1314"/>
      <c r="N347" s="1315"/>
      <c r="O347" s="1316"/>
      <c r="P347" s="1317"/>
      <c r="Q347" s="955"/>
      <c r="R347" s="955"/>
      <c r="S347" s="1024"/>
    </row>
    <row r="348" spans="2:19">
      <c r="B348" s="940"/>
      <c r="C348" s="1461" t="s">
        <v>369</v>
      </c>
      <c r="D348" s="944"/>
      <c r="E348" s="1085"/>
      <c r="F348" s="1522"/>
      <c r="G348" s="1021"/>
      <c r="H348" s="1021"/>
      <c r="I348" s="1021"/>
      <c r="J348" s="1360"/>
      <c r="K348" s="947"/>
      <c r="L348" s="1361"/>
      <c r="M348" s="1314"/>
      <c r="N348" s="1315"/>
      <c r="O348" s="1316"/>
      <c r="P348" s="1317"/>
      <c r="Q348" s="955"/>
      <c r="R348" s="955"/>
      <c r="S348" s="1024"/>
    </row>
    <row r="349" spans="2:19" ht="16.2">
      <c r="B349" s="940"/>
      <c r="C349" s="2028" t="s">
        <v>370</v>
      </c>
      <c r="D349" s="944" t="s">
        <v>220</v>
      </c>
      <c r="E349" s="1087">
        <v>4.76</v>
      </c>
      <c r="F349" s="946">
        <v>4.5999999999999996</v>
      </c>
      <c r="G349" s="1021">
        <v>218100</v>
      </c>
      <c r="H349" s="1021">
        <f>$F349*G349</f>
        <v>1003260</v>
      </c>
      <c r="I349" s="374">
        <f>H349/'REKAP TOTAL'!F44</f>
        <v>8.2511102516755769E-5</v>
      </c>
      <c r="J349" s="1326">
        <v>0</v>
      </c>
      <c r="K349" s="1327">
        <v>0</v>
      </c>
      <c r="L349" s="1328">
        <v>0</v>
      </c>
      <c r="M349" s="1329">
        <f t="shared" ref="M349" si="362">+P349-J349</f>
        <v>0</v>
      </c>
      <c r="N349" s="1330">
        <f t="shared" ref="N349" si="363">+Q349-K349</f>
        <v>0</v>
      </c>
      <c r="O349" s="1331">
        <f t="shared" ref="O349" si="364">+R349-L349</f>
        <v>0</v>
      </c>
      <c r="P349" s="1332">
        <f t="shared" ref="P349" si="365">+W349</f>
        <v>0</v>
      </c>
      <c r="Q349" s="1333">
        <f t="shared" ref="Q349" si="366">+P349/E349</f>
        <v>0</v>
      </c>
      <c r="R349" s="1333">
        <f t="shared" ref="R349" si="367">+Q349*I349</f>
        <v>0</v>
      </c>
      <c r="S349" s="1024"/>
    </row>
    <row r="350" spans="2:19">
      <c r="B350" s="940">
        <v>3</v>
      </c>
      <c r="C350" s="1151" t="s">
        <v>371</v>
      </c>
      <c r="D350" s="944"/>
      <c r="E350" s="945"/>
      <c r="F350" s="1020"/>
      <c r="G350" s="947"/>
      <c r="H350" s="1021"/>
      <c r="I350" s="374"/>
      <c r="J350" s="1360"/>
      <c r="K350" s="947"/>
      <c r="L350" s="1361"/>
      <c r="M350" s="1314"/>
      <c r="N350" s="1315"/>
      <c r="O350" s="1316"/>
      <c r="P350" s="1317"/>
      <c r="Q350" s="955"/>
      <c r="R350" s="955"/>
      <c r="S350" s="1024"/>
    </row>
    <row r="351" spans="2:19">
      <c r="B351" s="940"/>
      <c r="C351" s="2028" t="s">
        <v>372</v>
      </c>
      <c r="D351" s="944" t="s">
        <v>88</v>
      </c>
      <c r="E351" s="1085">
        <v>69.62</v>
      </c>
      <c r="F351" s="946">
        <v>65.44</v>
      </c>
      <c r="G351" s="1021">
        <v>26000</v>
      </c>
      <c r="H351" s="1021">
        <f>$F351*G351</f>
        <v>1701440</v>
      </c>
      <c r="I351" s="374">
        <f>H351/'REKAP TOTAL'!F44</f>
        <v>1.3993151353199464E-4</v>
      </c>
      <c r="J351" s="1326">
        <v>0</v>
      </c>
      <c r="K351" s="1327">
        <v>0</v>
      </c>
      <c r="L351" s="1328">
        <v>0</v>
      </c>
      <c r="M351" s="1329">
        <f t="shared" ref="M351" si="368">+P351-J351</f>
        <v>0</v>
      </c>
      <c r="N351" s="1330">
        <f t="shared" ref="N351" si="369">+Q351-K351</f>
        <v>0</v>
      </c>
      <c r="O351" s="1331">
        <f t="shared" ref="O351" si="370">+R351-L351</f>
        <v>0</v>
      </c>
      <c r="P351" s="1332">
        <f t="shared" ref="P351" si="371">+W351</f>
        <v>0</v>
      </c>
      <c r="Q351" s="1333">
        <f t="shared" ref="Q351" si="372">+P351/E351</f>
        <v>0</v>
      </c>
      <c r="R351" s="1333">
        <f t="shared" ref="R351" si="373">+Q351*I351</f>
        <v>0</v>
      </c>
      <c r="S351" s="1024"/>
    </row>
    <row r="352" spans="2:19">
      <c r="B352" s="1030"/>
      <c r="C352" s="1174"/>
      <c r="D352" s="1032"/>
      <c r="E352" s="1033"/>
      <c r="F352" s="1513"/>
      <c r="G352" s="1035"/>
      <c r="H352" s="1035"/>
      <c r="I352" s="1035"/>
      <c r="J352" s="1364"/>
      <c r="K352" s="1365"/>
      <c r="L352" s="1366"/>
      <c r="M352" s="1367"/>
      <c r="N352" s="1368"/>
      <c r="O352" s="1369"/>
      <c r="P352" s="1370"/>
      <c r="Q352" s="1039"/>
      <c r="R352" s="1039"/>
      <c r="S352" s="1040"/>
    </row>
    <row r="353" spans="2:19">
      <c r="B353" s="978"/>
      <c r="C353" s="1421" t="s">
        <v>373</v>
      </c>
      <c r="D353" s="981"/>
      <c r="E353" s="982"/>
      <c r="F353" s="983"/>
      <c r="G353" s="984"/>
      <c r="H353" s="984">
        <f>SUM(H345:H352)</f>
        <v>14815820</v>
      </c>
      <c r="I353" s="392">
        <f>H353/'REKAP TOTAL'!F44</f>
        <v>1.2184973415563269E-3</v>
      </c>
      <c r="J353" s="1372"/>
      <c r="K353" s="1373"/>
      <c r="L353" s="1374">
        <f>SUM(L343:L352)</f>
        <v>0</v>
      </c>
      <c r="M353" s="1375"/>
      <c r="N353" s="1376"/>
      <c r="O353" s="1374">
        <f>SUM(O343:O352)</f>
        <v>0</v>
      </c>
      <c r="P353" s="1378"/>
      <c r="Q353" s="987"/>
      <c r="R353" s="1374">
        <f>SUM(R343:R352)</f>
        <v>0</v>
      </c>
      <c r="S353" s="1042"/>
    </row>
    <row r="354" spans="2:19">
      <c r="B354" s="1304"/>
      <c r="C354" s="1047"/>
      <c r="D354" s="1047"/>
      <c r="E354" s="1048"/>
      <c r="F354" s="1049"/>
      <c r="G354" s="1050"/>
      <c r="H354" s="1050"/>
      <c r="I354" s="1050"/>
      <c r="J354" s="1380"/>
      <c r="K354" s="1381"/>
      <c r="L354" s="1382"/>
      <c r="M354" s="1308"/>
      <c r="N354" s="1309"/>
      <c r="O354" s="1310"/>
      <c r="P354" s="1311"/>
      <c r="Q354" s="1054"/>
      <c r="R354" s="1054"/>
      <c r="S354" s="1055"/>
    </row>
    <row r="355" spans="2:19">
      <c r="B355" s="1147" t="s">
        <v>28</v>
      </c>
      <c r="C355" s="1244" t="s">
        <v>374</v>
      </c>
      <c r="D355" s="944"/>
      <c r="E355" s="945"/>
      <c r="F355" s="1020"/>
      <c r="G355" s="1021"/>
      <c r="H355" s="1021"/>
      <c r="I355" s="1021"/>
      <c r="J355" s="1360"/>
      <c r="K355" s="947"/>
      <c r="L355" s="1361"/>
      <c r="M355" s="1314"/>
      <c r="N355" s="1315"/>
      <c r="O355" s="1316"/>
      <c r="P355" s="1317"/>
      <c r="Q355" s="955"/>
      <c r="R355" s="955"/>
      <c r="S355" s="1024"/>
    </row>
    <row r="356" spans="2:19">
      <c r="B356" s="1147"/>
      <c r="C356" s="1244"/>
      <c r="D356" s="944"/>
      <c r="E356" s="945"/>
      <c r="F356" s="1020"/>
      <c r="G356" s="1021"/>
      <c r="H356" s="1021"/>
      <c r="I356" s="1021"/>
      <c r="J356" s="1360"/>
      <c r="K356" s="947"/>
      <c r="L356" s="1361"/>
      <c r="M356" s="1314"/>
      <c r="N356" s="1315"/>
      <c r="O356" s="1316"/>
      <c r="P356" s="1317"/>
      <c r="Q356" s="955"/>
      <c r="R356" s="955"/>
      <c r="S356" s="1024"/>
    </row>
    <row r="357" spans="2:19" ht="57" customHeight="1">
      <c r="B357" s="940">
        <v>1</v>
      </c>
      <c r="C357" s="1325" t="s">
        <v>375</v>
      </c>
      <c r="D357" s="944"/>
      <c r="E357" s="945"/>
      <c r="F357" s="1020"/>
      <c r="G357" s="947"/>
      <c r="H357" s="1021"/>
      <c r="I357" s="1021"/>
      <c r="J357" s="1360"/>
      <c r="K357" s="947"/>
      <c r="L357" s="1361"/>
      <c r="M357" s="1314"/>
      <c r="N357" s="1315"/>
      <c r="O357" s="1316"/>
      <c r="P357" s="1317"/>
      <c r="Q357" s="955"/>
      <c r="R357" s="955"/>
      <c r="S357" s="1024"/>
    </row>
    <row r="358" spans="2:19" ht="16.2">
      <c r="B358" s="940"/>
      <c r="C358" s="2028" t="s">
        <v>372</v>
      </c>
      <c r="D358" s="944" t="s">
        <v>220</v>
      </c>
      <c r="E358" s="945">
        <v>28.119</v>
      </c>
      <c r="F358" s="946">
        <v>28.119</v>
      </c>
      <c r="G358" s="947">
        <v>41700</v>
      </c>
      <c r="H358" s="1021">
        <f>$F358*G358</f>
        <v>1172562.3</v>
      </c>
      <c r="I358" s="374">
        <f>H358/'REKAP TOTAL'!F44</f>
        <v>9.6435029944962357E-5</v>
      </c>
      <c r="J358" s="1326">
        <v>0</v>
      </c>
      <c r="K358" s="1327">
        <v>0</v>
      </c>
      <c r="L358" s="1328">
        <v>0</v>
      </c>
      <c r="M358" s="1329">
        <f t="shared" ref="M358" si="374">+P358-J358</f>
        <v>0</v>
      </c>
      <c r="N358" s="1330">
        <f t="shared" ref="N358" si="375">+Q358-K358</f>
        <v>0</v>
      </c>
      <c r="O358" s="1331">
        <f t="shared" ref="O358" si="376">+R358-L358</f>
        <v>0</v>
      </c>
      <c r="P358" s="1332">
        <f t="shared" ref="P358" si="377">+W358</f>
        <v>0</v>
      </c>
      <c r="Q358" s="1333">
        <f t="shared" ref="Q358" si="378">+P358/E358</f>
        <v>0</v>
      </c>
      <c r="R358" s="1333">
        <f t="shared" ref="R358" si="379">+Q358*I358</f>
        <v>0</v>
      </c>
      <c r="S358" s="1024"/>
    </row>
    <row r="359" spans="2:19" ht="27.6">
      <c r="B359" s="940">
        <v>2</v>
      </c>
      <c r="C359" s="1325" t="s">
        <v>376</v>
      </c>
      <c r="D359" s="944"/>
      <c r="E359" s="945"/>
      <c r="F359" s="1020"/>
      <c r="G359" s="1104"/>
      <c r="H359" s="1021"/>
      <c r="I359" s="1021"/>
      <c r="J359" s="1360"/>
      <c r="K359" s="947"/>
      <c r="L359" s="1361"/>
      <c r="M359" s="1314"/>
      <c r="N359" s="1315"/>
      <c r="O359" s="1316"/>
      <c r="P359" s="1317"/>
      <c r="Q359" s="955"/>
      <c r="R359" s="955"/>
      <c r="S359" s="1024"/>
    </row>
    <row r="360" spans="2:19" ht="16.2">
      <c r="B360" s="940"/>
      <c r="C360" s="2028" t="s">
        <v>372</v>
      </c>
      <c r="D360" s="944" t="s">
        <v>220</v>
      </c>
      <c r="E360" s="945">
        <v>453.68700000000001</v>
      </c>
      <c r="F360" s="946">
        <v>453.68700000000001</v>
      </c>
      <c r="G360" s="947">
        <v>31500</v>
      </c>
      <c r="H360" s="1021">
        <f>$F360*G360</f>
        <v>14291140.5</v>
      </c>
      <c r="I360" s="374">
        <f>H360/'REKAP TOTAL'!F44</f>
        <v>1.1753461304914582E-3</v>
      </c>
      <c r="J360" s="1326">
        <v>0</v>
      </c>
      <c r="K360" s="1327">
        <v>0</v>
      </c>
      <c r="L360" s="1328">
        <v>0</v>
      </c>
      <c r="M360" s="1329">
        <f t="shared" ref="M360" si="380">+P360-J360</f>
        <v>0</v>
      </c>
      <c r="N360" s="1330">
        <f t="shared" ref="N360" si="381">+Q360-K360</f>
        <v>0</v>
      </c>
      <c r="O360" s="1331">
        <f t="shared" ref="O360" si="382">+R360-L360</f>
        <v>0</v>
      </c>
      <c r="P360" s="1332">
        <f t="shared" ref="P360" si="383">+W360</f>
        <v>0</v>
      </c>
      <c r="Q360" s="1333">
        <f t="shared" ref="Q360" si="384">+P360/E360</f>
        <v>0</v>
      </c>
      <c r="R360" s="1333">
        <f t="shared" ref="R360" si="385">+Q360*I360</f>
        <v>0</v>
      </c>
      <c r="S360" s="1024"/>
    </row>
    <row r="361" spans="2:19" ht="27.6">
      <c r="B361" s="940">
        <v>3</v>
      </c>
      <c r="C361" s="1325" t="s">
        <v>377</v>
      </c>
      <c r="D361" s="944"/>
      <c r="E361" s="945"/>
      <c r="F361" s="1020"/>
      <c r="G361" s="1104"/>
      <c r="H361" s="1021"/>
      <c r="I361" s="1021"/>
      <c r="J361" s="1360"/>
      <c r="K361" s="947"/>
      <c r="L361" s="1361"/>
      <c r="M361" s="1314"/>
      <c r="N361" s="1315"/>
      <c r="O361" s="1316"/>
      <c r="P361" s="1317"/>
      <c r="Q361" s="955"/>
      <c r="R361" s="955"/>
      <c r="S361" s="1024"/>
    </row>
    <row r="362" spans="2:19" ht="16.2">
      <c r="B362" s="940"/>
      <c r="C362" s="2028" t="s">
        <v>372</v>
      </c>
      <c r="D362" s="944" t="s">
        <v>220</v>
      </c>
      <c r="E362" s="945">
        <v>78.605000000000004</v>
      </c>
      <c r="F362" s="946">
        <v>78.605000000000004</v>
      </c>
      <c r="G362" s="1104">
        <v>31500</v>
      </c>
      <c r="H362" s="1021">
        <f>$F362*G362</f>
        <v>2476057.5</v>
      </c>
      <c r="I362" s="374">
        <f>H362/'REKAP TOTAL'!F44</f>
        <v>2.0363837312349937E-4</v>
      </c>
      <c r="J362" s="1326">
        <v>0</v>
      </c>
      <c r="K362" s="1327">
        <v>0</v>
      </c>
      <c r="L362" s="1328">
        <v>0</v>
      </c>
      <c r="M362" s="1329">
        <f t="shared" ref="M362" si="386">+P362-J362</f>
        <v>0</v>
      </c>
      <c r="N362" s="1330">
        <f t="shared" ref="N362" si="387">+Q362-K362</f>
        <v>0</v>
      </c>
      <c r="O362" s="1331">
        <f t="shared" ref="O362" si="388">+R362-L362</f>
        <v>0</v>
      </c>
      <c r="P362" s="1332">
        <f t="shared" ref="P362" si="389">+W362</f>
        <v>0</v>
      </c>
      <c r="Q362" s="1333">
        <f t="shared" ref="Q362" si="390">+P362/E362</f>
        <v>0</v>
      </c>
      <c r="R362" s="1333">
        <f t="shared" ref="R362" si="391">+Q362*I362</f>
        <v>0</v>
      </c>
      <c r="S362" s="1024"/>
    </row>
    <row r="363" spans="2:19" ht="27.6">
      <c r="B363" s="940">
        <v>4</v>
      </c>
      <c r="C363" s="1325" t="s">
        <v>378</v>
      </c>
      <c r="D363" s="944"/>
      <c r="E363" s="945"/>
      <c r="F363" s="1020"/>
      <c r="G363" s="1104"/>
      <c r="H363" s="1021"/>
      <c r="I363" s="1021"/>
      <c r="J363" s="1360"/>
      <c r="K363" s="947"/>
      <c r="L363" s="1361"/>
      <c r="M363" s="1314"/>
      <c r="N363" s="1315"/>
      <c r="O363" s="1316"/>
      <c r="P363" s="1317"/>
      <c r="Q363" s="955"/>
      <c r="R363" s="955"/>
      <c r="S363" s="1024"/>
    </row>
    <row r="364" spans="2:19" ht="16.2">
      <c r="B364" s="940"/>
      <c r="C364" s="2028" t="s">
        <v>379</v>
      </c>
      <c r="D364" s="944" t="s">
        <v>220</v>
      </c>
      <c r="E364" s="945">
        <v>32.180399999999999</v>
      </c>
      <c r="F364" s="946">
        <v>32.180399999999999</v>
      </c>
      <c r="G364" s="1104">
        <v>41700</v>
      </c>
      <c r="H364" s="1021">
        <f>$F364*G364</f>
        <v>1341922.68</v>
      </c>
      <c r="I364" s="374">
        <f>H364/'REKAP TOTAL'!F44</f>
        <v>1.1036373404604952E-4</v>
      </c>
      <c r="J364" s="1326">
        <v>0</v>
      </c>
      <c r="K364" s="1327">
        <v>0</v>
      </c>
      <c r="L364" s="1328">
        <v>0</v>
      </c>
      <c r="M364" s="1329">
        <f t="shared" ref="M364" si="392">+P364-J364</f>
        <v>0</v>
      </c>
      <c r="N364" s="1330">
        <f t="shared" ref="N364" si="393">+Q364-K364</f>
        <v>0</v>
      </c>
      <c r="O364" s="1331">
        <f t="shared" ref="O364" si="394">+R364-L364</f>
        <v>0</v>
      </c>
      <c r="P364" s="1332">
        <f t="shared" ref="P364" si="395">+W364</f>
        <v>0</v>
      </c>
      <c r="Q364" s="1333">
        <f t="shared" ref="Q364" si="396">+P364/E364</f>
        <v>0</v>
      </c>
      <c r="R364" s="1333">
        <f t="shared" ref="R364" si="397">+Q364*I364</f>
        <v>0</v>
      </c>
      <c r="S364" s="1024"/>
    </row>
    <row r="365" spans="2:19" ht="27.6">
      <c r="B365" s="940">
        <v>5</v>
      </c>
      <c r="C365" s="1325" t="s">
        <v>380</v>
      </c>
      <c r="D365" s="944"/>
      <c r="E365" s="945"/>
      <c r="F365" s="1020"/>
      <c r="G365" s="947"/>
      <c r="H365" s="1021"/>
      <c r="I365" s="1021"/>
      <c r="J365" s="1360"/>
      <c r="K365" s="947"/>
      <c r="L365" s="1361"/>
      <c r="M365" s="1314"/>
      <c r="N365" s="1315"/>
      <c r="O365" s="1316"/>
      <c r="P365" s="1317"/>
      <c r="Q365" s="955"/>
      <c r="R365" s="955"/>
      <c r="S365" s="1024"/>
    </row>
    <row r="366" spans="2:19" customFormat="1" ht="15.6">
      <c r="B366" s="890"/>
      <c r="C366" s="2032" t="s">
        <v>381</v>
      </c>
      <c r="D366" s="870" t="s">
        <v>162</v>
      </c>
      <c r="E366" s="871">
        <v>9.1300000000000008</v>
      </c>
      <c r="F366" s="1205">
        <v>9.1300000000000008</v>
      </c>
      <c r="G366" s="898">
        <v>31500</v>
      </c>
      <c r="H366" s="1520">
        <f t="shared" ref="H366" si="398">$F366*G366</f>
        <v>287595</v>
      </c>
      <c r="I366" s="374">
        <f>H366/'REKAP TOTAL'!F44</f>
        <v>2.3652672814929705E-5</v>
      </c>
      <c r="J366" s="1326">
        <v>0</v>
      </c>
      <c r="K366" s="1327">
        <v>0</v>
      </c>
      <c r="L366" s="1328">
        <v>0</v>
      </c>
      <c r="M366" s="1329">
        <f t="shared" ref="M366" si="399">+P366-J366</f>
        <v>0</v>
      </c>
      <c r="N366" s="1330">
        <f t="shared" ref="N366" si="400">+Q366-K366</f>
        <v>0</v>
      </c>
      <c r="O366" s="1331">
        <f t="shared" ref="O366" si="401">+R366-L366</f>
        <v>0</v>
      </c>
      <c r="P366" s="1332">
        <f t="shared" ref="P366" si="402">+W366</f>
        <v>0</v>
      </c>
      <c r="Q366" s="1333">
        <f t="shared" ref="Q366" si="403">+P366/E366</f>
        <v>0</v>
      </c>
      <c r="R366" s="1333">
        <f t="shared" ref="R366" si="404">+Q366*I366</f>
        <v>0</v>
      </c>
      <c r="S366" s="995"/>
    </row>
    <row r="367" spans="2:19" ht="27.6">
      <c r="B367" s="940">
        <v>6</v>
      </c>
      <c r="C367" s="1325" t="s">
        <v>382</v>
      </c>
      <c r="D367" s="944"/>
      <c r="E367" s="945"/>
      <c r="F367" s="1020"/>
      <c r="G367" s="947"/>
      <c r="H367" s="1021"/>
      <c r="I367" s="1021"/>
      <c r="J367" s="1360"/>
      <c r="K367" s="947"/>
      <c r="L367" s="1361"/>
      <c r="M367" s="1314"/>
      <c r="N367" s="1315"/>
      <c r="O367" s="1316"/>
      <c r="P367" s="1317"/>
      <c r="Q367" s="955"/>
      <c r="R367" s="955"/>
      <c r="S367" s="1024"/>
    </row>
    <row r="368" spans="2:19" customFormat="1" ht="15.6">
      <c r="B368" s="890"/>
      <c r="C368" s="2032" t="s">
        <v>383</v>
      </c>
      <c r="D368" s="870" t="s">
        <v>162</v>
      </c>
      <c r="E368" s="871">
        <v>49.53</v>
      </c>
      <c r="F368" s="1205">
        <v>49.53</v>
      </c>
      <c r="G368" s="898">
        <v>31500</v>
      </c>
      <c r="H368" s="1520">
        <f t="shared" ref="H368" si="405">$F368*G368</f>
        <v>1560195</v>
      </c>
      <c r="I368" s="374">
        <f>H368/'REKAP TOTAL'!F44</f>
        <v>1.2831510235744451E-4</v>
      </c>
      <c r="J368" s="1326">
        <v>0</v>
      </c>
      <c r="K368" s="1327">
        <v>0</v>
      </c>
      <c r="L368" s="1328">
        <v>0</v>
      </c>
      <c r="M368" s="1329">
        <f t="shared" ref="M368" si="406">+P368-J368</f>
        <v>0</v>
      </c>
      <c r="N368" s="1330">
        <f t="shared" ref="N368" si="407">+Q368-K368</f>
        <v>0</v>
      </c>
      <c r="O368" s="1331">
        <f t="shared" ref="O368" si="408">+R368-L368</f>
        <v>0</v>
      </c>
      <c r="P368" s="1332">
        <f t="shared" ref="P368" si="409">+W368</f>
        <v>0</v>
      </c>
      <c r="Q368" s="1333">
        <f t="shared" ref="Q368" si="410">+P368/E368</f>
        <v>0</v>
      </c>
      <c r="R368" s="1333">
        <f t="shared" ref="R368" si="411">+Q368*I368</f>
        <v>0</v>
      </c>
      <c r="S368" s="995"/>
    </row>
    <row r="369" spans="2:19">
      <c r="B369" s="1030"/>
      <c r="C369" s="1524"/>
      <c r="D369" s="1032"/>
      <c r="E369" s="1033"/>
      <c r="F369" s="1513"/>
      <c r="G369" s="1035"/>
      <c r="H369" s="1035"/>
      <c r="I369" s="1035"/>
      <c r="J369" s="1364"/>
      <c r="K369" s="1365"/>
      <c r="L369" s="1366"/>
      <c r="M369" s="1367"/>
      <c r="N369" s="1368"/>
      <c r="O369" s="1369"/>
      <c r="P369" s="1370"/>
      <c r="Q369" s="1039"/>
      <c r="R369" s="1039"/>
      <c r="S369" s="1040"/>
    </row>
    <row r="370" spans="2:19">
      <c r="B370" s="978"/>
      <c r="C370" s="1421" t="s">
        <v>384</v>
      </c>
      <c r="D370" s="981"/>
      <c r="E370" s="982"/>
      <c r="F370" s="983"/>
      <c r="G370" s="984"/>
      <c r="H370" s="984">
        <f>SUM(H357:H369)</f>
        <v>21129472.98</v>
      </c>
      <c r="I370" s="392">
        <f>H370/'REKAP TOTAL'!F44</f>
        <v>1.7377510427783436E-3</v>
      </c>
      <c r="J370" s="1372"/>
      <c r="K370" s="1373"/>
      <c r="L370" s="1374">
        <f>SUM(L354:L369)</f>
        <v>0</v>
      </c>
      <c r="M370" s="1375"/>
      <c r="N370" s="1376"/>
      <c r="O370" s="1374">
        <f>SUM(O354:O369)</f>
        <v>0</v>
      </c>
      <c r="P370" s="1378"/>
      <c r="Q370" s="987"/>
      <c r="R370" s="1374">
        <f>SUM(R354:R369)</f>
        <v>0</v>
      </c>
      <c r="S370" s="1042"/>
    </row>
    <row r="371" spans="2:19">
      <c r="B371" s="1304"/>
      <c r="C371" s="1047"/>
      <c r="D371" s="1047"/>
      <c r="E371" s="1048"/>
      <c r="F371" s="1049"/>
      <c r="G371" s="1050"/>
      <c r="H371" s="1050"/>
      <c r="I371" s="1050"/>
      <c r="J371" s="1380"/>
      <c r="K371" s="1381"/>
      <c r="L371" s="1382"/>
      <c r="M371" s="1308"/>
      <c r="N371" s="1309"/>
      <c r="O371" s="1310"/>
      <c r="P371" s="1311"/>
      <c r="Q371" s="1054"/>
      <c r="R371" s="1054"/>
      <c r="S371" s="1055"/>
    </row>
    <row r="372" spans="2:19">
      <c r="B372" s="1147" t="s">
        <v>169</v>
      </c>
      <c r="C372" s="1244" t="s">
        <v>385</v>
      </c>
      <c r="D372" s="944"/>
      <c r="E372" s="945"/>
      <c r="F372" s="1020"/>
      <c r="G372" s="1021"/>
      <c r="H372" s="1021"/>
      <c r="I372" s="1021"/>
      <c r="J372" s="1360"/>
      <c r="K372" s="947"/>
      <c r="L372" s="1361"/>
      <c r="M372" s="1314"/>
      <c r="N372" s="1315"/>
      <c r="O372" s="1316"/>
      <c r="P372" s="1317"/>
      <c r="Q372" s="955"/>
      <c r="R372" s="955"/>
      <c r="S372" s="1024"/>
    </row>
    <row r="373" spans="2:19">
      <c r="B373" s="940"/>
      <c r="C373" s="1151"/>
      <c r="D373" s="944"/>
      <c r="E373" s="945"/>
      <c r="F373" s="1020"/>
      <c r="G373" s="1021"/>
      <c r="H373" s="1021"/>
      <c r="I373" s="1021"/>
      <c r="J373" s="1360"/>
      <c r="K373" s="947"/>
      <c r="L373" s="1361"/>
      <c r="M373" s="1314"/>
      <c r="N373" s="1315"/>
      <c r="O373" s="1316"/>
      <c r="P373" s="1317"/>
      <c r="Q373" s="955"/>
      <c r="R373" s="955"/>
      <c r="S373" s="1024"/>
    </row>
    <row r="374" spans="2:19">
      <c r="B374" s="940"/>
      <c r="C374" s="1525" t="s">
        <v>386</v>
      </c>
      <c r="D374" s="944"/>
      <c r="E374" s="945"/>
      <c r="F374" s="1020"/>
      <c r="G374" s="1021"/>
      <c r="H374" s="1021"/>
      <c r="I374" s="1021"/>
      <c r="J374" s="1360"/>
      <c r="K374" s="947"/>
      <c r="L374" s="1361"/>
      <c r="M374" s="1314"/>
      <c r="N374" s="1315"/>
      <c r="O374" s="1316"/>
      <c r="P374" s="1317"/>
      <c r="Q374" s="955"/>
      <c r="R374" s="955"/>
      <c r="S374" s="1024"/>
    </row>
    <row r="375" spans="2:19">
      <c r="B375" s="1214">
        <v>1</v>
      </c>
      <c r="C375" s="1460" t="s">
        <v>387</v>
      </c>
      <c r="D375" s="1111" t="s">
        <v>135</v>
      </c>
      <c r="E375" s="1112">
        <v>1</v>
      </c>
      <c r="F375" s="946">
        <v>1</v>
      </c>
      <c r="G375" s="1113">
        <v>594200</v>
      </c>
      <c r="H375" s="1021">
        <f>$F375*G375</f>
        <v>594200</v>
      </c>
      <c r="I375" s="659">
        <f>H375/'REKAP TOTAL'!F44</f>
        <v>4.8868784876758049E-5</v>
      </c>
      <c r="J375" s="1326">
        <v>0</v>
      </c>
      <c r="K375" s="1327">
        <v>0</v>
      </c>
      <c r="L375" s="1328">
        <v>0</v>
      </c>
      <c r="M375" s="1329">
        <f t="shared" ref="M375:M380" si="412">+P375-J375</f>
        <v>0</v>
      </c>
      <c r="N375" s="1330">
        <f t="shared" ref="N375:N380" si="413">+Q375-K375</f>
        <v>0</v>
      </c>
      <c r="O375" s="1331">
        <f t="shared" ref="O375:O380" si="414">+R375-L375</f>
        <v>0</v>
      </c>
      <c r="P375" s="1332">
        <f t="shared" ref="P375:P380" si="415">+W375</f>
        <v>0</v>
      </c>
      <c r="Q375" s="1333">
        <f t="shared" ref="Q375:Q380" si="416">+P375/E375</f>
        <v>0</v>
      </c>
      <c r="R375" s="1333">
        <f t="shared" ref="R375:R380" si="417">+Q375*I375</f>
        <v>0</v>
      </c>
      <c r="S375" s="1024"/>
    </row>
    <row r="376" spans="2:19" ht="27.6">
      <c r="B376" s="1214">
        <v>2</v>
      </c>
      <c r="C376" s="1468" t="s">
        <v>388</v>
      </c>
      <c r="D376" s="1111" t="s">
        <v>103</v>
      </c>
      <c r="E376" s="1112">
        <v>3</v>
      </c>
      <c r="F376" s="946">
        <v>3</v>
      </c>
      <c r="G376" s="1113">
        <v>942700</v>
      </c>
      <c r="H376" s="1021">
        <f t="shared" ref="H376:H380" si="418">$F376*G376</f>
        <v>2828100</v>
      </c>
      <c r="I376" s="374">
        <f>H376/'REKAP TOTAL'!F44</f>
        <v>2.3259140106018079E-4</v>
      </c>
      <c r="J376" s="1326">
        <v>0</v>
      </c>
      <c r="K376" s="1327">
        <v>0</v>
      </c>
      <c r="L376" s="1328">
        <v>0</v>
      </c>
      <c r="M376" s="1329">
        <f t="shared" si="412"/>
        <v>0</v>
      </c>
      <c r="N376" s="1330">
        <f t="shared" si="413"/>
        <v>0</v>
      </c>
      <c r="O376" s="1331">
        <f t="shared" si="414"/>
        <v>0</v>
      </c>
      <c r="P376" s="1332">
        <f t="shared" si="415"/>
        <v>0</v>
      </c>
      <c r="Q376" s="1333">
        <f t="shared" si="416"/>
        <v>0</v>
      </c>
      <c r="R376" s="1333">
        <f t="shared" si="417"/>
        <v>0</v>
      </c>
      <c r="S376" s="1024"/>
    </row>
    <row r="377" spans="2:19">
      <c r="B377" s="1214">
        <v>3</v>
      </c>
      <c r="C377" s="1468" t="s">
        <v>389</v>
      </c>
      <c r="D377" s="1111" t="s">
        <v>135</v>
      </c>
      <c r="E377" s="1112">
        <v>1</v>
      </c>
      <c r="F377" s="946">
        <v>1</v>
      </c>
      <c r="G377" s="1113">
        <v>1071000</v>
      </c>
      <c r="H377" s="1021">
        <f t="shared" si="418"/>
        <v>1071000</v>
      </c>
      <c r="I377" s="374">
        <f>H377/'REKAP TOTAL'!F44</f>
        <v>8.8082242684294631E-5</v>
      </c>
      <c r="J377" s="1326">
        <v>0</v>
      </c>
      <c r="K377" s="1327">
        <v>0</v>
      </c>
      <c r="L377" s="1328">
        <v>0</v>
      </c>
      <c r="M377" s="1329">
        <f t="shared" si="412"/>
        <v>0</v>
      </c>
      <c r="N377" s="1330">
        <f t="shared" si="413"/>
        <v>0</v>
      </c>
      <c r="O377" s="1331">
        <f t="shared" si="414"/>
        <v>0</v>
      </c>
      <c r="P377" s="1332">
        <f t="shared" si="415"/>
        <v>0</v>
      </c>
      <c r="Q377" s="1333">
        <f t="shared" si="416"/>
        <v>0</v>
      </c>
      <c r="R377" s="1333">
        <f t="shared" si="417"/>
        <v>0</v>
      </c>
      <c r="S377" s="1024"/>
    </row>
    <row r="378" spans="2:19" s="806" customFormat="1" ht="21.75" customHeight="1">
      <c r="B378" s="1214">
        <v>4</v>
      </c>
      <c r="C378" s="1325" t="s">
        <v>390</v>
      </c>
      <c r="D378" s="1111" t="s">
        <v>135</v>
      </c>
      <c r="E378" s="1112">
        <v>1</v>
      </c>
      <c r="F378" s="946">
        <v>1</v>
      </c>
      <c r="G378" s="1113">
        <v>4076500</v>
      </c>
      <c r="H378" s="1021">
        <f t="shared" si="418"/>
        <v>4076500</v>
      </c>
      <c r="I378" s="374">
        <f>H378/'REKAP TOTAL'!F44</f>
        <v>3.3526355023578622E-4</v>
      </c>
      <c r="J378" s="1326">
        <v>0</v>
      </c>
      <c r="K378" s="1327">
        <v>0</v>
      </c>
      <c r="L378" s="1328">
        <v>0</v>
      </c>
      <c r="M378" s="1329">
        <f t="shared" si="412"/>
        <v>0</v>
      </c>
      <c r="N378" s="1330">
        <f t="shared" si="413"/>
        <v>0</v>
      </c>
      <c r="O378" s="1331">
        <f t="shared" si="414"/>
        <v>0</v>
      </c>
      <c r="P378" s="1332">
        <f t="shared" si="415"/>
        <v>0</v>
      </c>
      <c r="Q378" s="1333">
        <f t="shared" si="416"/>
        <v>0</v>
      </c>
      <c r="R378" s="1333">
        <f t="shared" si="417"/>
        <v>0</v>
      </c>
      <c r="S378" s="1114"/>
    </row>
    <row r="379" spans="2:19" s="806" customFormat="1" ht="21.75" customHeight="1">
      <c r="B379" s="1214">
        <v>5</v>
      </c>
      <c r="C379" s="1325" t="s">
        <v>391</v>
      </c>
      <c r="D379" s="1111" t="s">
        <v>135</v>
      </c>
      <c r="E379" s="1112">
        <v>3</v>
      </c>
      <c r="F379" s="946">
        <v>3</v>
      </c>
      <c r="G379" s="1113">
        <v>6836400</v>
      </c>
      <c r="H379" s="1021">
        <f t="shared" si="418"/>
        <v>20509200</v>
      </c>
      <c r="I379" s="374">
        <f>H379/'REKAP TOTAL'!F44</f>
        <v>1.6867379380585763E-3</v>
      </c>
      <c r="J379" s="1326">
        <v>0</v>
      </c>
      <c r="K379" s="1327">
        <v>0</v>
      </c>
      <c r="L379" s="1328">
        <v>0</v>
      </c>
      <c r="M379" s="1329">
        <f t="shared" si="412"/>
        <v>0</v>
      </c>
      <c r="N379" s="1330">
        <f t="shared" si="413"/>
        <v>0</v>
      </c>
      <c r="O379" s="1331">
        <f t="shared" si="414"/>
        <v>0</v>
      </c>
      <c r="P379" s="1332">
        <f t="shared" si="415"/>
        <v>0</v>
      </c>
      <c r="Q379" s="1333">
        <f t="shared" si="416"/>
        <v>0</v>
      </c>
      <c r="R379" s="1333">
        <f t="shared" si="417"/>
        <v>0</v>
      </c>
      <c r="S379" s="1114"/>
    </row>
    <row r="380" spans="2:19" s="806" customFormat="1" ht="21.75" customHeight="1">
      <c r="B380" s="1214">
        <v>6</v>
      </c>
      <c r="C380" s="1325" t="s">
        <v>392</v>
      </c>
      <c r="D380" s="1111" t="s">
        <v>135</v>
      </c>
      <c r="E380" s="1112">
        <v>2</v>
      </c>
      <c r="F380" s="946">
        <v>2</v>
      </c>
      <c r="G380" s="1113">
        <v>2134600</v>
      </c>
      <c r="H380" s="1021">
        <f t="shared" si="418"/>
        <v>4269200</v>
      </c>
      <c r="I380" s="374">
        <f>H380/'REKAP TOTAL'!F44</f>
        <v>3.5111177447972979E-4</v>
      </c>
      <c r="J380" s="1326">
        <v>0</v>
      </c>
      <c r="K380" s="1327">
        <v>0</v>
      </c>
      <c r="L380" s="1328">
        <v>0</v>
      </c>
      <c r="M380" s="1329">
        <f t="shared" si="412"/>
        <v>0</v>
      </c>
      <c r="N380" s="1330">
        <f t="shared" si="413"/>
        <v>0</v>
      </c>
      <c r="O380" s="1331">
        <f t="shared" si="414"/>
        <v>0</v>
      </c>
      <c r="P380" s="1332">
        <f t="shared" si="415"/>
        <v>0</v>
      </c>
      <c r="Q380" s="1333">
        <f t="shared" si="416"/>
        <v>0</v>
      </c>
      <c r="R380" s="1333">
        <f t="shared" si="417"/>
        <v>0</v>
      </c>
      <c r="S380" s="1114"/>
    </row>
    <row r="381" spans="2:19">
      <c r="B381" s="1030"/>
      <c r="C381" s="1174"/>
      <c r="D381" s="1032"/>
      <c r="E381" s="1033"/>
      <c r="F381" s="1513"/>
      <c r="G381" s="1035"/>
      <c r="H381" s="1035"/>
      <c r="I381" s="1035"/>
      <c r="J381" s="1364"/>
      <c r="K381" s="1365"/>
      <c r="L381" s="1366"/>
      <c r="M381" s="1367"/>
      <c r="N381" s="1368"/>
      <c r="O381" s="1369"/>
      <c r="P381" s="1370"/>
      <c r="Q381" s="1039"/>
      <c r="R381" s="1039"/>
      <c r="S381" s="1040"/>
    </row>
    <row r="382" spans="2:19" ht="17.25" customHeight="1">
      <c r="B382" s="978"/>
      <c r="C382" s="1421" t="s">
        <v>393</v>
      </c>
      <c r="D382" s="981"/>
      <c r="E382" s="982"/>
      <c r="F382" s="983"/>
      <c r="G382" s="984"/>
      <c r="H382" s="984">
        <f>SUM(H374:H381)</f>
        <v>33348200</v>
      </c>
      <c r="I382" s="392">
        <f>H382/'REKAP TOTAL'!F44</f>
        <v>2.7426556913953261E-3</v>
      </c>
      <c r="J382" s="1372"/>
      <c r="K382" s="1373"/>
      <c r="L382" s="1374">
        <f>SUM(L371:L381)</f>
        <v>0</v>
      </c>
      <c r="M382" s="1375"/>
      <c r="N382" s="1376"/>
      <c r="O382" s="1374">
        <f>SUM(O371:O381)</f>
        <v>0</v>
      </c>
      <c r="P382" s="1378"/>
      <c r="Q382" s="987"/>
      <c r="R382" s="1374">
        <f>SUM(R371:R381)</f>
        <v>0</v>
      </c>
      <c r="S382" s="1042"/>
    </row>
    <row r="383" spans="2:19">
      <c r="B383" s="1304"/>
      <c r="C383" s="1047"/>
      <c r="D383" s="1047"/>
      <c r="E383" s="1048"/>
      <c r="F383" s="1049"/>
      <c r="G383" s="1050"/>
      <c r="H383" s="1050"/>
      <c r="I383" s="1050"/>
      <c r="J383" s="1380"/>
      <c r="K383" s="1381"/>
      <c r="L383" s="1382"/>
      <c r="M383" s="1308"/>
      <c r="N383" s="1309"/>
      <c r="O383" s="1310"/>
      <c r="P383" s="1311"/>
      <c r="Q383" s="1054"/>
      <c r="R383" s="1054"/>
      <c r="S383" s="1055"/>
    </row>
    <row r="384" spans="2:19">
      <c r="B384" s="1147" t="s">
        <v>171</v>
      </c>
      <c r="C384" s="1244" t="s">
        <v>149</v>
      </c>
      <c r="D384" s="944"/>
      <c r="E384" s="945"/>
      <c r="F384" s="1020"/>
      <c r="G384" s="1021"/>
      <c r="H384" s="1021"/>
      <c r="I384" s="1021"/>
      <c r="J384" s="1360"/>
      <c r="K384" s="947"/>
      <c r="L384" s="1361"/>
      <c r="M384" s="1314"/>
      <c r="N384" s="1315"/>
      <c r="O384" s="1316"/>
      <c r="P384" s="1317"/>
      <c r="Q384" s="955"/>
      <c r="R384" s="955"/>
      <c r="S384" s="1024"/>
    </row>
    <row r="385" spans="2:19">
      <c r="B385" s="1147"/>
      <c r="C385" s="1244"/>
      <c r="D385" s="944"/>
      <c r="E385" s="945"/>
      <c r="F385" s="1020"/>
      <c r="G385" s="1021"/>
      <c r="H385" s="1021"/>
      <c r="I385" s="1021"/>
      <c r="J385" s="1360"/>
      <c r="K385" s="947"/>
      <c r="L385" s="1361"/>
      <c r="M385" s="1314"/>
      <c r="N385" s="1315"/>
      <c r="O385" s="1316"/>
      <c r="P385" s="1317"/>
      <c r="Q385" s="955"/>
      <c r="R385" s="955"/>
      <c r="S385" s="1024"/>
    </row>
    <row r="386" spans="2:19" ht="27.6">
      <c r="B386" s="940">
        <v>1</v>
      </c>
      <c r="C386" s="1444" t="s">
        <v>394</v>
      </c>
      <c r="D386" s="944" t="s">
        <v>262</v>
      </c>
      <c r="E386" s="945">
        <v>100</v>
      </c>
      <c r="F386" s="946">
        <v>100</v>
      </c>
      <c r="G386" s="1021">
        <v>238000</v>
      </c>
      <c r="H386" s="1021">
        <f>$F386*G386</f>
        <v>23800000</v>
      </c>
      <c r="I386" s="374">
        <f>H386/'REKAP TOTAL'!F44</f>
        <v>1.9573831707621028E-3</v>
      </c>
      <c r="J386" s="1326">
        <v>0</v>
      </c>
      <c r="K386" s="1327">
        <v>0</v>
      </c>
      <c r="L386" s="1328">
        <v>0</v>
      </c>
      <c r="M386" s="1329">
        <f t="shared" ref="M386" si="419">+P386-J386</f>
        <v>0</v>
      </c>
      <c r="N386" s="1330">
        <f t="shared" ref="N386" si="420">+Q386-K386</f>
        <v>0</v>
      </c>
      <c r="O386" s="1331">
        <f t="shared" ref="O386" si="421">+R386-L386</f>
        <v>0</v>
      </c>
      <c r="P386" s="1332">
        <f t="shared" ref="P386" si="422">+W386</f>
        <v>0</v>
      </c>
      <c r="Q386" s="1333">
        <f t="shared" ref="Q386" si="423">+P386/E386</f>
        <v>0</v>
      </c>
      <c r="R386" s="1333">
        <f t="shared" ref="R386" si="424">+Q386*I386</f>
        <v>0</v>
      </c>
      <c r="S386" s="1024"/>
    </row>
    <row r="387" spans="2:19">
      <c r="B387" s="940">
        <v>2</v>
      </c>
      <c r="C387" s="1526" t="s">
        <v>395</v>
      </c>
      <c r="D387" s="1527"/>
      <c r="E387" s="1528"/>
      <c r="F387" s="1529"/>
      <c r="G387" s="898"/>
      <c r="H387" s="873"/>
      <c r="I387" s="873"/>
      <c r="J387" s="1360"/>
      <c r="K387" s="947"/>
      <c r="L387" s="1361"/>
      <c r="M387" s="1314"/>
      <c r="N387" s="1315"/>
      <c r="O387" s="1316"/>
      <c r="P387" s="1317"/>
      <c r="Q387" s="955"/>
      <c r="R387" s="955"/>
      <c r="S387" s="1024"/>
    </row>
    <row r="388" spans="2:19">
      <c r="B388" s="940"/>
      <c r="C388" s="1526" t="s">
        <v>396</v>
      </c>
      <c r="D388" s="1527" t="s">
        <v>88</v>
      </c>
      <c r="E388" s="1528">
        <v>43.875</v>
      </c>
      <c r="F388" s="1205">
        <v>43.875</v>
      </c>
      <c r="G388" s="898">
        <v>189100</v>
      </c>
      <c r="H388" s="1021">
        <f t="shared" ref="H388:H394" si="425">$F388*G388</f>
        <v>8296762.5</v>
      </c>
      <c r="I388" s="374">
        <f>H388/'REKAP TOTAL'!F44</f>
        <v>6.8235055837437438E-4</v>
      </c>
      <c r="J388" s="1326">
        <v>0</v>
      </c>
      <c r="K388" s="1327">
        <v>0</v>
      </c>
      <c r="L388" s="1328">
        <v>0</v>
      </c>
      <c r="M388" s="1329">
        <f t="shared" ref="M388" si="426">+P388-J388</f>
        <v>0</v>
      </c>
      <c r="N388" s="1330">
        <f t="shared" ref="N388" si="427">+Q388-K388</f>
        <v>0</v>
      </c>
      <c r="O388" s="1331">
        <f t="shared" ref="O388" si="428">+R388-L388</f>
        <v>0</v>
      </c>
      <c r="P388" s="1332">
        <f t="shared" ref="P388" si="429">+W388</f>
        <v>0</v>
      </c>
      <c r="Q388" s="1333">
        <f t="shared" ref="Q388" si="430">+P388/E388</f>
        <v>0</v>
      </c>
      <c r="R388" s="1333">
        <f t="shared" ref="R388" si="431">+Q388*I388</f>
        <v>0</v>
      </c>
      <c r="S388" s="1024"/>
    </row>
    <row r="389" spans="2:19">
      <c r="B389" s="1530">
        <v>3</v>
      </c>
      <c r="C389" s="1526" t="s">
        <v>397</v>
      </c>
      <c r="D389" s="1527"/>
      <c r="E389" s="1528"/>
      <c r="F389" s="1529"/>
      <c r="G389" s="898"/>
      <c r="H389" s="1021"/>
      <c r="I389" s="1021"/>
      <c r="J389" s="1360"/>
      <c r="K389" s="947"/>
      <c r="L389" s="1361"/>
      <c r="M389" s="1314"/>
      <c r="N389" s="1315"/>
      <c r="O389" s="1316"/>
      <c r="P389" s="1317"/>
      <c r="Q389" s="955"/>
      <c r="R389" s="955"/>
      <c r="S389" s="1024"/>
    </row>
    <row r="390" spans="2:19">
      <c r="B390" s="1530"/>
      <c r="C390" s="1526" t="s">
        <v>398</v>
      </c>
      <c r="D390" s="1527" t="s">
        <v>88</v>
      </c>
      <c r="E390" s="1528">
        <v>18.3</v>
      </c>
      <c r="F390" s="1205">
        <v>18.3</v>
      </c>
      <c r="G390" s="898">
        <v>1156200</v>
      </c>
      <c r="H390" s="1021">
        <f t="shared" si="425"/>
        <v>21158460</v>
      </c>
      <c r="I390" s="374">
        <f>H390/'REKAP TOTAL'!F44</f>
        <v>1.740135021985005E-3</v>
      </c>
      <c r="J390" s="1326">
        <v>0</v>
      </c>
      <c r="K390" s="1327">
        <v>0</v>
      </c>
      <c r="L390" s="1328">
        <v>0</v>
      </c>
      <c r="M390" s="1329">
        <f t="shared" ref="M390" si="432">+P390-J390</f>
        <v>0</v>
      </c>
      <c r="N390" s="1330">
        <f t="shared" ref="N390" si="433">+Q390-K390</f>
        <v>0</v>
      </c>
      <c r="O390" s="1331">
        <f t="shared" ref="O390" si="434">+R390-L390</f>
        <v>0</v>
      </c>
      <c r="P390" s="1332">
        <f t="shared" ref="P390" si="435">+W390</f>
        <v>0</v>
      </c>
      <c r="Q390" s="1333">
        <f t="shared" ref="Q390" si="436">+P390/E390</f>
        <v>0</v>
      </c>
      <c r="R390" s="1333">
        <f t="shared" ref="R390" si="437">+Q390*I390</f>
        <v>0</v>
      </c>
      <c r="S390" s="1024"/>
    </row>
    <row r="391" spans="2:19">
      <c r="B391" s="1530">
        <v>4</v>
      </c>
      <c r="C391" s="1526" t="s">
        <v>399</v>
      </c>
      <c r="D391" s="1527"/>
      <c r="E391" s="1528"/>
      <c r="F391" s="1529"/>
      <c r="G391" s="898"/>
      <c r="H391" s="1021"/>
      <c r="I391" s="374"/>
      <c r="J391" s="1360"/>
      <c r="K391" s="947"/>
      <c r="L391" s="1361"/>
      <c r="M391" s="1314"/>
      <c r="N391" s="1315"/>
      <c r="O391" s="1316"/>
      <c r="P391" s="1317"/>
      <c r="Q391" s="955"/>
      <c r="R391" s="955"/>
      <c r="S391" s="1024"/>
    </row>
    <row r="392" spans="2:19">
      <c r="B392" s="1530"/>
      <c r="C392" s="1526" t="s">
        <v>398</v>
      </c>
      <c r="D392" s="1527" t="s">
        <v>88</v>
      </c>
      <c r="E392" s="1528">
        <v>65</v>
      </c>
      <c r="F392" s="1205">
        <v>65</v>
      </c>
      <c r="G392" s="898">
        <v>841700</v>
      </c>
      <c r="H392" s="1021">
        <f t="shared" si="425"/>
        <v>54710500</v>
      </c>
      <c r="I392" s="374">
        <f>H392/'REKAP TOTAL'!F44</f>
        <v>4.4995551245369759E-3</v>
      </c>
      <c r="J392" s="1326">
        <v>0</v>
      </c>
      <c r="K392" s="1327">
        <v>0</v>
      </c>
      <c r="L392" s="1328">
        <v>0</v>
      </c>
      <c r="M392" s="1329">
        <f t="shared" ref="M392" si="438">+P392-J392</f>
        <v>0</v>
      </c>
      <c r="N392" s="1330">
        <f t="shared" ref="N392" si="439">+Q392-K392</f>
        <v>0</v>
      </c>
      <c r="O392" s="1331">
        <f t="shared" ref="O392" si="440">+R392-L392</f>
        <v>0</v>
      </c>
      <c r="P392" s="1332">
        <f t="shared" ref="P392" si="441">+W392</f>
        <v>0</v>
      </c>
      <c r="Q392" s="1333">
        <f t="shared" ref="Q392" si="442">+P392/E392</f>
        <v>0</v>
      </c>
      <c r="R392" s="1333">
        <f t="shared" ref="R392" si="443">+Q392*I392</f>
        <v>0</v>
      </c>
      <c r="S392" s="1024"/>
    </row>
    <row r="393" spans="2:19">
      <c r="B393" s="1530">
        <v>5</v>
      </c>
      <c r="C393" s="1526" t="s">
        <v>400</v>
      </c>
      <c r="D393" s="1527"/>
      <c r="E393" s="1528"/>
      <c r="F393" s="1531"/>
      <c r="G393" s="898"/>
      <c r="H393" s="1021"/>
      <c r="I393" s="1021"/>
      <c r="J393" s="1360"/>
      <c r="K393" s="947"/>
      <c r="L393" s="1361"/>
      <c r="M393" s="1314"/>
      <c r="N393" s="1315"/>
      <c r="O393" s="1316"/>
      <c r="P393" s="1317"/>
      <c r="Q393" s="955"/>
      <c r="R393" s="955"/>
      <c r="S393" s="1024"/>
    </row>
    <row r="394" spans="2:19">
      <c r="B394" s="1530"/>
      <c r="C394" s="1526" t="s">
        <v>401</v>
      </c>
      <c r="D394" s="1527" t="s">
        <v>103</v>
      </c>
      <c r="E394" s="1528">
        <v>11.1</v>
      </c>
      <c r="F394" s="1205">
        <v>11.1</v>
      </c>
      <c r="G394" s="898">
        <v>189100</v>
      </c>
      <c r="H394" s="1021">
        <f t="shared" si="425"/>
        <v>2099010</v>
      </c>
      <c r="I394" s="374">
        <f>H394/'REKAP TOTAL'!F44</f>
        <v>1.7262885921266226E-4</v>
      </c>
      <c r="J394" s="1326">
        <v>0</v>
      </c>
      <c r="K394" s="1327">
        <v>0</v>
      </c>
      <c r="L394" s="1328">
        <v>0</v>
      </c>
      <c r="M394" s="1329">
        <f t="shared" ref="M394" si="444">+P394-J394</f>
        <v>0</v>
      </c>
      <c r="N394" s="1330">
        <f t="shared" ref="N394" si="445">+Q394-K394</f>
        <v>0</v>
      </c>
      <c r="O394" s="1331">
        <f t="shared" ref="O394" si="446">+R394-L394</f>
        <v>0</v>
      </c>
      <c r="P394" s="1332">
        <f t="shared" ref="P394" si="447">+W394</f>
        <v>0</v>
      </c>
      <c r="Q394" s="1333">
        <f t="shared" ref="Q394" si="448">+P394/E394</f>
        <v>0</v>
      </c>
      <c r="R394" s="1333">
        <f t="shared" ref="R394" si="449">+Q394*I394</f>
        <v>0</v>
      </c>
      <c r="S394" s="1024"/>
    </row>
    <row r="395" spans="2:19">
      <c r="B395" s="1030"/>
      <c r="C395" s="1532"/>
      <c r="D395" s="1032"/>
      <c r="E395" s="1033"/>
      <c r="F395" s="1513"/>
      <c r="G395" s="1035"/>
      <c r="H395" s="1035"/>
      <c r="I395" s="1035"/>
      <c r="J395" s="1364"/>
      <c r="K395" s="1365"/>
      <c r="L395" s="1366"/>
      <c r="M395" s="1367"/>
      <c r="N395" s="1368"/>
      <c r="O395" s="1369"/>
      <c r="P395" s="1370"/>
      <c r="Q395" s="1039"/>
      <c r="R395" s="1039"/>
      <c r="S395" s="1040"/>
    </row>
    <row r="396" spans="2:19">
      <c r="B396" s="978"/>
      <c r="C396" s="1421" t="s">
        <v>402</v>
      </c>
      <c r="D396" s="981"/>
      <c r="E396" s="982"/>
      <c r="F396" s="983"/>
      <c r="G396" s="984"/>
      <c r="H396" s="984">
        <f>SUM(H384:H395)</f>
        <v>110064732.5</v>
      </c>
      <c r="I396" s="392">
        <f>H396/'REKAP TOTAL'!F44</f>
        <v>9.0520527348711202E-3</v>
      </c>
      <c r="J396" s="1372"/>
      <c r="K396" s="1373"/>
      <c r="L396" s="1506">
        <f>SUM(L383:L395)</f>
        <v>0</v>
      </c>
      <c r="M396" s="1375"/>
      <c r="N396" s="1376"/>
      <c r="O396" s="1506">
        <f>SUM(O383:O395)</f>
        <v>0</v>
      </c>
      <c r="P396" s="1378"/>
      <c r="Q396" s="987"/>
      <c r="R396" s="1506">
        <f>SUM(R383:R395)</f>
        <v>0</v>
      </c>
      <c r="S396" s="1042"/>
    </row>
    <row r="397" spans="2:19">
      <c r="D397" s="1272"/>
    </row>
    <row r="398" spans="2:19">
      <c r="D398" s="1272"/>
    </row>
    <row r="399" spans="2:19">
      <c r="D399" s="1272"/>
    </row>
    <row r="400" spans="2:19">
      <c r="D400" s="1272"/>
    </row>
    <row r="401" spans="4:4">
      <c r="D401" s="1272"/>
    </row>
    <row r="402" spans="4:4">
      <c r="D402" s="1272"/>
    </row>
    <row r="403" spans="4:4">
      <c r="D403" s="1272"/>
    </row>
    <row r="404" spans="4:4">
      <c r="D404" s="1272"/>
    </row>
    <row r="405" spans="4:4">
      <c r="D405" s="1272"/>
    </row>
    <row r="406" spans="4:4">
      <c r="D406" s="1272"/>
    </row>
    <row r="407" spans="4:4">
      <c r="D407" s="1272"/>
    </row>
    <row r="408" spans="4:4">
      <c r="D408" s="1272"/>
    </row>
    <row r="409" spans="4:4">
      <c r="D409" s="1272"/>
    </row>
    <row r="410" spans="4:4">
      <c r="D410" s="1272"/>
    </row>
    <row r="411" spans="4:4">
      <c r="D411" s="1272"/>
    </row>
    <row r="412" spans="4:4">
      <c r="D412" s="1272"/>
    </row>
    <row r="413" spans="4:4">
      <c r="D413" s="1272"/>
    </row>
    <row r="414" spans="4:4">
      <c r="D414" s="1272"/>
    </row>
    <row r="415" spans="4:4">
      <c r="D415" s="1272"/>
    </row>
    <row r="416" spans="4:4">
      <c r="D416" s="1272"/>
    </row>
    <row r="417" spans="4:4">
      <c r="D417" s="1272"/>
    </row>
    <row r="418" spans="4:4">
      <c r="D418" s="1272"/>
    </row>
    <row r="419" spans="4:4">
      <c r="D419" s="1272"/>
    </row>
    <row r="420" spans="4:4">
      <c r="D420" s="1272"/>
    </row>
    <row r="421" spans="4:4">
      <c r="D421" s="1272"/>
    </row>
    <row r="422" spans="4:4">
      <c r="D422" s="1272"/>
    </row>
    <row r="423" spans="4:4">
      <c r="D423" s="1272"/>
    </row>
    <row r="424" spans="4:4">
      <c r="D424" s="1272"/>
    </row>
    <row r="425" spans="4:4">
      <c r="D425" s="1272"/>
    </row>
    <row r="426" spans="4:4">
      <c r="D426" s="1272"/>
    </row>
    <row r="427" spans="4:4">
      <c r="D427" s="1272"/>
    </row>
    <row r="428" spans="4:4">
      <c r="D428" s="1272"/>
    </row>
    <row r="429" spans="4:4">
      <c r="D429" s="1272"/>
    </row>
    <row r="430" spans="4:4">
      <c r="D430" s="1272"/>
    </row>
    <row r="431" spans="4:4">
      <c r="D431" s="1272"/>
    </row>
    <row r="432" spans="4:4">
      <c r="D432" s="1272"/>
    </row>
    <row r="433" spans="4:4">
      <c r="D433" s="1272"/>
    </row>
    <row r="434" spans="4:4">
      <c r="D434" s="1272"/>
    </row>
    <row r="435" spans="4:4">
      <c r="D435" s="1272"/>
    </row>
    <row r="436" spans="4:4">
      <c r="D436" s="1272"/>
    </row>
    <row r="437" spans="4:4">
      <c r="D437" s="1272"/>
    </row>
    <row r="438" spans="4:4">
      <c r="D438" s="1272"/>
    </row>
    <row r="439" spans="4:4">
      <c r="D439" s="1272"/>
    </row>
    <row r="440" spans="4:4">
      <c r="D440" s="1272"/>
    </row>
    <row r="441" spans="4:4">
      <c r="D441" s="1272"/>
    </row>
    <row r="442" spans="4:4">
      <c r="D442" s="1272"/>
    </row>
    <row r="443" spans="4:4">
      <c r="D443" s="1272"/>
    </row>
    <row r="444" spans="4:4">
      <c r="D444" s="1272"/>
    </row>
    <row r="445" spans="4:4">
      <c r="D445" s="1272"/>
    </row>
    <row r="446" spans="4:4">
      <c r="D446" s="1272"/>
    </row>
    <row r="447" spans="4:4">
      <c r="D447" s="1272"/>
    </row>
    <row r="448" spans="4:4">
      <c r="D448" s="1272"/>
    </row>
    <row r="449" spans="4:4">
      <c r="D449" s="1272"/>
    </row>
    <row r="450" spans="4:4">
      <c r="D450" s="1272"/>
    </row>
    <row r="451" spans="4:4">
      <c r="D451" s="1272"/>
    </row>
    <row r="452" spans="4:4">
      <c r="D452" s="1272"/>
    </row>
    <row r="453" spans="4:4">
      <c r="D453" s="1272"/>
    </row>
    <row r="454" spans="4:4">
      <c r="D454" s="1272"/>
    </row>
    <row r="455" spans="4:4">
      <c r="D455" s="1272"/>
    </row>
    <row r="456" spans="4:4">
      <c r="D456" s="1272"/>
    </row>
    <row r="457" spans="4:4">
      <c r="D457" s="1272"/>
    </row>
    <row r="458" spans="4:4">
      <c r="D458" s="1272"/>
    </row>
    <row r="459" spans="4:4">
      <c r="D459" s="1272"/>
    </row>
    <row r="460" spans="4:4">
      <c r="D460" s="1272"/>
    </row>
    <row r="461" spans="4:4">
      <c r="D461" s="1272"/>
    </row>
    <row r="462" spans="4:4">
      <c r="D462" s="1272"/>
    </row>
    <row r="463" spans="4:4">
      <c r="D463" s="1272"/>
    </row>
    <row r="464" spans="4:4">
      <c r="D464" s="1272"/>
    </row>
    <row r="465" spans="4:4">
      <c r="D465" s="1272"/>
    </row>
    <row r="466" spans="4:4">
      <c r="D466" s="1272"/>
    </row>
    <row r="467" spans="4:4">
      <c r="D467" s="1272"/>
    </row>
    <row r="468" spans="4:4">
      <c r="D468" s="1272"/>
    </row>
    <row r="469" spans="4:4">
      <c r="D469" s="1272"/>
    </row>
    <row r="470" spans="4:4">
      <c r="D470" s="1272"/>
    </row>
    <row r="471" spans="4:4">
      <c r="D471" s="1272"/>
    </row>
    <row r="472" spans="4:4">
      <c r="D472" s="1272"/>
    </row>
    <row r="473" spans="4:4">
      <c r="D473" s="1272"/>
    </row>
    <row r="474" spans="4:4">
      <c r="D474" s="1272"/>
    </row>
    <row r="475" spans="4:4">
      <c r="D475" s="1272"/>
    </row>
    <row r="476" spans="4:4">
      <c r="D476" s="1272"/>
    </row>
    <row r="477" spans="4:4">
      <c r="D477" s="1272"/>
    </row>
    <row r="478" spans="4:4">
      <c r="D478" s="1272"/>
    </row>
    <row r="479" spans="4:4">
      <c r="D479" s="1272"/>
    </row>
    <row r="480" spans="4:4">
      <c r="D480" s="1272"/>
    </row>
    <row r="481" spans="4:4">
      <c r="D481" s="1272"/>
    </row>
    <row r="482" spans="4:4">
      <c r="D482" s="1272"/>
    </row>
    <row r="483" spans="4:4">
      <c r="D483" s="1272"/>
    </row>
    <row r="484" spans="4:4">
      <c r="D484" s="1272"/>
    </row>
    <row r="485" spans="4:4">
      <c r="D485" s="1272"/>
    </row>
    <row r="486" spans="4:4">
      <c r="D486" s="1272"/>
    </row>
    <row r="487" spans="4:4">
      <c r="D487" s="1272"/>
    </row>
    <row r="488" spans="4:4">
      <c r="D488" s="1272"/>
    </row>
    <row r="489" spans="4:4">
      <c r="D489" s="1272"/>
    </row>
    <row r="490" spans="4:4">
      <c r="D490" s="1272"/>
    </row>
    <row r="491" spans="4:4">
      <c r="D491" s="1272"/>
    </row>
    <row r="492" spans="4:4">
      <c r="D492" s="1272"/>
    </row>
    <row r="493" spans="4:4">
      <c r="D493" s="1272"/>
    </row>
    <row r="494" spans="4:4">
      <c r="D494" s="1272"/>
    </row>
    <row r="495" spans="4:4">
      <c r="D495" s="1272"/>
    </row>
    <row r="496" spans="4:4">
      <c r="D496" s="1272"/>
    </row>
    <row r="497" spans="4:4">
      <c r="D497" s="1272"/>
    </row>
    <row r="498" spans="4:4">
      <c r="D498" s="1272"/>
    </row>
    <row r="499" spans="4:4">
      <c r="D499" s="1272"/>
    </row>
    <row r="500" spans="4:4">
      <c r="D500" s="1272"/>
    </row>
    <row r="501" spans="4:4">
      <c r="D501" s="1272"/>
    </row>
    <row r="502" spans="4:4">
      <c r="D502" s="1272"/>
    </row>
    <row r="503" spans="4:4">
      <c r="D503" s="1272"/>
    </row>
    <row r="504" spans="4:4">
      <c r="D504" s="1272"/>
    </row>
    <row r="505" spans="4:4">
      <c r="D505" s="1272"/>
    </row>
    <row r="506" spans="4:4">
      <c r="D506" s="1272"/>
    </row>
    <row r="507" spans="4:4">
      <c r="D507" s="1272"/>
    </row>
    <row r="508" spans="4:4">
      <c r="D508" s="1272"/>
    </row>
    <row r="509" spans="4:4">
      <c r="D509" s="1272"/>
    </row>
    <row r="510" spans="4:4">
      <c r="D510" s="1272"/>
    </row>
    <row r="511" spans="4:4">
      <c r="D511" s="1272"/>
    </row>
    <row r="512" spans="4:4">
      <c r="D512" s="1272"/>
    </row>
    <row r="513" spans="4:4">
      <c r="D513" s="1272"/>
    </row>
    <row r="514" spans="4:4">
      <c r="D514" s="1272"/>
    </row>
    <row r="515" spans="4:4">
      <c r="D515" s="1272"/>
    </row>
    <row r="516" spans="4:4">
      <c r="D516" s="1272"/>
    </row>
    <row r="517" spans="4:4">
      <c r="D517" s="1272"/>
    </row>
    <row r="518" spans="4:4">
      <c r="D518" s="1272"/>
    </row>
    <row r="519" spans="4:4">
      <c r="D519" s="1272"/>
    </row>
    <row r="520" spans="4:4">
      <c r="D520" s="1272"/>
    </row>
    <row r="521" spans="4:4">
      <c r="D521" s="1272"/>
    </row>
    <row r="522" spans="4:4">
      <c r="D522" s="1272"/>
    </row>
    <row r="523" spans="4:4">
      <c r="D523" s="1272"/>
    </row>
    <row r="524" spans="4:4">
      <c r="D524" s="1272"/>
    </row>
    <row r="525" spans="4:4">
      <c r="D525" s="1272"/>
    </row>
    <row r="526" spans="4:4">
      <c r="D526" s="1272"/>
    </row>
    <row r="527" spans="4:4">
      <c r="D527" s="1272"/>
    </row>
    <row r="528" spans="4:4">
      <c r="D528" s="1272"/>
    </row>
    <row r="529" spans="4:4">
      <c r="D529" s="1272"/>
    </row>
    <row r="530" spans="4:4">
      <c r="D530" s="1272"/>
    </row>
    <row r="531" spans="4:4">
      <c r="D531" s="1272"/>
    </row>
    <row r="532" spans="4:4">
      <c r="D532" s="1272"/>
    </row>
    <row r="533" spans="4:4">
      <c r="D533" s="1272"/>
    </row>
    <row r="534" spans="4:4">
      <c r="D534" s="1272"/>
    </row>
    <row r="535" spans="4:4">
      <c r="D535" s="1272"/>
    </row>
    <row r="536" spans="4:4">
      <c r="D536" s="1272"/>
    </row>
    <row r="537" spans="4:4">
      <c r="D537" s="1272"/>
    </row>
    <row r="538" spans="4:4">
      <c r="D538" s="1272"/>
    </row>
    <row r="539" spans="4:4">
      <c r="D539" s="1272"/>
    </row>
    <row r="540" spans="4:4">
      <c r="D540" s="1272"/>
    </row>
    <row r="541" spans="4:4">
      <c r="D541" s="1272"/>
    </row>
    <row r="542" spans="4:4">
      <c r="D542" s="1272"/>
    </row>
    <row r="543" spans="4:4">
      <c r="D543" s="1272"/>
    </row>
    <row r="544" spans="4:4">
      <c r="D544" s="1272"/>
    </row>
    <row r="545" spans="4:4">
      <c r="D545" s="1272"/>
    </row>
    <row r="546" spans="4:4">
      <c r="D546" s="1272"/>
    </row>
    <row r="547" spans="4:4">
      <c r="D547" s="1272"/>
    </row>
    <row r="548" spans="4:4">
      <c r="D548" s="1272"/>
    </row>
    <row r="549" spans="4:4">
      <c r="D549" s="1272"/>
    </row>
    <row r="550" spans="4:4">
      <c r="D550" s="1272"/>
    </row>
    <row r="551" spans="4:4">
      <c r="D551" s="1272"/>
    </row>
    <row r="552" spans="4:4">
      <c r="D552" s="1272"/>
    </row>
    <row r="553" spans="4:4">
      <c r="D553" s="1272"/>
    </row>
    <row r="554" spans="4:4">
      <c r="D554" s="1272"/>
    </row>
    <row r="555" spans="4:4">
      <c r="D555" s="1272"/>
    </row>
    <row r="556" spans="4:4">
      <c r="D556" s="1272"/>
    </row>
    <row r="557" spans="4:4">
      <c r="D557" s="1272"/>
    </row>
    <row r="558" spans="4:4">
      <c r="D558" s="1272"/>
    </row>
    <row r="559" spans="4:4">
      <c r="D559" s="1272"/>
    </row>
    <row r="560" spans="4:4">
      <c r="D560" s="1272"/>
    </row>
    <row r="561" spans="4:4">
      <c r="D561" s="1272"/>
    </row>
    <row r="562" spans="4:4">
      <c r="D562" s="1272"/>
    </row>
    <row r="563" spans="4:4">
      <c r="D563" s="1272"/>
    </row>
    <row r="564" spans="4:4">
      <c r="D564" s="1272"/>
    </row>
    <row r="565" spans="4:4">
      <c r="D565" s="1272"/>
    </row>
    <row r="566" spans="4:4">
      <c r="D566" s="1272"/>
    </row>
    <row r="567" spans="4:4">
      <c r="D567" s="1272"/>
    </row>
    <row r="568" spans="4:4">
      <c r="D568" s="1272"/>
    </row>
    <row r="569" spans="4:4">
      <c r="D569" s="1272"/>
    </row>
    <row r="570" spans="4:4">
      <c r="D570" s="1272"/>
    </row>
    <row r="571" spans="4:4">
      <c r="D571" s="1272"/>
    </row>
    <row r="572" spans="4:4">
      <c r="D572" s="1272"/>
    </row>
    <row r="573" spans="4:4">
      <c r="D573" s="1272"/>
    </row>
    <row r="574" spans="4:4">
      <c r="D574" s="1272"/>
    </row>
    <row r="575" spans="4:4">
      <c r="D575" s="1272"/>
    </row>
    <row r="576" spans="4:4">
      <c r="D576" s="1272"/>
    </row>
    <row r="577" spans="4:4">
      <c r="D577" s="1272"/>
    </row>
    <row r="578" spans="4:4">
      <c r="D578" s="1272"/>
    </row>
    <row r="579" spans="4:4">
      <c r="D579" s="1272"/>
    </row>
    <row r="580" spans="4:4">
      <c r="D580" s="1272"/>
    </row>
    <row r="581" spans="4:4">
      <c r="D581" s="1272"/>
    </row>
    <row r="582" spans="4:4">
      <c r="D582" s="1272"/>
    </row>
    <row r="583" spans="4:4">
      <c r="D583" s="1272"/>
    </row>
    <row r="584" spans="4:4">
      <c r="D584" s="1272"/>
    </row>
    <row r="585" spans="4:4">
      <c r="D585" s="1272"/>
    </row>
    <row r="586" spans="4:4">
      <c r="D586" s="1272"/>
    </row>
    <row r="587" spans="4:4">
      <c r="D587" s="1272"/>
    </row>
    <row r="588" spans="4:4">
      <c r="D588" s="1272"/>
    </row>
    <row r="589" spans="4:4">
      <c r="D589" s="1272"/>
    </row>
    <row r="590" spans="4:4">
      <c r="D590" s="1272"/>
    </row>
    <row r="591" spans="4:4">
      <c r="D591" s="1272"/>
    </row>
    <row r="592" spans="4:4">
      <c r="D592" s="1272"/>
    </row>
    <row r="593" spans="4:4">
      <c r="D593" s="1272"/>
    </row>
    <row r="594" spans="4:4">
      <c r="D594" s="1272"/>
    </row>
    <row r="595" spans="4:4">
      <c r="D595" s="1272"/>
    </row>
    <row r="596" spans="4:4">
      <c r="D596" s="1272"/>
    </row>
    <row r="597" spans="4:4">
      <c r="D597" s="1272"/>
    </row>
    <row r="598" spans="4:4">
      <c r="D598" s="1272"/>
    </row>
    <row r="599" spans="4:4">
      <c r="D599" s="1272"/>
    </row>
    <row r="600" spans="4:4">
      <c r="D600" s="1272"/>
    </row>
    <row r="601" spans="4:4">
      <c r="D601" s="1272"/>
    </row>
    <row r="602" spans="4:4">
      <c r="D602" s="1272"/>
    </row>
    <row r="603" spans="4:4">
      <c r="D603" s="1272"/>
    </row>
    <row r="604" spans="4:4">
      <c r="D604" s="1272"/>
    </row>
    <row r="605" spans="4:4">
      <c r="D605" s="1272"/>
    </row>
    <row r="606" spans="4:4">
      <c r="D606" s="1272"/>
    </row>
    <row r="607" spans="4:4">
      <c r="D607" s="1272"/>
    </row>
    <row r="608" spans="4:4">
      <c r="D608" s="1272"/>
    </row>
    <row r="609" spans="4:4">
      <c r="D609" s="1272"/>
    </row>
    <row r="610" spans="4:4">
      <c r="D610" s="1272"/>
    </row>
    <row r="611" spans="4:4">
      <c r="D611" s="1272"/>
    </row>
    <row r="612" spans="4:4">
      <c r="D612" s="1272"/>
    </row>
    <row r="613" spans="4:4">
      <c r="D613" s="1272"/>
    </row>
    <row r="614" spans="4:4">
      <c r="D614" s="1272"/>
    </row>
    <row r="615" spans="4:4">
      <c r="D615" s="1272"/>
    </row>
    <row r="616" spans="4:4">
      <c r="D616" s="1272"/>
    </row>
    <row r="617" spans="4:4">
      <c r="D617" s="1272"/>
    </row>
    <row r="618" spans="4:4">
      <c r="D618" s="1272"/>
    </row>
    <row r="619" spans="4:4">
      <c r="D619" s="1272"/>
    </row>
    <row r="620" spans="4:4">
      <c r="D620" s="1272"/>
    </row>
    <row r="621" spans="4:4">
      <c r="D621" s="1272"/>
    </row>
    <row r="622" spans="4:4">
      <c r="D622" s="1272"/>
    </row>
    <row r="623" spans="4:4">
      <c r="D623" s="1272"/>
    </row>
    <row r="624" spans="4:4">
      <c r="D624" s="1272"/>
    </row>
    <row r="625" spans="4:4">
      <c r="D625" s="1272"/>
    </row>
    <row r="626" spans="4:4">
      <c r="D626" s="1272"/>
    </row>
    <row r="627" spans="4:4">
      <c r="D627" s="1272"/>
    </row>
    <row r="628" spans="4:4">
      <c r="D628" s="1272"/>
    </row>
    <row r="629" spans="4:4">
      <c r="D629" s="1272"/>
    </row>
    <row r="630" spans="4:4">
      <c r="D630" s="1272"/>
    </row>
    <row r="631" spans="4:4">
      <c r="D631" s="1272"/>
    </row>
    <row r="632" spans="4:4">
      <c r="D632" s="1272"/>
    </row>
    <row r="633" spans="4:4">
      <c r="D633" s="1272"/>
    </row>
    <row r="634" spans="4:4">
      <c r="D634" s="1272"/>
    </row>
    <row r="635" spans="4:4">
      <c r="D635" s="1272"/>
    </row>
    <row r="636" spans="4:4">
      <c r="D636" s="1272"/>
    </row>
    <row r="637" spans="4:4">
      <c r="D637" s="1272"/>
    </row>
    <row r="638" spans="4:4">
      <c r="D638" s="1272"/>
    </row>
    <row r="639" spans="4:4">
      <c r="D639" s="1272"/>
    </row>
    <row r="640" spans="4:4">
      <c r="D640" s="1272"/>
    </row>
    <row r="641" spans="4:4">
      <c r="D641" s="1272"/>
    </row>
    <row r="642" spans="4:4">
      <c r="D642" s="1272"/>
    </row>
    <row r="643" spans="4:4">
      <c r="D643" s="1272"/>
    </row>
    <row r="644" spans="4:4">
      <c r="D644" s="1272"/>
    </row>
    <row r="645" spans="4:4">
      <c r="D645" s="1272"/>
    </row>
    <row r="646" spans="4:4">
      <c r="D646" s="1272"/>
    </row>
    <row r="647" spans="4:4">
      <c r="D647" s="1272"/>
    </row>
    <row r="648" spans="4:4">
      <c r="D648" s="1272"/>
    </row>
    <row r="649" spans="4:4">
      <c r="D649" s="1272"/>
    </row>
    <row r="650" spans="4:4">
      <c r="D650" s="1272"/>
    </row>
    <row r="651" spans="4:4">
      <c r="D651" s="1272"/>
    </row>
    <row r="652" spans="4:4">
      <c r="D652" s="1272"/>
    </row>
    <row r="653" spans="4:4">
      <c r="D653" s="1272"/>
    </row>
    <row r="654" spans="4:4">
      <c r="D654" s="1272"/>
    </row>
    <row r="655" spans="4:4">
      <c r="D655" s="1272"/>
    </row>
    <row r="656" spans="4:4">
      <c r="D656" s="1272"/>
    </row>
    <row r="657" spans="4:4">
      <c r="D657" s="1272"/>
    </row>
    <row r="658" spans="4:4">
      <c r="D658" s="1272"/>
    </row>
    <row r="659" spans="4:4">
      <c r="D659" s="1272"/>
    </row>
    <row r="660" spans="4:4">
      <c r="D660" s="1272"/>
    </row>
    <row r="661" spans="4:4">
      <c r="D661" s="1272"/>
    </row>
    <row r="662" spans="4:4">
      <c r="D662" s="1272"/>
    </row>
    <row r="663" spans="4:4">
      <c r="D663" s="1272"/>
    </row>
    <row r="664" spans="4:4">
      <c r="D664" s="1272"/>
    </row>
    <row r="665" spans="4:4">
      <c r="D665" s="1272"/>
    </row>
    <row r="666" spans="4:4">
      <c r="D666" s="1272"/>
    </row>
    <row r="667" spans="4:4">
      <c r="D667" s="1272"/>
    </row>
    <row r="668" spans="4:4">
      <c r="D668" s="1272"/>
    </row>
    <row r="669" spans="4:4">
      <c r="D669" s="1272"/>
    </row>
    <row r="670" spans="4:4">
      <c r="D670" s="1272"/>
    </row>
    <row r="671" spans="4:4">
      <c r="D671" s="1272"/>
    </row>
    <row r="672" spans="4:4">
      <c r="D672" s="1272"/>
    </row>
    <row r="673" spans="4:4">
      <c r="D673" s="1272"/>
    </row>
    <row r="674" spans="4:4">
      <c r="D674" s="1272"/>
    </row>
    <row r="675" spans="4:4">
      <c r="D675" s="1272"/>
    </row>
    <row r="676" spans="4:4">
      <c r="D676" s="1272"/>
    </row>
    <row r="677" spans="4:4">
      <c r="D677" s="1272"/>
    </row>
    <row r="678" spans="4:4">
      <c r="D678" s="1272"/>
    </row>
    <row r="679" spans="4:4">
      <c r="D679" s="1272"/>
    </row>
    <row r="680" spans="4:4">
      <c r="D680" s="1272"/>
    </row>
    <row r="681" spans="4:4">
      <c r="D681" s="1272"/>
    </row>
    <row r="682" spans="4:4">
      <c r="D682" s="1272"/>
    </row>
    <row r="683" spans="4:4">
      <c r="D683" s="1272"/>
    </row>
    <row r="684" spans="4:4">
      <c r="D684" s="1272"/>
    </row>
    <row r="685" spans="4:4">
      <c r="D685" s="1272"/>
    </row>
    <row r="686" spans="4:4">
      <c r="D686" s="1272"/>
    </row>
    <row r="687" spans="4:4">
      <c r="D687" s="1272"/>
    </row>
    <row r="688" spans="4:4">
      <c r="D688" s="1272"/>
    </row>
    <row r="689" spans="4:4">
      <c r="D689" s="1272"/>
    </row>
    <row r="690" spans="4:4">
      <c r="D690" s="1272"/>
    </row>
    <row r="691" spans="4:4">
      <c r="D691" s="1272"/>
    </row>
    <row r="692" spans="4:4">
      <c r="D692" s="1272"/>
    </row>
    <row r="693" spans="4:4">
      <c r="D693" s="1272"/>
    </row>
    <row r="694" spans="4:4">
      <c r="D694" s="1272"/>
    </row>
    <row r="695" spans="4:4">
      <c r="D695" s="1272"/>
    </row>
    <row r="696" spans="4:4">
      <c r="D696" s="1272"/>
    </row>
    <row r="697" spans="4:4">
      <c r="D697" s="1272"/>
    </row>
    <row r="698" spans="4:4">
      <c r="D698" s="1272"/>
    </row>
    <row r="699" spans="4:4">
      <c r="D699" s="1272"/>
    </row>
    <row r="700" spans="4:4">
      <c r="D700" s="1272"/>
    </row>
    <row r="701" spans="4:4">
      <c r="D701" s="1272"/>
    </row>
    <row r="702" spans="4:4">
      <c r="D702" s="1272"/>
    </row>
    <row r="703" spans="4:4">
      <c r="D703" s="1272"/>
    </row>
    <row r="704" spans="4:4">
      <c r="D704" s="1272"/>
    </row>
    <row r="705" spans="4:4">
      <c r="D705" s="1272"/>
    </row>
    <row r="706" spans="4:4">
      <c r="D706" s="1272"/>
    </row>
    <row r="707" spans="4:4">
      <c r="D707" s="1272"/>
    </row>
    <row r="708" spans="4:4">
      <c r="D708" s="1272"/>
    </row>
    <row r="709" spans="4:4">
      <c r="D709" s="1272"/>
    </row>
    <row r="710" spans="4:4">
      <c r="D710" s="1272"/>
    </row>
    <row r="711" spans="4:4">
      <c r="D711" s="1272"/>
    </row>
    <row r="712" spans="4:4">
      <c r="D712" s="1272"/>
    </row>
    <row r="713" spans="4:4">
      <c r="D713" s="1272"/>
    </row>
    <row r="714" spans="4:4">
      <c r="D714" s="1272"/>
    </row>
    <row r="715" spans="4:4">
      <c r="D715" s="1272"/>
    </row>
    <row r="716" spans="4:4">
      <c r="D716" s="1272"/>
    </row>
    <row r="717" spans="4:4">
      <c r="D717" s="1272"/>
    </row>
    <row r="718" spans="4:4">
      <c r="D718" s="1272"/>
    </row>
    <row r="719" spans="4:4">
      <c r="D719" s="1272"/>
    </row>
    <row r="720" spans="4:4">
      <c r="D720" s="1272"/>
    </row>
    <row r="721" spans="4:4">
      <c r="D721" s="1272"/>
    </row>
    <row r="722" spans="4:4">
      <c r="D722" s="1272"/>
    </row>
    <row r="723" spans="4:4">
      <c r="D723" s="1272"/>
    </row>
    <row r="724" spans="4:4">
      <c r="D724" s="1272"/>
    </row>
    <row r="725" spans="4:4">
      <c r="D725" s="1272"/>
    </row>
    <row r="726" spans="4:4">
      <c r="D726" s="1272"/>
    </row>
    <row r="727" spans="4:4">
      <c r="D727" s="1272"/>
    </row>
    <row r="728" spans="4:4">
      <c r="D728" s="1272"/>
    </row>
    <row r="729" spans="4:4">
      <c r="D729" s="1272"/>
    </row>
    <row r="730" spans="4:4">
      <c r="D730" s="1272"/>
    </row>
    <row r="731" spans="4:4">
      <c r="D731" s="1272"/>
    </row>
    <row r="732" spans="4:4">
      <c r="D732" s="1272"/>
    </row>
    <row r="733" spans="4:4">
      <c r="D733" s="1272"/>
    </row>
    <row r="734" spans="4:4">
      <c r="D734" s="1272"/>
    </row>
    <row r="735" spans="4:4">
      <c r="D735" s="1272"/>
    </row>
    <row r="736" spans="4:4">
      <c r="D736" s="1272"/>
    </row>
    <row r="737" spans="4:4">
      <c r="D737" s="1272"/>
    </row>
    <row r="738" spans="4:4">
      <c r="D738" s="1272"/>
    </row>
    <row r="739" spans="4:4">
      <c r="D739" s="1272"/>
    </row>
    <row r="740" spans="4:4">
      <c r="D740" s="1272"/>
    </row>
    <row r="741" spans="4:4">
      <c r="D741" s="1272"/>
    </row>
    <row r="742" spans="4:4">
      <c r="D742" s="1272"/>
    </row>
    <row r="743" spans="4:4">
      <c r="D743" s="1272"/>
    </row>
    <row r="744" spans="4:4">
      <c r="D744" s="1272"/>
    </row>
    <row r="745" spans="4:4">
      <c r="D745" s="1272"/>
    </row>
  </sheetData>
  <mergeCells count="7">
    <mergeCell ref="S8:S9"/>
    <mergeCell ref="J8:L8"/>
    <mergeCell ref="M8:O8"/>
    <mergeCell ref="P8:R8"/>
    <mergeCell ref="D8:D9"/>
    <mergeCell ref="E8:E9"/>
    <mergeCell ref="I8:I9"/>
  </mergeCells>
  <printOptions horizontalCentered="1"/>
  <pageMargins left="0.59055118110236204" right="0.31496062992126" top="0.55118110236220497" bottom="0.74803149606299202" header="0" footer="0.31496062992126"/>
  <pageSetup paperSize="9" scale="34" fitToHeight="0" orientation="portrait" r:id="rId1"/>
  <headerFooter alignWithMargins="0">
    <oddFooter>&amp;L&amp;10Bill Quantity
Proyek : SHOWROOM &amp; WORKSHOP
DSO CABANG BATAM KEPULAUAN RIAU&amp;C&amp;A&amp;RPage &amp;P of &amp;N</oddFooter>
  </headerFooter>
  <rowBreaks count="1" manualBreakCount="1">
    <brk id="4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V433"/>
  <sheetViews>
    <sheetView showGridLines="0" view="pageBreakPreview" zoomScale="55" zoomScaleNormal="70" workbookViewId="0">
      <pane ySplit="9" topLeftCell="A13" activePane="bottomLeft" state="frozen"/>
      <selection pane="bottomLeft" activeCell="K250" sqref="K250"/>
    </sheetView>
  </sheetViews>
  <sheetFormatPr defaultColWidth="9" defaultRowHeight="14.4"/>
  <cols>
    <col min="2" max="2" width="4.6640625" style="809" customWidth="1"/>
    <col min="3" max="3" width="4.88671875" style="803" customWidth="1"/>
    <col min="4" max="4" width="4.109375" style="803" customWidth="1"/>
    <col min="5" max="5" width="107.6640625" style="803" customWidth="1"/>
    <col min="6" max="6" width="7.44140625" style="810" customWidth="1"/>
    <col min="7" max="7" width="12.88671875" style="811" customWidth="1"/>
    <col min="8" max="8" width="19.6640625" style="812" hidden="1" customWidth="1"/>
    <col min="9" max="9" width="18" style="813" hidden="1" customWidth="1"/>
    <col min="10" max="10" width="23.109375" style="813" hidden="1" customWidth="1"/>
    <col min="11" max="11" width="23.109375" style="813" customWidth="1"/>
    <col min="12" max="12" width="15.5546875" style="805" customWidth="1"/>
    <col min="13" max="13" width="23.109375" style="813" customWidth="1"/>
    <col min="14" max="14" width="15.5546875" style="813" customWidth="1"/>
    <col min="15" max="15" width="10.6640625" style="814" customWidth="1"/>
    <col min="16" max="16" width="15.5546875" style="815" customWidth="1"/>
    <col min="17" max="17" width="13.6640625" style="814" customWidth="1"/>
    <col min="19" max="19" width="19.44140625" customWidth="1"/>
    <col min="20" max="20" width="12.33203125" customWidth="1"/>
  </cols>
  <sheetData>
    <row r="1" spans="2:22">
      <c r="B1" s="816" t="str">
        <f>'I. PERSIAPAN'!B1</f>
        <v>PROGRESS MINGGUAN</v>
      </c>
      <c r="C1" s="817"/>
      <c r="D1" s="817"/>
      <c r="E1" s="817"/>
      <c r="F1" s="818"/>
      <c r="G1" s="818"/>
      <c r="H1" s="819"/>
      <c r="I1" s="820"/>
      <c r="J1" s="820"/>
      <c r="K1" s="820"/>
      <c r="L1" s="821"/>
      <c r="M1" s="820"/>
      <c r="N1" s="820"/>
    </row>
    <row r="2" spans="2:22">
      <c r="B2" s="816" t="str">
        <f>'I. PERSIAPAN'!B2</f>
        <v>PROYEK SHOWROOM &amp; WORKSHOP</v>
      </c>
      <c r="C2" s="822"/>
      <c r="D2" s="822"/>
      <c r="E2" s="822"/>
      <c r="F2" s="823"/>
      <c r="G2" s="823"/>
      <c r="H2" s="824"/>
      <c r="I2" s="825"/>
      <c r="J2" s="825"/>
      <c r="K2" s="825"/>
      <c r="L2" s="826"/>
      <c r="M2" s="825"/>
      <c r="N2" s="825"/>
    </row>
    <row r="3" spans="2:22">
      <c r="B3" s="816" t="str">
        <f>'I. PERSIAPAN'!B3</f>
        <v>DAIHATSU Cabang BATAM-KEPULAUAN RIAU</v>
      </c>
      <c r="C3" s="827"/>
      <c r="D3" s="827"/>
      <c r="E3" s="827"/>
      <c r="F3" s="828"/>
      <c r="G3" s="828"/>
      <c r="H3" s="829"/>
      <c r="I3" s="830"/>
      <c r="J3" s="830"/>
      <c r="K3" s="830"/>
      <c r="L3" s="831"/>
      <c r="M3" s="830"/>
      <c r="N3" s="830"/>
    </row>
    <row r="4" spans="2:22">
      <c r="B4" s="816" t="str">
        <f>'I. PERSIAPAN'!B4</f>
        <v xml:space="preserve">PT. ASTRA INTERNATIONAL Tbk </v>
      </c>
      <c r="C4" s="832"/>
      <c r="D4" s="832"/>
      <c r="E4" s="832"/>
      <c r="F4" s="833"/>
      <c r="G4" s="834"/>
      <c r="H4" s="835"/>
      <c r="I4" s="836"/>
      <c r="J4" s="836"/>
      <c r="K4" s="836"/>
      <c r="L4" s="837"/>
      <c r="M4" s="836"/>
      <c r="N4" s="836"/>
    </row>
    <row r="5" spans="2:22">
      <c r="B5" s="816" t="str">
        <f>'I. PERSIAPAN'!B5</f>
        <v>PERIODE : 6- 18 April2026</v>
      </c>
      <c r="C5" s="832"/>
      <c r="D5" s="832"/>
      <c r="E5" s="832"/>
      <c r="F5" s="833"/>
      <c r="G5" s="834"/>
      <c r="H5" s="835"/>
      <c r="I5" s="836"/>
      <c r="J5" s="836"/>
      <c r="K5" s="836"/>
      <c r="L5" s="837"/>
      <c r="M5" s="836"/>
      <c r="N5" s="836"/>
    </row>
    <row r="6" spans="2:22">
      <c r="B6" s="816" t="str">
        <f>'I. PERSIAPAN'!B6</f>
        <v>MINGGU KE 2 (Dua)</v>
      </c>
      <c r="C6" s="832"/>
      <c r="D6" s="832"/>
      <c r="E6" s="832"/>
      <c r="F6" s="833"/>
      <c r="G6" s="834"/>
      <c r="H6" s="835"/>
      <c r="I6" s="836"/>
      <c r="J6" s="836"/>
      <c r="K6" s="836"/>
      <c r="L6" s="837"/>
      <c r="M6" s="836"/>
      <c r="N6" s="836"/>
    </row>
    <row r="7" spans="2:22">
      <c r="B7" s="838"/>
      <c r="C7" s="838"/>
      <c r="D7" s="838"/>
      <c r="E7" s="838"/>
      <c r="F7" s="839"/>
      <c r="G7" s="840"/>
      <c r="H7" s="841"/>
      <c r="I7" s="842"/>
      <c r="J7" s="843"/>
      <c r="K7" s="843"/>
      <c r="L7" s="844"/>
      <c r="M7" s="843"/>
      <c r="N7" s="843"/>
    </row>
    <row r="8" spans="2:22" ht="25.5" customHeight="1">
      <c r="B8" s="2145" t="s">
        <v>58</v>
      </c>
      <c r="C8" s="2138" t="s">
        <v>11</v>
      </c>
      <c r="D8" s="2139"/>
      <c r="E8" s="2140"/>
      <c r="F8" s="2147" t="s">
        <v>59</v>
      </c>
      <c r="G8" s="2149" t="s">
        <v>60</v>
      </c>
      <c r="H8" s="2149" t="s">
        <v>60</v>
      </c>
      <c r="I8" s="2149" t="s">
        <v>60</v>
      </c>
      <c r="J8" s="2149" t="s">
        <v>60</v>
      </c>
      <c r="K8" s="2151" t="s">
        <v>14</v>
      </c>
      <c r="L8" s="2144" t="s">
        <v>64</v>
      </c>
      <c r="M8" s="2099"/>
      <c r="N8" s="2099"/>
      <c r="O8" s="2099" t="s">
        <v>16</v>
      </c>
      <c r="P8" s="2099"/>
      <c r="Q8" s="2099"/>
      <c r="R8" s="336" t="s">
        <v>65</v>
      </c>
      <c r="S8" s="336"/>
      <c r="T8" s="848"/>
      <c r="U8" s="2135" t="s">
        <v>18</v>
      </c>
      <c r="V8" s="2127"/>
    </row>
    <row r="9" spans="2:22">
      <c r="B9" s="2146"/>
      <c r="C9" s="2141"/>
      <c r="D9" s="2142"/>
      <c r="E9" s="2143"/>
      <c r="F9" s="2148"/>
      <c r="G9" s="2150"/>
      <c r="H9" s="2150"/>
      <c r="I9" s="2150"/>
      <c r="J9" s="2150"/>
      <c r="K9" s="2152"/>
      <c r="L9" s="1130" t="s">
        <v>20</v>
      </c>
      <c r="M9" s="341" t="s">
        <v>21</v>
      </c>
      <c r="N9" s="342" t="s">
        <v>14</v>
      </c>
      <c r="O9" s="1131" t="s">
        <v>20</v>
      </c>
      <c r="P9" s="1132" t="s">
        <v>21</v>
      </c>
      <c r="Q9" s="1132" t="s">
        <v>14</v>
      </c>
      <c r="R9" s="1133" t="s">
        <v>20</v>
      </c>
      <c r="S9" s="1131" t="s">
        <v>21</v>
      </c>
      <c r="T9" s="1134" t="s">
        <v>14</v>
      </c>
      <c r="U9" s="2136"/>
      <c r="V9" s="2137"/>
    </row>
    <row r="10" spans="2:22">
      <c r="B10" s="899"/>
      <c r="C10" s="889"/>
      <c r="D10" s="891"/>
      <c r="E10" s="1135"/>
      <c r="F10" s="870"/>
      <c r="G10" s="871"/>
      <c r="H10" s="872"/>
      <c r="I10" s="873"/>
      <c r="J10" s="874"/>
      <c r="K10" s="875"/>
      <c r="L10" s="862"/>
      <c r="M10" s="859"/>
      <c r="N10" s="859"/>
      <c r="O10" s="877"/>
      <c r="P10" s="878"/>
      <c r="Q10" s="877"/>
      <c r="R10" s="879"/>
      <c r="S10" s="879"/>
      <c r="T10" s="879"/>
      <c r="U10" s="880"/>
      <c r="V10" s="996"/>
    </row>
    <row r="11" spans="2:22">
      <c r="B11" s="867" t="s">
        <v>37</v>
      </c>
      <c r="C11" s="868"/>
      <c r="D11" s="869"/>
      <c r="E11" s="869" t="s">
        <v>403</v>
      </c>
      <c r="F11" s="870"/>
      <c r="G11" s="871"/>
      <c r="H11" s="872"/>
      <c r="I11" s="873"/>
      <c r="J11" s="874"/>
      <c r="K11" s="875"/>
      <c r="L11" s="876"/>
      <c r="M11" s="873"/>
      <c r="N11" s="873"/>
      <c r="O11" s="877"/>
      <c r="P11" s="878"/>
      <c r="Q11" s="877"/>
      <c r="R11" s="879"/>
      <c r="S11" s="879"/>
      <c r="T11" s="879"/>
      <c r="U11" s="880"/>
      <c r="V11" s="996"/>
    </row>
    <row r="12" spans="2:22" s="803" customFormat="1" ht="13.8">
      <c r="B12" s="867"/>
      <c r="C12" s="868"/>
      <c r="D12" s="869"/>
      <c r="E12" s="869"/>
      <c r="F12" s="870"/>
      <c r="G12" s="881"/>
      <c r="H12" s="882"/>
      <c r="I12" s="883"/>
      <c r="J12" s="884"/>
      <c r="K12" s="885"/>
      <c r="L12" s="876"/>
      <c r="M12" s="883"/>
      <c r="N12" s="883"/>
      <c r="O12" s="886"/>
      <c r="P12" s="887"/>
      <c r="Q12" s="886"/>
      <c r="R12" s="888"/>
      <c r="S12" s="888"/>
      <c r="T12" s="888"/>
      <c r="U12" s="889"/>
      <c r="V12" s="998"/>
    </row>
    <row r="13" spans="2:22">
      <c r="B13" s="867" t="s">
        <v>22</v>
      </c>
      <c r="C13" s="889"/>
      <c r="D13" s="891"/>
      <c r="E13" s="895" t="str">
        <f>E38</f>
        <v>PEKERJAAN STRUKTUR</v>
      </c>
      <c r="F13" s="870"/>
      <c r="G13" s="887"/>
      <c r="H13" s="896"/>
      <c r="I13" s="873"/>
      <c r="J13" s="874"/>
      <c r="K13" s="875"/>
      <c r="L13" s="897"/>
      <c r="M13" s="898"/>
      <c r="N13" s="898"/>
      <c r="O13" s="877"/>
      <c r="P13" s="878"/>
      <c r="Q13" s="877"/>
      <c r="R13" s="879"/>
      <c r="S13" s="879"/>
      <c r="T13" s="879"/>
      <c r="U13" s="880"/>
      <c r="V13" s="996"/>
    </row>
    <row r="14" spans="2:22">
      <c r="B14" s="899"/>
      <c r="C14" s="889"/>
      <c r="D14" s="891"/>
      <c r="E14" s="891"/>
      <c r="F14" s="870"/>
      <c r="G14" s="887"/>
      <c r="H14" s="896"/>
      <c r="I14" s="873"/>
      <c r="J14" s="874"/>
      <c r="K14" s="875"/>
      <c r="L14" s="897"/>
      <c r="M14" s="898"/>
      <c r="N14" s="898"/>
      <c r="O14" s="877"/>
      <c r="P14" s="878"/>
      <c r="Q14" s="877"/>
      <c r="R14" s="879"/>
      <c r="S14" s="879"/>
      <c r="T14" s="879"/>
      <c r="U14" s="880"/>
      <c r="V14" s="996"/>
    </row>
    <row r="15" spans="2:22">
      <c r="B15" s="900" t="s">
        <v>32</v>
      </c>
      <c r="C15" s="889"/>
      <c r="D15" s="891"/>
      <c r="E15" s="891" t="str">
        <f>E40</f>
        <v>PEKERJAAN PENEBALAN PLAT (AREA COMBIBOOTH)</v>
      </c>
      <c r="F15" s="870"/>
      <c r="G15" s="871"/>
      <c r="H15" s="872"/>
      <c r="I15" s="873"/>
      <c r="J15" s="874">
        <f>$J$58</f>
        <v>67565139.599855006</v>
      </c>
      <c r="K15" s="374">
        <f>J15/'REKAP TOTAL'!F44</f>
        <v>5.5567591253339625E-3</v>
      </c>
      <c r="L15" s="897"/>
      <c r="M15" s="898"/>
      <c r="N15" s="898"/>
      <c r="O15" s="877"/>
      <c r="P15" s="878"/>
      <c r="Q15" s="877"/>
      <c r="R15" s="879"/>
      <c r="S15" s="879"/>
      <c r="T15" s="879"/>
      <c r="U15" s="880"/>
      <c r="V15" s="996"/>
    </row>
    <row r="16" spans="2:22">
      <c r="B16" s="900" t="s">
        <v>34</v>
      </c>
      <c r="C16" s="889"/>
      <c r="D16" s="891"/>
      <c r="E16" s="891" t="str">
        <f>E60</f>
        <v>PEKERJAAN WATERPROOFING</v>
      </c>
      <c r="F16" s="870"/>
      <c r="G16" s="871"/>
      <c r="H16" s="872"/>
      <c r="I16" s="873"/>
      <c r="J16" s="874">
        <f>$J$65</f>
        <v>24738724.800000001</v>
      </c>
      <c r="K16" s="374">
        <f>J16/'REKAP TOTAL'!F44</f>
        <v>2.0345867054468517E-3</v>
      </c>
      <c r="L16" s="897"/>
      <c r="M16" s="898"/>
      <c r="N16" s="898"/>
      <c r="O16" s="877"/>
      <c r="P16" s="878"/>
      <c r="Q16" s="877"/>
      <c r="R16" s="879"/>
      <c r="S16" s="879"/>
      <c r="T16" s="879"/>
      <c r="U16" s="880"/>
      <c r="V16" s="996"/>
    </row>
    <row r="17" spans="2:22">
      <c r="B17" s="900"/>
      <c r="C17" s="889"/>
      <c r="D17" s="891"/>
      <c r="E17" s="891"/>
      <c r="F17" s="870"/>
      <c r="G17" s="871"/>
      <c r="H17" s="872"/>
      <c r="I17" s="873"/>
      <c r="J17" s="874"/>
      <c r="K17" s="875"/>
      <c r="L17" s="897"/>
      <c r="M17" s="898"/>
      <c r="N17" s="898"/>
      <c r="O17" s="877"/>
      <c r="P17" s="878"/>
      <c r="Q17" s="877"/>
      <c r="R17" s="879"/>
      <c r="S17" s="879"/>
      <c r="T17" s="879"/>
      <c r="U17" s="880"/>
      <c r="V17" s="996"/>
    </row>
    <row r="18" spans="2:22">
      <c r="B18" s="1136"/>
      <c r="C18" s="1137"/>
      <c r="D18" s="904"/>
      <c r="E18" s="904"/>
      <c r="F18" s="905"/>
      <c r="G18" s="906"/>
      <c r="H18" s="907"/>
      <c r="I18" s="908"/>
      <c r="J18" s="909"/>
      <c r="K18" s="910"/>
      <c r="L18" s="911"/>
      <c r="M18" s="1004"/>
      <c r="N18" s="1004"/>
      <c r="O18" s="1005"/>
      <c r="P18" s="1006"/>
      <c r="Q18" s="1005"/>
      <c r="R18" s="1007"/>
      <c r="S18" s="1007"/>
      <c r="T18" s="1007"/>
      <c r="U18" s="1138"/>
      <c r="V18" s="1009"/>
    </row>
    <row r="19" spans="2:22">
      <c r="B19" s="914"/>
      <c r="C19" s="915"/>
      <c r="D19" s="916"/>
      <c r="E19" s="1139" t="s">
        <v>174</v>
      </c>
      <c r="F19" s="918"/>
      <c r="G19" s="919"/>
      <c r="H19" s="920"/>
      <c r="I19" s="921"/>
      <c r="J19" s="922">
        <f>SUM(J12:J18)</f>
        <v>92303864.399855003</v>
      </c>
      <c r="K19" s="392">
        <f>J19/'REKAP TOTAL'!F44</f>
        <v>7.5913458307808141E-3</v>
      </c>
      <c r="L19" s="923"/>
      <c r="M19" s="1010"/>
      <c r="N19" s="1010"/>
      <c r="O19" s="1011"/>
      <c r="P19" s="1012"/>
      <c r="Q19" s="1011"/>
      <c r="R19" s="1013"/>
      <c r="S19" s="1013"/>
      <c r="T19" s="1013"/>
      <c r="U19" s="1140"/>
      <c r="V19" s="1015"/>
    </row>
    <row r="20" spans="2:22">
      <c r="B20" s="852"/>
      <c r="C20" s="853"/>
      <c r="D20" s="854"/>
      <c r="E20" s="1141"/>
      <c r="F20" s="856"/>
      <c r="G20" s="857"/>
      <c r="H20" s="858"/>
      <c r="I20" s="859"/>
      <c r="J20" s="928"/>
      <c r="K20" s="929"/>
      <c r="L20" s="930"/>
      <c r="M20" s="1016"/>
      <c r="N20" s="1016"/>
      <c r="O20" s="863"/>
      <c r="P20" s="864"/>
      <c r="Q20" s="863"/>
      <c r="R20" s="865"/>
      <c r="S20" s="865"/>
      <c r="T20" s="865"/>
      <c r="U20" s="866"/>
      <c r="V20" s="994"/>
    </row>
    <row r="21" spans="2:22">
      <c r="B21" s="899"/>
      <c r="C21" s="889"/>
      <c r="D21" s="891"/>
      <c r="E21" s="1142"/>
      <c r="F21" s="870"/>
      <c r="G21" s="871"/>
      <c r="H21" s="872"/>
      <c r="I21" s="873"/>
      <c r="J21" s="1143"/>
      <c r="K21" s="1144"/>
      <c r="L21" s="897"/>
      <c r="M21" s="898"/>
      <c r="N21" s="898"/>
      <c r="O21" s="877"/>
      <c r="P21" s="878"/>
      <c r="Q21" s="877"/>
      <c r="R21" s="879"/>
      <c r="S21" s="879"/>
      <c r="T21" s="879"/>
      <c r="U21" s="880"/>
      <c r="V21" s="996"/>
    </row>
    <row r="22" spans="2:22">
      <c r="B22" s="867" t="str">
        <f>B67</f>
        <v>II</v>
      </c>
      <c r="C22" s="889"/>
      <c r="D22" s="891"/>
      <c r="E22" s="895" t="s">
        <v>35</v>
      </c>
      <c r="F22" s="870"/>
      <c r="G22" s="887"/>
      <c r="H22" s="896"/>
      <c r="I22" s="873"/>
      <c r="J22" s="874"/>
      <c r="K22" s="875"/>
      <c r="L22" s="897"/>
      <c r="M22" s="898"/>
      <c r="N22" s="898"/>
      <c r="O22" s="877"/>
      <c r="P22" s="878"/>
      <c r="Q22" s="877"/>
      <c r="R22" s="879"/>
      <c r="S22" s="879"/>
      <c r="T22" s="879"/>
      <c r="U22" s="880"/>
      <c r="V22" s="996"/>
    </row>
    <row r="23" spans="2:22">
      <c r="B23" s="899"/>
      <c r="C23" s="889"/>
      <c r="D23" s="891"/>
      <c r="E23" s="891"/>
      <c r="F23" s="870"/>
      <c r="G23" s="887"/>
      <c r="H23" s="896"/>
      <c r="I23" s="873"/>
      <c r="J23" s="874"/>
      <c r="K23" s="875"/>
      <c r="L23" s="897"/>
      <c r="M23" s="898"/>
      <c r="N23" s="898"/>
      <c r="O23" s="877"/>
      <c r="P23" s="878"/>
      <c r="Q23" s="877"/>
      <c r="R23" s="879"/>
      <c r="S23" s="879"/>
      <c r="T23" s="879"/>
      <c r="U23" s="880"/>
      <c r="V23" s="996"/>
    </row>
    <row r="24" spans="2:22">
      <c r="B24" s="900" t="s">
        <v>32</v>
      </c>
      <c r="C24" s="889"/>
      <c r="D24" s="891"/>
      <c r="E24" s="891" t="str">
        <f>E69</f>
        <v>PEKERJAAN PASANGAN BATU BATA &amp; PLESTERAN</v>
      </c>
      <c r="F24" s="870"/>
      <c r="G24" s="871"/>
      <c r="H24" s="872"/>
      <c r="I24" s="873"/>
      <c r="J24" s="874">
        <f>$J$77</f>
        <v>29038410.960000001</v>
      </c>
      <c r="K24" s="374">
        <f>J24/'REKAP TOTAL'!F44</f>
        <v>2.3882057528898234E-3</v>
      </c>
      <c r="L24" s="897"/>
      <c r="M24" s="898"/>
      <c r="N24" s="898"/>
      <c r="O24" s="877"/>
      <c r="P24" s="878"/>
      <c r="Q24" s="877"/>
      <c r="R24" s="879"/>
      <c r="S24" s="879"/>
      <c r="T24" s="879"/>
      <c r="U24" s="880"/>
      <c r="V24" s="996"/>
    </row>
    <row r="25" spans="2:22">
      <c r="B25" s="900" t="s">
        <v>34</v>
      </c>
      <c r="C25" s="889"/>
      <c r="D25" s="891"/>
      <c r="E25" s="891" t="str">
        <f>E79</f>
        <v>PEKERJAAN LANTAI</v>
      </c>
      <c r="F25" s="870"/>
      <c r="G25" s="887"/>
      <c r="H25" s="896"/>
      <c r="I25" s="873"/>
      <c r="J25" s="874">
        <f>$J$92</f>
        <v>87823150.799999997</v>
      </c>
      <c r="K25" s="374">
        <f>J25/'REKAP TOTAL'!F44</f>
        <v>7.222838545345475E-3</v>
      </c>
      <c r="L25" s="897"/>
      <c r="M25" s="898"/>
      <c r="N25" s="898"/>
      <c r="O25" s="877"/>
      <c r="P25" s="878"/>
      <c r="Q25" s="877"/>
      <c r="R25" s="879"/>
      <c r="S25" s="879"/>
      <c r="T25" s="879"/>
      <c r="U25" s="880"/>
      <c r="V25" s="996"/>
    </row>
    <row r="26" spans="2:22">
      <c r="B26" s="1001" t="s">
        <v>24</v>
      </c>
      <c r="C26" s="1002"/>
      <c r="D26" s="1003"/>
      <c r="E26" s="891" t="str">
        <f>E94</f>
        <v>PEKERJAAN FINISHING DINDING</v>
      </c>
      <c r="F26" s="870"/>
      <c r="G26" s="871"/>
      <c r="H26" s="872"/>
      <c r="I26" s="873"/>
      <c r="J26" s="874">
        <f>$J$99</f>
        <v>8107110</v>
      </c>
      <c r="K26" s="374">
        <f>J26/'REKAP TOTAL'!F44</f>
        <v>6.6675296964357784E-4</v>
      </c>
      <c r="L26" s="897"/>
      <c r="M26" s="898"/>
      <c r="N26" s="898"/>
      <c r="O26" s="877"/>
      <c r="P26" s="878"/>
      <c r="Q26" s="877"/>
      <c r="R26" s="879"/>
      <c r="S26" s="879"/>
      <c r="T26" s="879"/>
      <c r="U26" s="880"/>
      <c r="V26" s="996"/>
    </row>
    <row r="27" spans="2:22">
      <c r="B27" s="1001" t="s">
        <v>25</v>
      </c>
      <c r="C27" s="1003"/>
      <c r="D27" s="1003"/>
      <c r="E27" s="891" t="str">
        <f>E101</f>
        <v>PEKERJAAN PLAFOND</v>
      </c>
      <c r="F27" s="870"/>
      <c r="G27" s="871"/>
      <c r="H27" s="872"/>
      <c r="I27" s="873"/>
      <c r="J27" s="874">
        <f>$J$114</f>
        <v>18785030.899999999</v>
      </c>
      <c r="K27" s="374">
        <f>J27/'REKAP TOTAL'!F44</f>
        <v>1.5449371153742049E-3</v>
      </c>
      <c r="L27" s="897"/>
      <c r="M27" s="898"/>
      <c r="N27" s="898"/>
      <c r="O27" s="877"/>
      <c r="P27" s="878"/>
      <c r="Q27" s="877"/>
      <c r="R27" s="879"/>
      <c r="S27" s="879"/>
      <c r="T27" s="879"/>
      <c r="U27" s="880"/>
      <c r="V27" s="996"/>
    </row>
    <row r="28" spans="2:22">
      <c r="B28" s="1001" t="s">
        <v>26</v>
      </c>
      <c r="C28" s="1003"/>
      <c r="D28" s="1003"/>
      <c r="E28" s="891" t="str">
        <f>E116</f>
        <v>PEKERJAAN PENGECATAN</v>
      </c>
      <c r="F28" s="870"/>
      <c r="G28" s="871"/>
      <c r="H28" s="872"/>
      <c r="I28" s="873"/>
      <c r="J28" s="874">
        <f>$J$127</f>
        <v>19401193.350000001</v>
      </c>
      <c r="K28" s="374">
        <f>J28/'REKAP TOTAL'!F44</f>
        <v>1.5956121578147742E-3</v>
      </c>
      <c r="L28" s="897"/>
      <c r="M28" s="898"/>
      <c r="N28" s="898"/>
      <c r="O28" s="877"/>
      <c r="P28" s="878"/>
      <c r="Q28" s="877"/>
      <c r="R28" s="879"/>
      <c r="S28" s="879"/>
      <c r="T28" s="879"/>
      <c r="U28" s="880"/>
      <c r="V28" s="996"/>
    </row>
    <row r="29" spans="2:22">
      <c r="B29" s="1001" t="s">
        <v>28</v>
      </c>
      <c r="C29" s="1003"/>
      <c r="D29" s="1003"/>
      <c r="E29" s="891" t="str">
        <f>E129</f>
        <v>PEKERJAAN SANITAIR</v>
      </c>
      <c r="F29" s="870"/>
      <c r="G29" s="871"/>
      <c r="H29" s="872"/>
      <c r="I29" s="873"/>
      <c r="J29" s="874">
        <f>$J$139</f>
        <v>36188693.759999998</v>
      </c>
      <c r="K29" s="374">
        <f>J29/'REKAP TOTAL'!F44</f>
        <v>2.9762663923398117E-3</v>
      </c>
      <c r="L29" s="897"/>
      <c r="M29" s="898"/>
      <c r="N29" s="898"/>
      <c r="O29" s="877"/>
      <c r="P29" s="878"/>
      <c r="Q29" s="877"/>
      <c r="R29" s="879"/>
      <c r="S29" s="879"/>
      <c r="T29" s="879"/>
      <c r="U29" s="880"/>
      <c r="V29" s="996"/>
    </row>
    <row r="30" spans="2:22">
      <c r="B30" s="1001" t="s">
        <v>169</v>
      </c>
      <c r="C30" s="1003"/>
      <c r="D30" s="1003"/>
      <c r="E30" s="891" t="str">
        <f>E141</f>
        <v>PEKERJAAN LAIN-LAIN</v>
      </c>
      <c r="F30" s="870"/>
      <c r="G30" s="871"/>
      <c r="H30" s="872"/>
      <c r="I30" s="873"/>
      <c r="J30" s="874">
        <f>$J$260</f>
        <v>63946956.729335703</v>
      </c>
      <c r="K30" s="374">
        <f>J30/'REKAP TOTAL'!F44</f>
        <v>5.2591889463636183E-3</v>
      </c>
      <c r="L30" s="897"/>
      <c r="M30" s="898"/>
      <c r="N30" s="898"/>
      <c r="O30" s="877"/>
      <c r="P30" s="878"/>
      <c r="Q30" s="877"/>
      <c r="R30" s="879"/>
      <c r="S30" s="879"/>
      <c r="T30" s="879"/>
      <c r="U30" s="880"/>
      <c r="V30" s="996"/>
    </row>
    <row r="31" spans="2:22">
      <c r="B31" s="1001"/>
      <c r="C31" s="1003"/>
      <c r="D31" s="1003"/>
      <c r="E31" s="891"/>
      <c r="F31" s="870"/>
      <c r="G31" s="871"/>
      <c r="H31" s="872"/>
      <c r="I31" s="873"/>
      <c r="J31" s="874"/>
      <c r="K31" s="875"/>
      <c r="L31" s="897"/>
      <c r="M31" s="898"/>
      <c r="N31" s="898"/>
      <c r="O31" s="877"/>
      <c r="P31" s="878"/>
      <c r="Q31" s="877"/>
      <c r="R31" s="879"/>
      <c r="S31" s="879"/>
      <c r="T31" s="879"/>
      <c r="U31" s="880"/>
      <c r="V31" s="996"/>
    </row>
    <row r="32" spans="2:22" hidden="1">
      <c r="B32" s="1001"/>
      <c r="C32" s="1003"/>
      <c r="D32" s="1003"/>
      <c r="E32" s="891"/>
      <c r="F32" s="870"/>
      <c r="G32" s="871"/>
      <c r="H32" s="872"/>
      <c r="I32" s="873"/>
      <c r="J32" s="874"/>
      <c r="K32" s="875"/>
      <c r="L32" s="897"/>
      <c r="M32" s="898"/>
      <c r="N32" s="898"/>
      <c r="O32" s="877"/>
      <c r="P32" s="878"/>
      <c r="Q32" s="877"/>
      <c r="R32" s="879"/>
      <c r="S32" s="879"/>
      <c r="T32" s="879"/>
      <c r="U32" s="880"/>
      <c r="V32" s="996"/>
    </row>
    <row r="33" spans="2:22">
      <c r="B33" s="1074"/>
      <c r="C33" s="1137"/>
      <c r="D33" s="904"/>
      <c r="E33" s="904"/>
      <c r="F33" s="905"/>
      <c r="G33" s="1145"/>
      <c r="H33" s="1146"/>
      <c r="I33" s="908"/>
      <c r="J33" s="909"/>
      <c r="K33" s="910"/>
      <c r="L33" s="911"/>
      <c r="M33" s="1004"/>
      <c r="N33" s="1004"/>
      <c r="O33" s="1005"/>
      <c r="P33" s="1006"/>
      <c r="Q33" s="1005"/>
      <c r="R33" s="1007"/>
      <c r="S33" s="1007"/>
      <c r="T33" s="1007"/>
      <c r="U33" s="1138"/>
      <c r="V33" s="1009"/>
    </row>
    <row r="34" spans="2:22">
      <c r="B34" s="914"/>
      <c r="C34" s="915"/>
      <c r="D34" s="916"/>
      <c r="E34" s="917" t="s">
        <v>175</v>
      </c>
      <c r="F34" s="918"/>
      <c r="G34" s="919"/>
      <c r="H34" s="920"/>
      <c r="I34" s="921"/>
      <c r="J34" s="922">
        <f>SUM(J24:J33)</f>
        <v>263290546.499336</v>
      </c>
      <c r="K34" s="392">
        <f>J34/'REKAP TOTAL'!F44</f>
        <v>2.1653801879771308E-2</v>
      </c>
      <c r="L34" s="923"/>
      <c r="M34" s="1010"/>
      <c r="N34" s="1010"/>
      <c r="O34" s="1011"/>
      <c r="P34" s="1012"/>
      <c r="Q34" s="1011"/>
      <c r="R34" s="1013"/>
      <c r="S34" s="1013"/>
      <c r="T34" s="1013"/>
      <c r="U34" s="1140"/>
      <c r="V34" s="1015"/>
    </row>
    <row r="35" spans="2:22" hidden="1">
      <c r="B35" s="926"/>
      <c r="C35" s="854"/>
      <c r="D35" s="854"/>
      <c r="E35" s="927"/>
      <c r="F35" s="856"/>
      <c r="G35" s="857"/>
      <c r="H35" s="858"/>
      <c r="I35" s="859"/>
      <c r="J35" s="928"/>
      <c r="K35" s="929"/>
      <c r="L35" s="930"/>
      <c r="M35" s="1016"/>
      <c r="N35" s="1016"/>
      <c r="O35" s="863"/>
      <c r="P35" s="864"/>
      <c r="Q35" s="863"/>
      <c r="R35" s="865"/>
      <c r="S35" s="865"/>
      <c r="T35" s="865"/>
      <c r="U35" s="866"/>
      <c r="V35" s="994"/>
    </row>
    <row r="36" spans="2:22">
      <c r="B36" s="890"/>
      <c r="C36" s="891"/>
      <c r="D36" s="891"/>
      <c r="E36" s="892"/>
      <c r="F36" s="870"/>
      <c r="G36" s="871"/>
      <c r="H36" s="872"/>
      <c r="I36" s="873"/>
      <c r="J36" s="874"/>
      <c r="K36" s="875"/>
      <c r="L36" s="897"/>
      <c r="M36" s="898"/>
      <c r="N36" s="898"/>
      <c r="O36" s="877"/>
      <c r="P36" s="878"/>
      <c r="Q36" s="877"/>
      <c r="R36" s="879"/>
      <c r="S36" s="879"/>
      <c r="T36" s="879"/>
      <c r="U36" s="880"/>
      <c r="V36" s="996"/>
    </row>
    <row r="37" spans="2:22">
      <c r="B37" s="899"/>
      <c r="C37" s="889"/>
      <c r="D37" s="891"/>
      <c r="E37" s="891"/>
      <c r="F37" s="870"/>
      <c r="G37" s="871"/>
      <c r="H37" s="872"/>
      <c r="I37" s="873"/>
      <c r="J37" s="874"/>
      <c r="K37" s="875"/>
      <c r="L37" s="897"/>
      <c r="M37" s="898"/>
      <c r="N37" s="898"/>
      <c r="O37" s="877"/>
      <c r="P37" s="878"/>
      <c r="Q37" s="877"/>
      <c r="R37" s="879"/>
      <c r="S37" s="879"/>
      <c r="T37" s="879"/>
      <c r="U37" s="880"/>
      <c r="V37" s="996"/>
    </row>
    <row r="38" spans="2:22">
      <c r="B38" s="867" t="s">
        <v>22</v>
      </c>
      <c r="C38" s="868"/>
      <c r="D38" s="869"/>
      <c r="E38" s="936" t="s">
        <v>33</v>
      </c>
      <c r="F38" s="870"/>
      <c r="G38" s="871"/>
      <c r="H38" s="872"/>
      <c r="I38" s="873"/>
      <c r="J38" s="874"/>
      <c r="K38" s="875"/>
      <c r="L38" s="897"/>
      <c r="M38" s="898"/>
      <c r="N38" s="898"/>
      <c r="O38" s="877"/>
      <c r="P38" s="878"/>
      <c r="Q38" s="877"/>
      <c r="R38" s="879"/>
      <c r="S38" s="879"/>
      <c r="T38" s="879"/>
      <c r="U38" s="880"/>
      <c r="V38" s="996"/>
    </row>
    <row r="39" spans="2:22">
      <c r="B39" s="939"/>
      <c r="C39" s="869"/>
      <c r="D39" s="869"/>
      <c r="E39" s="936"/>
      <c r="F39" s="870"/>
      <c r="G39" s="871"/>
      <c r="H39" s="872"/>
      <c r="I39" s="873"/>
      <c r="J39" s="874"/>
      <c r="K39" s="875"/>
      <c r="L39" s="897"/>
      <c r="M39" s="898"/>
      <c r="N39" s="898"/>
      <c r="O39" s="877"/>
      <c r="P39" s="878"/>
      <c r="Q39" s="877"/>
      <c r="R39" s="879"/>
      <c r="S39" s="879"/>
      <c r="T39" s="879"/>
      <c r="U39" s="880"/>
      <c r="V39" s="996"/>
    </row>
    <row r="40" spans="2:22" s="1125" customFormat="1" ht="13.8">
      <c r="B40" s="1147" t="s">
        <v>32</v>
      </c>
      <c r="C40" s="1019">
        <v>1</v>
      </c>
      <c r="D40" s="1019"/>
      <c r="E40" s="1019" t="s">
        <v>404</v>
      </c>
      <c r="F40" s="944"/>
      <c r="G40" s="1087"/>
      <c r="H40" s="1148"/>
      <c r="I40" s="1149"/>
      <c r="J40" s="948"/>
      <c r="K40" s="966"/>
      <c r="L40" s="1150"/>
      <c r="M40" s="1151"/>
      <c r="N40" s="1151"/>
      <c r="O40" s="1151"/>
      <c r="P40" s="1151"/>
      <c r="Q40" s="1151"/>
      <c r="R40" s="1151"/>
      <c r="S40" s="1151"/>
      <c r="T40" s="1151"/>
      <c r="U40" s="1083"/>
      <c r="V40" s="1152"/>
    </row>
    <row r="41" spans="2:22" s="1125" customFormat="1" ht="12.75" customHeight="1">
      <c r="B41" s="1147"/>
      <c r="C41" s="1019"/>
      <c r="D41" s="1019"/>
      <c r="E41" s="1019"/>
      <c r="F41" s="944"/>
      <c r="G41" s="1087"/>
      <c r="H41" s="1148"/>
      <c r="I41" s="1149"/>
      <c r="J41" s="948"/>
      <c r="K41" s="966"/>
      <c r="L41" s="1150"/>
      <c r="M41" s="1151"/>
      <c r="N41" s="1151"/>
      <c r="O41" s="1151"/>
      <c r="P41" s="1151"/>
      <c r="Q41" s="1151"/>
      <c r="R41" s="1151"/>
      <c r="S41" s="1151"/>
      <c r="T41" s="1151"/>
      <c r="U41" s="1083"/>
      <c r="V41" s="1152"/>
    </row>
    <row r="42" spans="2:22" s="1125" customFormat="1" ht="16.2">
      <c r="B42" s="940"/>
      <c r="C42" s="941"/>
      <c r="D42" s="942">
        <v>1</v>
      </c>
      <c r="E42" s="1153" t="s">
        <v>405</v>
      </c>
      <c r="F42" s="944" t="s">
        <v>406</v>
      </c>
      <c r="G42" s="1154">
        <v>25.67</v>
      </c>
      <c r="H42" s="946">
        <v>25.68</v>
      </c>
      <c r="I42" s="1155">
        <v>117900</v>
      </c>
      <c r="J42" s="948">
        <f t="shared" ref="J42:J47" si="0">$H42*I42</f>
        <v>3027672</v>
      </c>
      <c r="K42" s="374">
        <f>J42/'REKAP TOTAL'!F44</f>
        <v>2.4900479913393436E-4</v>
      </c>
      <c r="L42" s="1150"/>
      <c r="M42" s="1151"/>
      <c r="N42" s="1151"/>
      <c r="O42" s="1151"/>
      <c r="P42" s="1151"/>
      <c r="Q42" s="1151"/>
      <c r="R42" s="1151"/>
      <c r="S42" s="1151"/>
      <c r="T42" s="1151"/>
      <c r="U42" s="1083"/>
      <c r="V42" s="1152"/>
    </row>
    <row r="43" spans="2:22" s="1125" customFormat="1" ht="13.8">
      <c r="B43" s="940"/>
      <c r="C43" s="941"/>
      <c r="D43" s="942">
        <v>2</v>
      </c>
      <c r="E43" s="1153" t="s">
        <v>407</v>
      </c>
      <c r="F43" s="944" t="s">
        <v>143</v>
      </c>
      <c r="G43" s="1154">
        <v>4.1711999999999998</v>
      </c>
      <c r="H43" s="946">
        <v>4.1711999999999998</v>
      </c>
      <c r="I43" s="1155">
        <v>721300</v>
      </c>
      <c r="J43" s="948">
        <f t="shared" si="0"/>
        <v>3008686.56</v>
      </c>
      <c r="K43" s="374">
        <f>J43/'REKAP TOTAL'!F44</f>
        <v>2.4744337977487916E-4</v>
      </c>
      <c r="L43" s="1150"/>
      <c r="M43" s="1151"/>
      <c r="N43" s="1151"/>
      <c r="O43" s="1151"/>
      <c r="P43" s="1151"/>
      <c r="Q43" s="1151"/>
      <c r="R43" s="1151"/>
      <c r="S43" s="1151"/>
      <c r="T43" s="1151"/>
      <c r="U43" s="1083"/>
      <c r="V43" s="1152"/>
    </row>
    <row r="44" spans="2:22" s="1125" customFormat="1" ht="13.8">
      <c r="B44" s="940"/>
      <c r="C44" s="941"/>
      <c r="D44" s="942">
        <v>3</v>
      </c>
      <c r="E44" s="1153" t="s">
        <v>408</v>
      </c>
      <c r="F44" s="944" t="s">
        <v>103</v>
      </c>
      <c r="G44" s="1154">
        <v>34.76</v>
      </c>
      <c r="H44" s="946">
        <v>34.76</v>
      </c>
      <c r="I44" s="1155">
        <v>10900</v>
      </c>
      <c r="J44" s="948">
        <f t="shared" si="0"/>
        <v>378884</v>
      </c>
      <c r="K44" s="374">
        <f>J44/'REKAP TOTAL'!F44</f>
        <v>3.1160553162648262E-5</v>
      </c>
      <c r="L44" s="1150"/>
      <c r="M44" s="1151"/>
      <c r="N44" s="1151"/>
      <c r="O44" s="1151"/>
      <c r="P44" s="1151"/>
      <c r="Q44" s="1151"/>
      <c r="R44" s="1151"/>
      <c r="S44" s="1151"/>
      <c r="T44" s="1151"/>
      <c r="U44" s="1083"/>
      <c r="V44" s="1152"/>
    </row>
    <row r="45" spans="2:22" s="1125" customFormat="1" ht="13.8">
      <c r="B45" s="940"/>
      <c r="C45" s="941"/>
      <c r="D45" s="942">
        <v>4</v>
      </c>
      <c r="E45" s="1153" t="s">
        <v>409</v>
      </c>
      <c r="F45" s="944" t="s">
        <v>143</v>
      </c>
      <c r="G45" s="1154">
        <v>5.7378601500000004</v>
      </c>
      <c r="H45" s="946">
        <v>5.7378601500000004</v>
      </c>
      <c r="I45" s="1155">
        <v>1477100</v>
      </c>
      <c r="J45" s="948">
        <f t="shared" si="0"/>
        <v>8475393.2275649998</v>
      </c>
      <c r="K45" s="374">
        <f>J45/'REKAP TOTAL'!F44</f>
        <v>6.9704168358095933E-4</v>
      </c>
      <c r="L45" s="1150"/>
      <c r="M45" s="1151"/>
      <c r="N45" s="1151"/>
      <c r="O45" s="1151"/>
      <c r="P45" s="1151"/>
      <c r="Q45" s="1151"/>
      <c r="R45" s="1151"/>
      <c r="S45" s="1151"/>
      <c r="T45" s="1151"/>
      <c r="U45" s="1083"/>
      <c r="V45" s="1152"/>
    </row>
    <row r="46" spans="2:22" s="1125" customFormat="1" ht="13.8">
      <c r="B46" s="940"/>
      <c r="C46" s="941"/>
      <c r="D46" s="942">
        <v>5</v>
      </c>
      <c r="E46" s="1153" t="s">
        <v>410</v>
      </c>
      <c r="F46" s="944" t="s">
        <v>103</v>
      </c>
      <c r="G46" s="1154">
        <v>0.95631002499999995</v>
      </c>
      <c r="H46" s="946">
        <v>0.95631002499999995</v>
      </c>
      <c r="I46" s="1155">
        <v>235600</v>
      </c>
      <c r="J46" s="948">
        <f t="shared" si="0"/>
        <v>225306.64189</v>
      </c>
      <c r="K46" s="374">
        <f>J46/'REKAP TOTAL'!F44</f>
        <v>1.8529891978840749E-5</v>
      </c>
      <c r="L46" s="1150"/>
      <c r="M46" s="1151"/>
      <c r="N46" s="1151"/>
      <c r="O46" s="1151"/>
      <c r="P46" s="1151"/>
      <c r="Q46" s="1151"/>
      <c r="R46" s="1151"/>
      <c r="S46" s="1151"/>
      <c r="T46" s="1151"/>
      <c r="U46" s="1083"/>
      <c r="V46" s="1152"/>
    </row>
    <row r="47" spans="2:22" s="1125" customFormat="1" ht="13.8">
      <c r="B47" s="940"/>
      <c r="C47" s="941"/>
      <c r="D47" s="942">
        <v>6</v>
      </c>
      <c r="E47" s="1153" t="s">
        <v>411</v>
      </c>
      <c r="F47" s="944" t="s">
        <v>103</v>
      </c>
      <c r="G47" s="1154">
        <v>38.252400999999999</v>
      </c>
      <c r="H47" s="946">
        <v>38.252400999999999</v>
      </c>
      <c r="I47" s="1155">
        <v>210400</v>
      </c>
      <c r="J47" s="948">
        <f t="shared" si="0"/>
        <v>8048305.1704000002</v>
      </c>
      <c r="K47" s="374">
        <f>J47/'REKAP TOTAL'!F44</f>
        <v>6.6191668460918393E-4</v>
      </c>
      <c r="L47" s="1150"/>
      <c r="M47" s="1151"/>
      <c r="N47" s="1151"/>
      <c r="O47" s="1151"/>
      <c r="P47" s="1151"/>
      <c r="Q47" s="1151"/>
      <c r="R47" s="1151"/>
      <c r="S47" s="1151"/>
      <c r="T47" s="1151"/>
      <c r="U47" s="1083"/>
      <c r="V47" s="1152"/>
    </row>
    <row r="48" spans="2:22" s="1125" customFormat="1" ht="13.8">
      <c r="B48" s="957"/>
      <c r="C48" s="941"/>
      <c r="D48" s="942"/>
      <c r="E48" s="941"/>
      <c r="F48" s="944"/>
      <c r="G48" s="1154"/>
      <c r="H48" s="946"/>
      <c r="I48" s="1155"/>
      <c r="J48" s="948"/>
      <c r="K48" s="966"/>
      <c r="L48" s="1150"/>
      <c r="M48" s="1151"/>
      <c r="N48" s="1151"/>
      <c r="O48" s="1151"/>
      <c r="P48" s="1151"/>
      <c r="Q48" s="1151"/>
      <c r="R48" s="1151"/>
      <c r="S48" s="1151"/>
      <c r="T48" s="1151"/>
      <c r="U48" s="1083"/>
      <c r="V48" s="1152"/>
    </row>
    <row r="49" spans="2:22" s="1126" customFormat="1" ht="13.8">
      <c r="B49" s="1156"/>
      <c r="C49" s="1157">
        <v>2</v>
      </c>
      <c r="D49" s="1157"/>
      <c r="E49" s="1157" t="s">
        <v>412</v>
      </c>
      <c r="F49" s="961"/>
      <c r="G49" s="1158"/>
      <c r="H49" s="1159"/>
      <c r="I49" s="1160"/>
      <c r="J49" s="948"/>
      <c r="K49" s="966"/>
      <c r="L49" s="1150"/>
      <c r="M49" s="1151"/>
      <c r="N49" s="1151"/>
      <c r="O49" s="1151"/>
      <c r="P49" s="1151"/>
      <c r="Q49" s="1151"/>
      <c r="R49" s="1151"/>
      <c r="S49" s="1151"/>
      <c r="T49" s="1151"/>
      <c r="U49" s="1083"/>
      <c r="V49" s="1152"/>
    </row>
    <row r="50" spans="2:22" s="1126" customFormat="1" ht="9.75" customHeight="1">
      <c r="B50" s="1156"/>
      <c r="C50" s="1157"/>
      <c r="D50" s="1157"/>
      <c r="E50" s="1157"/>
      <c r="F50" s="961"/>
      <c r="G50" s="1158"/>
      <c r="H50" s="1159"/>
      <c r="I50" s="1160"/>
      <c r="J50" s="948"/>
      <c r="K50" s="966"/>
      <c r="L50" s="1150"/>
      <c r="M50" s="1151"/>
      <c r="N50" s="1151"/>
      <c r="O50" s="1151"/>
      <c r="P50" s="1151"/>
      <c r="Q50" s="1151"/>
      <c r="R50" s="1151"/>
      <c r="S50" s="1151"/>
      <c r="T50" s="1151"/>
      <c r="U50" s="1083"/>
      <c r="V50" s="1152"/>
    </row>
    <row r="51" spans="2:22" s="1126" customFormat="1" ht="16.2">
      <c r="B51" s="1161"/>
      <c r="C51" s="959"/>
      <c r="D51" s="1162">
        <v>1</v>
      </c>
      <c r="E51" s="1163" t="s">
        <v>405</v>
      </c>
      <c r="F51" s="961" t="s">
        <v>406</v>
      </c>
      <c r="G51" s="1164">
        <v>36.81</v>
      </c>
      <c r="H51" s="963">
        <v>36.409999999999997</v>
      </c>
      <c r="I51" s="1165">
        <v>117900</v>
      </c>
      <c r="J51" s="948">
        <f t="shared" ref="J51:J56" si="1">$H51*I51</f>
        <v>4292739</v>
      </c>
      <c r="K51" s="374">
        <f>J51/'REKAP TOTAL'!F44</f>
        <v>3.5304769223000584E-4</v>
      </c>
      <c r="L51" s="1150"/>
      <c r="M51" s="1151"/>
      <c r="N51" s="1151"/>
      <c r="O51" s="1151"/>
      <c r="P51" s="1151"/>
      <c r="Q51" s="1151"/>
      <c r="R51" s="1151"/>
      <c r="S51" s="1151"/>
      <c r="T51" s="1151"/>
      <c r="U51" s="1083"/>
      <c r="V51" s="1152"/>
    </row>
    <row r="52" spans="2:22" s="1126" customFormat="1" ht="13.8">
      <c r="B52" s="1161"/>
      <c r="C52" s="959"/>
      <c r="D52" s="1162">
        <v>2</v>
      </c>
      <c r="E52" s="1163" t="s">
        <v>407</v>
      </c>
      <c r="F52" s="961" t="s">
        <v>143</v>
      </c>
      <c r="G52" s="1164">
        <v>9.0792000000000002</v>
      </c>
      <c r="H52" s="963">
        <v>8.86</v>
      </c>
      <c r="I52" s="1165">
        <v>721300</v>
      </c>
      <c r="J52" s="948">
        <f t="shared" si="1"/>
        <v>6390718</v>
      </c>
      <c r="K52" s="374">
        <f>J52/'REKAP TOTAL'!F44</f>
        <v>5.2559175891959845E-4</v>
      </c>
      <c r="L52" s="1150"/>
      <c r="M52" s="1151"/>
      <c r="N52" s="1151"/>
      <c r="O52" s="1151"/>
      <c r="P52" s="1151"/>
      <c r="Q52" s="1151"/>
      <c r="R52" s="1151"/>
      <c r="S52" s="1151"/>
      <c r="T52" s="1151"/>
      <c r="U52" s="1083"/>
      <c r="V52" s="1152"/>
    </row>
    <row r="53" spans="2:22" s="1126" customFormat="1" ht="13.8">
      <c r="B53" s="1161"/>
      <c r="C53" s="959"/>
      <c r="D53" s="1162">
        <v>3</v>
      </c>
      <c r="E53" s="1163" t="s">
        <v>408</v>
      </c>
      <c r="F53" s="961" t="s">
        <v>103</v>
      </c>
      <c r="G53" s="1164">
        <v>75.66</v>
      </c>
      <c r="H53" s="963">
        <v>73.819999999999993</v>
      </c>
      <c r="I53" s="1165">
        <v>10900</v>
      </c>
      <c r="J53" s="948">
        <f t="shared" si="1"/>
        <v>804638</v>
      </c>
      <c r="K53" s="374">
        <f>J53/'REKAP TOTAL'!F44</f>
        <v>6.6175835283851969E-5</v>
      </c>
      <c r="L53" s="1150"/>
      <c r="M53" s="1151"/>
      <c r="N53" s="1151"/>
      <c r="O53" s="1151"/>
      <c r="P53" s="1151"/>
      <c r="Q53" s="1151"/>
      <c r="R53" s="1151"/>
      <c r="S53" s="1151"/>
      <c r="T53" s="1151"/>
      <c r="U53" s="1083"/>
      <c r="V53" s="1152"/>
    </row>
    <row r="54" spans="2:22" s="1126" customFormat="1" ht="13.8">
      <c r="B54" s="1161"/>
      <c r="C54" s="959"/>
      <c r="D54" s="1162">
        <v>4</v>
      </c>
      <c r="E54" s="1163" t="s">
        <v>409</v>
      </c>
      <c r="F54" s="961" t="s">
        <v>143</v>
      </c>
      <c r="G54" s="1164">
        <v>12.483669000000001</v>
      </c>
      <c r="H54" s="963">
        <v>11.07</v>
      </c>
      <c r="I54" s="1165">
        <v>1477100</v>
      </c>
      <c r="J54" s="948">
        <f t="shared" si="1"/>
        <v>16351497</v>
      </c>
      <c r="K54" s="374">
        <f>J54/'REKAP TOTAL'!F44</f>
        <v>1.344796010275925E-3</v>
      </c>
      <c r="L54" s="1150"/>
      <c r="M54" s="1151"/>
      <c r="N54" s="1151"/>
      <c r="O54" s="1151"/>
      <c r="P54" s="1151"/>
      <c r="Q54" s="1151"/>
      <c r="R54" s="1151"/>
      <c r="S54" s="1151"/>
      <c r="T54" s="1151"/>
      <c r="U54" s="1083"/>
      <c r="V54" s="1152"/>
    </row>
    <row r="55" spans="2:22" s="1126" customFormat="1" ht="13.8">
      <c r="B55" s="1161"/>
      <c r="C55" s="959"/>
      <c r="D55" s="1162">
        <v>5</v>
      </c>
      <c r="E55" s="1163" t="s">
        <v>410</v>
      </c>
      <c r="F55" s="961" t="s">
        <v>103</v>
      </c>
      <c r="G55" s="1164">
        <v>2.0806114999999998</v>
      </c>
      <c r="H55" s="963">
        <v>4.37</v>
      </c>
      <c r="I55" s="1165">
        <v>235600</v>
      </c>
      <c r="J55" s="948">
        <f t="shared" si="1"/>
        <v>1029572</v>
      </c>
      <c r="K55" s="374">
        <f>J55/'REKAP TOTAL'!F44</f>
        <v>8.4675080079322674E-5</v>
      </c>
      <c r="L55" s="1150"/>
      <c r="M55" s="1151"/>
      <c r="N55" s="1151"/>
      <c r="O55" s="1151"/>
      <c r="P55" s="1151"/>
      <c r="Q55" s="1151"/>
      <c r="R55" s="1151"/>
      <c r="S55" s="1151"/>
      <c r="T55" s="1151"/>
      <c r="U55" s="1083"/>
      <c r="V55" s="1152"/>
    </row>
    <row r="56" spans="2:22" s="1126" customFormat="1" ht="13.8">
      <c r="B56" s="1161"/>
      <c r="C56" s="959"/>
      <c r="D56" s="1162">
        <v>6</v>
      </c>
      <c r="E56" s="1163" t="s">
        <v>411</v>
      </c>
      <c r="F56" s="961" t="s">
        <v>103</v>
      </c>
      <c r="G56" s="1164">
        <v>875.65447833600001</v>
      </c>
      <c r="H56" s="963">
        <v>73.819999999999993</v>
      </c>
      <c r="I56" s="1165">
        <v>210400</v>
      </c>
      <c r="J56" s="948">
        <f t="shared" si="1"/>
        <v>15531728</v>
      </c>
      <c r="K56" s="374">
        <f>J56/'REKAP TOTAL'!F44</f>
        <v>1.2773757563048123E-3</v>
      </c>
      <c r="L56" s="1150"/>
      <c r="M56" s="1151"/>
      <c r="N56" s="1151"/>
      <c r="O56" s="1151"/>
      <c r="P56" s="1151"/>
      <c r="Q56" s="1151"/>
      <c r="R56" s="1151"/>
      <c r="S56" s="1151"/>
      <c r="T56" s="1151"/>
      <c r="U56" s="1083"/>
      <c r="V56" s="1152"/>
    </row>
    <row r="57" spans="2:22" s="1125" customFormat="1" ht="13.8">
      <c r="B57" s="1166"/>
      <c r="C57" s="1031"/>
      <c r="D57" s="1167"/>
      <c r="E57" s="1031"/>
      <c r="F57" s="1032"/>
      <c r="G57" s="1168"/>
      <c r="H57" s="1169"/>
      <c r="I57" s="1170"/>
      <c r="J57" s="1171"/>
      <c r="K57" s="1172"/>
      <c r="L57" s="1173"/>
      <c r="M57" s="1174"/>
      <c r="N57" s="1174"/>
      <c r="O57" s="1174"/>
      <c r="P57" s="1174"/>
      <c r="Q57" s="1174"/>
      <c r="R57" s="1174"/>
      <c r="S57" s="1174"/>
      <c r="T57" s="1174"/>
      <c r="U57" s="1175"/>
      <c r="V57" s="1176"/>
    </row>
    <row r="58" spans="2:22" s="1125" customFormat="1" ht="13.8">
      <c r="B58" s="978"/>
      <c r="C58" s="979"/>
      <c r="D58" s="980"/>
      <c r="E58" s="980" t="s">
        <v>413</v>
      </c>
      <c r="F58" s="981"/>
      <c r="G58" s="1177"/>
      <c r="H58" s="1178"/>
      <c r="I58" s="1179"/>
      <c r="J58" s="1180">
        <f>SUM(J40:J57)</f>
        <v>67565139.599855006</v>
      </c>
      <c r="K58" s="392">
        <f>J58/'REKAP TOTAL'!F44</f>
        <v>5.5567591253339625E-3</v>
      </c>
      <c r="L58" s="1181"/>
      <c r="M58" s="1182"/>
      <c r="N58" s="1182"/>
      <c r="O58" s="1182"/>
      <c r="P58" s="1182"/>
      <c r="Q58" s="1182"/>
      <c r="R58" s="1182"/>
      <c r="S58" s="1182"/>
      <c r="T58" s="1182"/>
      <c r="U58" s="1183"/>
      <c r="V58" s="1184"/>
    </row>
    <row r="59" spans="2:22" s="1125" customFormat="1" ht="13.8">
      <c r="B59" s="1185"/>
      <c r="C59" s="1046"/>
      <c r="D59" s="1186"/>
      <c r="E59" s="1186"/>
      <c r="F59" s="1047"/>
      <c r="G59" s="1187"/>
      <c r="H59" s="1188"/>
      <c r="I59" s="1189"/>
      <c r="J59" s="1190"/>
      <c r="K59" s="1191"/>
      <c r="L59" s="1192"/>
      <c r="M59" s="1193"/>
      <c r="N59" s="1193"/>
      <c r="O59" s="1193"/>
      <c r="P59" s="1193"/>
      <c r="Q59" s="1193"/>
      <c r="R59" s="1193"/>
      <c r="S59" s="1193"/>
      <c r="T59" s="1193"/>
      <c r="U59" s="1194"/>
      <c r="V59" s="1195"/>
    </row>
    <row r="60" spans="2:22" s="1125" customFormat="1" ht="13.8">
      <c r="B60" s="1147" t="s">
        <v>34</v>
      </c>
      <c r="C60" s="1019"/>
      <c r="D60" s="1088"/>
      <c r="E60" s="1019" t="s">
        <v>299</v>
      </c>
      <c r="F60" s="944"/>
      <c r="G60" s="1087"/>
      <c r="H60" s="1148"/>
      <c r="I60" s="1149"/>
      <c r="J60" s="948"/>
      <c r="K60" s="966"/>
      <c r="L60" s="1150"/>
      <c r="M60" s="1151"/>
      <c r="N60" s="1151"/>
      <c r="O60" s="1151"/>
      <c r="P60" s="1151"/>
      <c r="Q60" s="1151"/>
      <c r="R60" s="1151"/>
      <c r="S60" s="1151"/>
      <c r="T60" s="1151"/>
      <c r="U60" s="1083"/>
      <c r="V60" s="1152"/>
    </row>
    <row r="61" spans="2:22" s="1125" customFormat="1" ht="7.5" customHeight="1">
      <c r="B61" s="1147"/>
      <c r="C61" s="1019"/>
      <c r="D61" s="1088"/>
      <c r="E61" s="1019"/>
      <c r="F61" s="944"/>
      <c r="G61" s="1087"/>
      <c r="H61" s="1148"/>
      <c r="I61" s="1149"/>
      <c r="J61" s="948"/>
      <c r="K61" s="966"/>
      <c r="L61" s="1150"/>
      <c r="M61" s="1151"/>
      <c r="N61" s="1151"/>
      <c r="O61" s="1151"/>
      <c r="P61" s="1151"/>
      <c r="Q61" s="1151"/>
      <c r="R61" s="1151"/>
      <c r="S61" s="1151"/>
      <c r="T61" s="1151"/>
      <c r="U61" s="1083"/>
      <c r="V61" s="1152"/>
    </row>
    <row r="62" spans="2:22" s="1125" customFormat="1" ht="13.8">
      <c r="B62" s="940"/>
      <c r="C62" s="941"/>
      <c r="D62" s="942">
        <v>1</v>
      </c>
      <c r="E62" s="1153" t="s">
        <v>300</v>
      </c>
      <c r="F62" s="944"/>
      <c r="G62" s="1087"/>
      <c r="H62" s="1148"/>
      <c r="I62" s="1149"/>
      <c r="J62" s="948"/>
      <c r="K62" s="966"/>
      <c r="L62" s="1150"/>
      <c r="M62" s="1151"/>
      <c r="N62" s="1151"/>
      <c r="O62" s="1151"/>
      <c r="P62" s="1151"/>
      <c r="Q62" s="1151"/>
      <c r="R62" s="1151"/>
      <c r="S62" s="1151"/>
      <c r="T62" s="1151"/>
      <c r="U62" s="1083"/>
      <c r="V62" s="1152"/>
    </row>
    <row r="63" spans="2:22" s="1125" customFormat="1" ht="16.2">
      <c r="B63" s="957"/>
      <c r="C63" s="941"/>
      <c r="D63" s="941"/>
      <c r="E63" s="2037" t="s">
        <v>414</v>
      </c>
      <c r="F63" s="944" t="s">
        <v>220</v>
      </c>
      <c r="G63" s="1154">
        <v>38.606000000000002</v>
      </c>
      <c r="H63" s="946">
        <v>38.606000000000002</v>
      </c>
      <c r="I63" s="1155">
        <v>640800</v>
      </c>
      <c r="J63" s="948">
        <f t="shared" ref="J63" si="2">$H63*I63</f>
        <v>24738724.800000001</v>
      </c>
      <c r="K63" s="374">
        <f>J63/'REKAP TOTAL'!F44</f>
        <v>2.0345867054468517E-3</v>
      </c>
      <c r="L63" s="1150"/>
      <c r="M63" s="1151"/>
      <c r="N63" s="1151"/>
      <c r="O63" s="1151"/>
      <c r="P63" s="1151"/>
      <c r="Q63" s="1151"/>
      <c r="R63" s="1151"/>
      <c r="S63" s="1151"/>
      <c r="T63" s="1151"/>
      <c r="U63" s="1083"/>
      <c r="V63" s="1152"/>
    </row>
    <row r="64" spans="2:22" s="1125" customFormat="1" ht="13.8">
      <c r="B64" s="1166"/>
      <c r="C64" s="1031"/>
      <c r="D64" s="1031"/>
      <c r="E64" s="1031"/>
      <c r="F64" s="1032"/>
      <c r="G64" s="1168"/>
      <c r="H64" s="1169"/>
      <c r="I64" s="1170"/>
      <c r="J64" s="1171"/>
      <c r="K64" s="374"/>
      <c r="L64" s="1173"/>
      <c r="M64" s="1174"/>
      <c r="N64" s="1174"/>
      <c r="O64" s="1174"/>
      <c r="P64" s="1174"/>
      <c r="Q64" s="1174"/>
      <c r="R64" s="1174"/>
      <c r="S64" s="1174"/>
      <c r="T64" s="1174"/>
      <c r="U64" s="1175"/>
      <c r="V64" s="1176"/>
    </row>
    <row r="65" spans="2:22" s="1125" customFormat="1" ht="13.8">
      <c r="B65" s="978"/>
      <c r="C65" s="979"/>
      <c r="D65" s="979"/>
      <c r="E65" s="980" t="s">
        <v>302</v>
      </c>
      <c r="F65" s="981"/>
      <c r="G65" s="1177"/>
      <c r="H65" s="1178"/>
      <c r="I65" s="1179"/>
      <c r="J65" s="1180">
        <f>SUM(J63:J64)</f>
        <v>24738724.800000001</v>
      </c>
      <c r="K65" s="392">
        <f>J65/'REKAP TOTAL'!F44</f>
        <v>2.0345867054468517E-3</v>
      </c>
      <c r="L65" s="1181"/>
      <c r="M65" s="1182"/>
      <c r="N65" s="1182"/>
      <c r="O65" s="1182"/>
      <c r="P65" s="1182"/>
      <c r="Q65" s="1182"/>
      <c r="R65" s="1182"/>
      <c r="S65" s="1182"/>
      <c r="T65" s="1182"/>
      <c r="U65" s="1183"/>
      <c r="V65" s="1184"/>
    </row>
    <row r="66" spans="2:22" s="1125" customFormat="1" ht="13.8">
      <c r="B66" s="1185"/>
      <c r="C66" s="1046"/>
      <c r="D66" s="1046"/>
      <c r="E66" s="1196"/>
      <c r="F66" s="1047"/>
      <c r="G66" s="1187"/>
      <c r="H66" s="1188"/>
      <c r="I66" s="1189"/>
      <c r="J66" s="1190"/>
      <c r="K66" s="1191"/>
      <c r="L66" s="1192"/>
      <c r="M66" s="1193"/>
      <c r="N66" s="1193"/>
      <c r="O66" s="1193"/>
      <c r="P66" s="1193"/>
      <c r="Q66" s="1193"/>
      <c r="R66" s="1193"/>
      <c r="S66" s="1193"/>
      <c r="T66" s="1193"/>
      <c r="U66" s="1194"/>
      <c r="V66" s="1195"/>
    </row>
    <row r="67" spans="2:22">
      <c r="B67" s="867" t="s">
        <v>23</v>
      </c>
      <c r="C67" s="868"/>
      <c r="D67" s="869"/>
      <c r="E67" s="936" t="s">
        <v>35</v>
      </c>
      <c r="F67" s="870"/>
      <c r="G67" s="871"/>
      <c r="H67" s="872"/>
      <c r="I67" s="873"/>
      <c r="J67" s="874"/>
      <c r="K67" s="875"/>
      <c r="L67" s="897"/>
      <c r="M67" s="898"/>
      <c r="N67" s="898"/>
      <c r="O67" s="877"/>
      <c r="P67" s="878"/>
      <c r="Q67" s="877"/>
      <c r="R67" s="879"/>
      <c r="S67" s="879"/>
      <c r="T67" s="879"/>
      <c r="U67" s="880"/>
      <c r="V67" s="996"/>
    </row>
    <row r="68" spans="2:22">
      <c r="B68" s="867"/>
      <c r="C68" s="868"/>
      <c r="D68" s="869"/>
      <c r="E68" s="936"/>
      <c r="F68" s="870"/>
      <c r="G68" s="937"/>
      <c r="H68" s="938"/>
      <c r="I68" s="873"/>
      <c r="J68" s="874"/>
      <c r="K68" s="875"/>
      <c r="L68" s="897"/>
      <c r="M68" s="898"/>
      <c r="N68" s="898"/>
      <c r="O68" s="877"/>
      <c r="P68" s="878"/>
      <c r="Q68" s="877"/>
      <c r="R68" s="879"/>
      <c r="S68" s="879"/>
      <c r="T68" s="879"/>
      <c r="U68" s="880"/>
      <c r="V68" s="996"/>
    </row>
    <row r="69" spans="2:22" s="807" customFormat="1" ht="13.8">
      <c r="B69" s="1017" t="s">
        <v>32</v>
      </c>
      <c r="C69" s="1018"/>
      <c r="D69" s="1019"/>
      <c r="E69" s="1019" t="s">
        <v>303</v>
      </c>
      <c r="F69" s="944"/>
      <c r="G69" s="945"/>
      <c r="H69" s="1020"/>
      <c r="I69" s="1021"/>
      <c r="J69" s="1022"/>
      <c r="K69" s="1023"/>
      <c r="L69" s="954"/>
      <c r="M69" s="955"/>
      <c r="N69" s="955"/>
      <c r="O69" s="955"/>
      <c r="P69" s="955"/>
      <c r="Q69" s="955"/>
      <c r="R69" s="955"/>
      <c r="S69" s="955"/>
      <c r="T69" s="955"/>
      <c r="U69" s="956"/>
      <c r="V69" s="1025"/>
    </row>
    <row r="70" spans="2:22" s="807" customFormat="1" ht="13.8">
      <c r="B70" s="1017"/>
      <c r="C70" s="1018"/>
      <c r="D70" s="1019"/>
      <c r="E70" s="1019"/>
      <c r="F70" s="944"/>
      <c r="G70" s="945"/>
      <c r="H70" s="1020"/>
      <c r="I70" s="1021"/>
      <c r="J70" s="1022"/>
      <c r="K70" s="1023"/>
      <c r="L70" s="954"/>
      <c r="M70" s="955"/>
      <c r="N70" s="955"/>
      <c r="O70" s="955"/>
      <c r="P70" s="955"/>
      <c r="Q70" s="955"/>
      <c r="R70" s="955"/>
      <c r="S70" s="955"/>
      <c r="T70" s="955"/>
      <c r="U70" s="956"/>
      <c r="V70" s="1025"/>
    </row>
    <row r="71" spans="2:22" s="807" customFormat="1" ht="27.6">
      <c r="B71" s="1026"/>
      <c r="C71" s="1027"/>
      <c r="D71" s="942">
        <v>1</v>
      </c>
      <c r="E71" s="1028" t="s">
        <v>304</v>
      </c>
      <c r="F71" s="944"/>
      <c r="G71" s="945"/>
      <c r="H71" s="1020"/>
      <c r="I71" s="1021"/>
      <c r="J71" s="1022"/>
      <c r="K71" s="1023"/>
      <c r="L71" s="954"/>
      <c r="M71" s="955"/>
      <c r="N71" s="955"/>
      <c r="O71" s="955"/>
      <c r="P71" s="955"/>
      <c r="Q71" s="955"/>
      <c r="R71" s="955"/>
      <c r="S71" s="955"/>
      <c r="T71" s="955"/>
      <c r="U71" s="956"/>
      <c r="V71" s="1025"/>
    </row>
    <row r="72" spans="2:22" s="807" customFormat="1" ht="16.2">
      <c r="B72" s="1029"/>
      <c r="C72" s="1027"/>
      <c r="D72" s="965" t="s">
        <v>188</v>
      </c>
      <c r="E72" s="941" t="s">
        <v>415</v>
      </c>
      <c r="F72" s="944" t="s">
        <v>220</v>
      </c>
      <c r="G72" s="945">
        <v>43.785299999999999</v>
      </c>
      <c r="H72" s="946">
        <v>43.785299999999999</v>
      </c>
      <c r="I72" s="953">
        <v>282000</v>
      </c>
      <c r="J72" s="948">
        <f t="shared" ref="J72" si="3">$H72*I72</f>
        <v>12347454.6</v>
      </c>
      <c r="K72" s="374">
        <f>J72/'REKAP TOTAL'!F44</f>
        <v>1.0154915897390383E-3</v>
      </c>
      <c r="L72" s="954"/>
      <c r="M72" s="955"/>
      <c r="N72" s="955"/>
      <c r="O72" s="955"/>
      <c r="P72" s="955"/>
      <c r="Q72" s="955"/>
      <c r="R72" s="955"/>
      <c r="S72" s="955"/>
      <c r="T72" s="955"/>
      <c r="U72" s="956"/>
      <c r="V72" s="1025"/>
    </row>
    <row r="73" spans="2:22" s="807" customFormat="1" ht="13.8">
      <c r="B73" s="957"/>
      <c r="C73" s="941"/>
      <c r="D73" s="965"/>
      <c r="E73" s="941"/>
      <c r="F73" s="944"/>
      <c r="G73" s="945"/>
      <c r="H73" s="1020"/>
      <c r="I73" s="1021"/>
      <c r="J73" s="1022"/>
      <c r="K73" s="1023"/>
      <c r="L73" s="954"/>
      <c r="M73" s="955"/>
      <c r="N73" s="955"/>
      <c r="O73" s="955"/>
      <c r="P73" s="955"/>
      <c r="Q73" s="955"/>
      <c r="R73" s="955"/>
      <c r="S73" s="955"/>
      <c r="T73" s="955"/>
      <c r="U73" s="956"/>
      <c r="V73" s="1025"/>
    </row>
    <row r="74" spans="2:22" s="807" customFormat="1" ht="13.8">
      <c r="B74" s="940"/>
      <c r="C74" s="941"/>
      <c r="D74" s="942">
        <v>2</v>
      </c>
      <c r="E74" s="959" t="s">
        <v>305</v>
      </c>
      <c r="F74" s="944"/>
      <c r="G74" s="945"/>
      <c r="H74" s="1020"/>
      <c r="I74" s="1021"/>
      <c r="J74" s="1022"/>
      <c r="K74" s="1023"/>
      <c r="L74" s="954"/>
      <c r="M74" s="955"/>
      <c r="N74" s="955"/>
      <c r="O74" s="955"/>
      <c r="P74" s="955"/>
      <c r="Q74" s="955"/>
      <c r="R74" s="955"/>
      <c r="S74" s="955"/>
      <c r="T74" s="955"/>
      <c r="U74" s="956"/>
      <c r="V74" s="1025"/>
    </row>
    <row r="75" spans="2:22" s="807" customFormat="1" ht="16.2">
      <c r="B75" s="957"/>
      <c r="C75" s="941"/>
      <c r="D75" s="965" t="s">
        <v>188</v>
      </c>
      <c r="E75" s="941" t="s">
        <v>415</v>
      </c>
      <c r="F75" s="944" t="s">
        <v>220</v>
      </c>
      <c r="G75" s="945">
        <v>87.570599999999999</v>
      </c>
      <c r="H75" s="946">
        <v>87.570599999999999</v>
      </c>
      <c r="I75" s="953">
        <v>190600</v>
      </c>
      <c r="J75" s="948">
        <f t="shared" ref="J75" si="4">$H75*I75</f>
        <v>16690956.359999999</v>
      </c>
      <c r="K75" s="374">
        <f>J75/'REKAP TOTAL'!F44</f>
        <v>1.3727141631507851E-3</v>
      </c>
      <c r="L75" s="954"/>
      <c r="M75" s="955"/>
      <c r="N75" s="955"/>
      <c r="O75" s="955"/>
      <c r="P75" s="955"/>
      <c r="Q75" s="955"/>
      <c r="R75" s="955"/>
      <c r="S75" s="955"/>
      <c r="T75" s="955"/>
      <c r="U75" s="956"/>
      <c r="V75" s="1025"/>
    </row>
    <row r="76" spans="2:22" s="807" customFormat="1" ht="6.75" customHeight="1">
      <c r="B76" s="1030"/>
      <c r="C76" s="1031"/>
      <c r="D76" s="1031"/>
      <c r="E76" s="1031"/>
      <c r="F76" s="1032"/>
      <c r="G76" s="1033"/>
      <c r="H76" s="1034"/>
      <c r="I76" s="1035"/>
      <c r="J76" s="1036"/>
      <c r="K76" s="1037"/>
      <c r="L76" s="1038"/>
      <c r="M76" s="1039"/>
      <c r="N76" s="1039"/>
      <c r="O76" s="1039"/>
      <c r="P76" s="1039"/>
      <c r="Q76" s="1039"/>
      <c r="R76" s="1039"/>
      <c r="S76" s="1039"/>
      <c r="T76" s="1039"/>
      <c r="U76" s="1197"/>
      <c r="V76" s="1041"/>
    </row>
    <row r="77" spans="2:22" s="807" customFormat="1" ht="13.8">
      <c r="B77" s="978"/>
      <c r="C77" s="979"/>
      <c r="D77" s="979"/>
      <c r="E77" s="980" t="s">
        <v>306</v>
      </c>
      <c r="F77" s="981"/>
      <c r="G77" s="982"/>
      <c r="H77" s="983"/>
      <c r="I77" s="984"/>
      <c r="J77" s="985">
        <f>SUM(J72:J76)</f>
        <v>29038410.960000001</v>
      </c>
      <c r="K77" s="392">
        <f>J77/'REKAP TOTAL'!F44</f>
        <v>2.3882057528898234E-3</v>
      </c>
      <c r="L77" s="986"/>
      <c r="M77" s="987"/>
      <c r="N77" s="987"/>
      <c r="O77" s="987"/>
      <c r="P77" s="987"/>
      <c r="Q77" s="987"/>
      <c r="R77" s="987"/>
      <c r="S77" s="987"/>
      <c r="T77" s="987"/>
      <c r="U77" s="988"/>
      <c r="V77" s="1043"/>
    </row>
    <row r="78" spans="2:22" ht="7.5" customHeight="1">
      <c r="B78" s="1198"/>
      <c r="C78" s="1073"/>
      <c r="D78" s="1073"/>
      <c r="E78" s="1073"/>
      <c r="F78" s="856"/>
      <c r="G78" s="857"/>
      <c r="H78" s="858"/>
      <c r="I78" s="859"/>
      <c r="J78" s="860"/>
      <c r="K78" s="861"/>
      <c r="L78" s="930"/>
      <c r="M78" s="1016"/>
      <c r="N78" s="1016"/>
      <c r="O78" s="863"/>
      <c r="P78" s="864"/>
      <c r="Q78" s="863"/>
      <c r="R78" s="865"/>
      <c r="S78" s="865"/>
      <c r="T78" s="865"/>
      <c r="U78" s="866"/>
      <c r="V78" s="994"/>
    </row>
    <row r="79" spans="2:22">
      <c r="B79" s="939" t="s">
        <v>34</v>
      </c>
      <c r="C79" s="869"/>
      <c r="D79" s="869"/>
      <c r="E79" s="869" t="s">
        <v>307</v>
      </c>
      <c r="F79" s="870"/>
      <c r="G79" s="871"/>
      <c r="H79" s="872"/>
      <c r="I79" s="873"/>
      <c r="J79" s="874"/>
      <c r="K79" s="875"/>
      <c r="L79" s="897"/>
      <c r="M79" s="898"/>
      <c r="N79" s="898"/>
      <c r="O79" s="877"/>
      <c r="P79" s="878"/>
      <c r="Q79" s="877"/>
      <c r="R79" s="879"/>
      <c r="S79" s="879"/>
      <c r="T79" s="879"/>
      <c r="U79" s="880"/>
      <c r="V79" s="996"/>
    </row>
    <row r="80" spans="2:22" ht="5.25" customHeight="1">
      <c r="B80" s="939"/>
      <c r="C80" s="869"/>
      <c r="D80" s="869"/>
      <c r="E80" s="869"/>
      <c r="F80" s="870"/>
      <c r="G80" s="871"/>
      <c r="H80" s="872"/>
      <c r="I80" s="873"/>
      <c r="J80" s="874"/>
      <c r="K80" s="875"/>
      <c r="L80" s="897"/>
      <c r="M80" s="898"/>
      <c r="N80" s="898"/>
      <c r="O80" s="877"/>
      <c r="P80" s="878"/>
      <c r="Q80" s="877"/>
      <c r="R80" s="879"/>
      <c r="S80" s="879"/>
      <c r="T80" s="879"/>
      <c r="U80" s="880"/>
      <c r="V80" s="996"/>
    </row>
    <row r="81" spans="2:22" s="807" customFormat="1" ht="13.8">
      <c r="B81" s="940"/>
      <c r="C81" s="1019"/>
      <c r="D81" s="942">
        <v>1</v>
      </c>
      <c r="E81" s="1199" t="s">
        <v>416</v>
      </c>
      <c r="F81" s="1200"/>
      <c r="G81" s="945"/>
      <c r="H81" s="946"/>
      <c r="I81" s="1021"/>
      <c r="J81" s="1022"/>
      <c r="K81" s="1023"/>
      <c r="L81" s="954"/>
      <c r="M81" s="955"/>
      <c r="N81" s="955"/>
      <c r="O81" s="955"/>
      <c r="P81" s="955"/>
      <c r="Q81" s="955"/>
      <c r="R81" s="955"/>
      <c r="S81" s="955"/>
      <c r="T81" s="955"/>
      <c r="U81" s="956"/>
      <c r="V81" s="1025"/>
    </row>
    <row r="82" spans="2:22" s="807" customFormat="1" ht="27" customHeight="1">
      <c r="B82" s="1147"/>
      <c r="C82" s="1019"/>
      <c r="D82" s="1088"/>
      <c r="E82" s="2038" t="s">
        <v>417</v>
      </c>
      <c r="F82" s="1200" t="s">
        <v>220</v>
      </c>
      <c r="G82" s="1201">
        <v>79.356999999999999</v>
      </c>
      <c r="H82" s="946">
        <v>79.356999999999999</v>
      </c>
      <c r="I82" s="1202">
        <v>283500</v>
      </c>
      <c r="J82" s="948">
        <f t="shared" ref="J82" si="5">$H82*I82</f>
        <v>22497709.5</v>
      </c>
      <c r="K82" s="374">
        <f>J82/'REKAP TOTAL'!F44</f>
        <v>1.8502789057140622E-3</v>
      </c>
      <c r="L82" s="954"/>
      <c r="M82" s="955"/>
      <c r="N82" s="955"/>
      <c r="O82" s="955"/>
      <c r="P82" s="955"/>
      <c r="Q82" s="955"/>
      <c r="R82" s="955"/>
      <c r="S82" s="955"/>
      <c r="T82" s="955"/>
      <c r="U82" s="956"/>
      <c r="V82" s="1025"/>
    </row>
    <row r="83" spans="2:22" s="807" customFormat="1" ht="13.8">
      <c r="B83" s="1026"/>
      <c r="C83" s="1082"/>
      <c r="D83" s="942">
        <v>2</v>
      </c>
      <c r="E83" s="1203" t="s">
        <v>310</v>
      </c>
      <c r="F83" s="944"/>
      <c r="G83" s="945"/>
      <c r="H83" s="946"/>
      <c r="I83" s="1021"/>
      <c r="J83" s="1022"/>
      <c r="K83" s="1023"/>
      <c r="L83" s="954"/>
      <c r="M83" s="955"/>
      <c r="N83" s="955"/>
      <c r="O83" s="955"/>
      <c r="P83" s="955"/>
      <c r="Q83" s="955"/>
      <c r="R83" s="955"/>
      <c r="S83" s="955"/>
      <c r="T83" s="955"/>
      <c r="U83" s="956"/>
      <c r="V83" s="1025"/>
    </row>
    <row r="84" spans="2:22" s="807" customFormat="1" ht="16.2">
      <c r="B84" s="1017"/>
      <c r="C84" s="1082"/>
      <c r="D84" s="1088"/>
      <c r="E84" s="2039" t="s">
        <v>418</v>
      </c>
      <c r="F84" s="944" t="s">
        <v>220</v>
      </c>
      <c r="G84" s="962">
        <v>106.98</v>
      </c>
      <c r="H84" s="946">
        <v>106.98</v>
      </c>
      <c r="I84" s="1202">
        <v>507800</v>
      </c>
      <c r="J84" s="948">
        <f t="shared" ref="J84" si="6">$H84*I84</f>
        <v>54324444</v>
      </c>
      <c r="K84" s="374">
        <f>J84/'REKAP TOTAL'!F44</f>
        <v>4.4678047246474069E-3</v>
      </c>
      <c r="L84" s="954"/>
      <c r="M84" s="955"/>
      <c r="N84" s="955"/>
      <c r="O84" s="955"/>
      <c r="P84" s="955"/>
      <c r="Q84" s="955"/>
      <c r="R84" s="955"/>
      <c r="S84" s="955"/>
      <c r="T84" s="955"/>
      <c r="U84" s="956"/>
      <c r="V84" s="1025"/>
    </row>
    <row r="85" spans="2:22" s="807" customFormat="1" ht="13.8">
      <c r="B85" s="1026"/>
      <c r="C85" s="1082"/>
      <c r="D85" s="942">
        <v>3</v>
      </c>
      <c r="E85" s="1203" t="s">
        <v>312</v>
      </c>
      <c r="F85" s="944"/>
      <c r="G85" s="945"/>
      <c r="H85" s="946"/>
      <c r="I85" s="1021"/>
      <c r="J85" s="1022"/>
      <c r="K85" s="1023"/>
      <c r="L85" s="954"/>
      <c r="M85" s="955"/>
      <c r="N85" s="955"/>
      <c r="O85" s="955"/>
      <c r="P85" s="955"/>
      <c r="Q85" s="955"/>
      <c r="R85" s="955"/>
      <c r="S85" s="955"/>
      <c r="T85" s="955"/>
      <c r="U85" s="956"/>
      <c r="V85" s="1025"/>
    </row>
    <row r="86" spans="2:22" s="807" customFormat="1" ht="13.8">
      <c r="B86" s="1017"/>
      <c r="C86" s="1082"/>
      <c r="D86" s="1019"/>
      <c r="E86" s="2040" t="s">
        <v>419</v>
      </c>
      <c r="F86" s="944" t="s">
        <v>88</v>
      </c>
      <c r="G86" s="945">
        <v>20.399999999999999</v>
      </c>
      <c r="H86" s="946">
        <v>20.399999999999999</v>
      </c>
      <c r="I86" s="1202">
        <v>115500</v>
      </c>
      <c r="J86" s="948">
        <f t="shared" ref="J86" si="7">$H86*I86</f>
        <v>2356200</v>
      </c>
      <c r="K86" s="374">
        <f>J86/'REKAP TOTAL'!F44</f>
        <v>1.9378093390544818E-4</v>
      </c>
      <c r="L86" s="954"/>
      <c r="M86" s="955"/>
      <c r="N86" s="955"/>
      <c r="O86" s="955"/>
      <c r="P86" s="955"/>
      <c r="Q86" s="955"/>
      <c r="R86" s="955"/>
      <c r="S86" s="955"/>
      <c r="T86" s="955"/>
      <c r="U86" s="956"/>
      <c r="V86" s="1025"/>
    </row>
    <row r="87" spans="2:22" s="807" customFormat="1" ht="13.8">
      <c r="B87" s="940"/>
      <c r="C87" s="1019"/>
      <c r="D87" s="942">
        <v>4</v>
      </c>
      <c r="E87" s="1199" t="s">
        <v>314</v>
      </c>
      <c r="F87" s="1200"/>
      <c r="G87" s="945"/>
      <c r="H87" s="946"/>
      <c r="I87" s="1021"/>
      <c r="J87" s="1022"/>
      <c r="K87" s="1023"/>
      <c r="L87" s="954"/>
      <c r="M87" s="955"/>
      <c r="N87" s="955"/>
      <c r="O87" s="955"/>
      <c r="P87" s="955"/>
      <c r="Q87" s="955"/>
      <c r="R87" s="955"/>
      <c r="S87" s="955"/>
      <c r="T87" s="955"/>
      <c r="U87" s="956"/>
      <c r="V87" s="1025"/>
    </row>
    <row r="88" spans="2:22" s="807" customFormat="1" ht="14.25" customHeight="1">
      <c r="B88" s="1147"/>
      <c r="C88" s="1019"/>
      <c r="D88" s="1088"/>
      <c r="E88" s="2038" t="s">
        <v>420</v>
      </c>
      <c r="F88" s="1200" t="s">
        <v>220</v>
      </c>
      <c r="G88" s="1201">
        <v>7.2560000000000002</v>
      </c>
      <c r="H88" s="946">
        <v>7.2560000000000002</v>
      </c>
      <c r="I88" s="1202">
        <v>283500</v>
      </c>
      <c r="J88" s="948">
        <f t="shared" ref="J88" si="8">$H88*I88</f>
        <v>2057076</v>
      </c>
      <c r="K88" s="374">
        <f>J88/'REKAP TOTAL'!F44</f>
        <v>1.69180081654564E-4</v>
      </c>
      <c r="L88" s="954"/>
      <c r="M88" s="955"/>
      <c r="N88" s="955"/>
      <c r="O88" s="955"/>
      <c r="P88" s="955"/>
      <c r="Q88" s="955"/>
      <c r="R88" s="955"/>
      <c r="S88" s="955"/>
      <c r="T88" s="955"/>
      <c r="U88" s="956"/>
      <c r="V88" s="1025"/>
    </row>
    <row r="89" spans="2:22" s="807" customFormat="1" ht="13.8">
      <c r="B89" s="940"/>
      <c r="C89" s="1019"/>
      <c r="D89" s="942">
        <v>5</v>
      </c>
      <c r="E89" s="1199" t="s">
        <v>421</v>
      </c>
      <c r="F89" s="1200"/>
      <c r="G89" s="937"/>
      <c r="H89" s="946"/>
      <c r="I89" s="1021"/>
      <c r="J89" s="1022"/>
      <c r="K89" s="1023"/>
      <c r="L89" s="954"/>
      <c r="M89" s="955"/>
      <c r="N89" s="955"/>
      <c r="O89" s="955"/>
      <c r="P89" s="955"/>
      <c r="Q89" s="955"/>
      <c r="R89" s="955"/>
      <c r="S89" s="955"/>
      <c r="T89" s="955"/>
      <c r="U89" s="956"/>
      <c r="V89" s="1025"/>
    </row>
    <row r="90" spans="2:22" s="807" customFormat="1" ht="13.8">
      <c r="B90" s="940"/>
      <c r="C90" s="1019"/>
      <c r="D90" s="1019"/>
      <c r="E90" s="2040" t="s">
        <v>417</v>
      </c>
      <c r="F90" s="944" t="s">
        <v>88</v>
      </c>
      <c r="G90" s="1204">
        <v>62.207000000000001</v>
      </c>
      <c r="H90" s="946">
        <v>62.207000000000001</v>
      </c>
      <c r="I90" s="1202">
        <v>105900</v>
      </c>
      <c r="J90" s="948">
        <f t="shared" ref="J90" si="9">$H90*I90</f>
        <v>6587721.2999999998</v>
      </c>
      <c r="K90" s="374">
        <f>J90/'REKAP TOTAL'!F44</f>
        <v>5.4179389942399334E-4</v>
      </c>
      <c r="L90" s="954"/>
      <c r="M90" s="955"/>
      <c r="N90" s="955"/>
      <c r="O90" s="955"/>
      <c r="P90" s="955"/>
      <c r="Q90" s="955"/>
      <c r="R90" s="955"/>
      <c r="S90" s="955"/>
      <c r="T90" s="955"/>
      <c r="U90" s="956"/>
      <c r="V90" s="1025"/>
    </row>
    <row r="91" spans="2:22" ht="6" customHeight="1">
      <c r="B91" s="890"/>
      <c r="C91" s="891"/>
      <c r="D91" s="891"/>
      <c r="E91" s="891"/>
      <c r="F91" s="870"/>
      <c r="G91" s="871"/>
      <c r="H91" s="1205"/>
      <c r="I91" s="873"/>
      <c r="J91" s="874"/>
      <c r="K91" s="875"/>
      <c r="L91" s="897"/>
      <c r="M91" s="898"/>
      <c r="N91" s="898"/>
      <c r="O91" s="877"/>
      <c r="P91" s="878"/>
      <c r="Q91" s="877"/>
      <c r="R91" s="879"/>
      <c r="S91" s="879"/>
      <c r="T91" s="879"/>
      <c r="U91" s="880"/>
      <c r="V91" s="996"/>
    </row>
    <row r="92" spans="2:22">
      <c r="B92" s="939"/>
      <c r="C92" s="869"/>
      <c r="D92" s="869"/>
      <c r="E92" s="1206" t="s">
        <v>320</v>
      </c>
      <c r="F92" s="870"/>
      <c r="G92" s="871"/>
      <c r="H92" s="872"/>
      <c r="I92" s="1207"/>
      <c r="J92" s="1143">
        <f>SUM(J80:J91)</f>
        <v>87823150.799999997</v>
      </c>
      <c r="K92" s="374">
        <f>J92/'REKAP TOTAL'!F44</f>
        <v>7.222838545345475E-3</v>
      </c>
      <c r="L92" s="897"/>
      <c r="M92" s="898"/>
      <c r="N92" s="898"/>
      <c r="O92" s="877"/>
      <c r="P92" s="878"/>
      <c r="Q92" s="877"/>
      <c r="R92" s="879"/>
      <c r="S92" s="879"/>
      <c r="T92" s="879"/>
      <c r="U92" s="880"/>
      <c r="V92" s="996"/>
    </row>
    <row r="93" spans="2:22">
      <c r="B93" s="890"/>
      <c r="C93" s="891"/>
      <c r="D93" s="891"/>
      <c r="E93" s="1003"/>
      <c r="F93" s="870"/>
      <c r="G93" s="871"/>
      <c r="H93" s="872"/>
      <c r="I93" s="873"/>
      <c r="J93" s="874"/>
      <c r="K93" s="875"/>
      <c r="L93" s="897"/>
      <c r="M93" s="898"/>
      <c r="N93" s="898"/>
      <c r="O93" s="877"/>
      <c r="P93" s="878"/>
      <c r="Q93" s="877"/>
      <c r="R93" s="879"/>
      <c r="S93" s="879"/>
      <c r="T93" s="879"/>
      <c r="U93" s="880"/>
      <c r="V93" s="996"/>
    </row>
    <row r="94" spans="2:22" s="807" customFormat="1" ht="13.8">
      <c r="B94" s="1147" t="s">
        <v>24</v>
      </c>
      <c r="C94" s="1019"/>
      <c r="D94" s="1019"/>
      <c r="E94" s="1019" t="s">
        <v>321</v>
      </c>
      <c r="F94" s="944"/>
      <c r="G94" s="945"/>
      <c r="H94" s="1020"/>
      <c r="I94" s="1021"/>
      <c r="J94" s="1022"/>
      <c r="K94" s="1023"/>
      <c r="L94" s="954"/>
      <c r="M94" s="955"/>
      <c r="N94" s="955"/>
      <c r="O94" s="955"/>
      <c r="P94" s="955"/>
      <c r="Q94" s="955"/>
      <c r="R94" s="955"/>
      <c r="S94" s="955"/>
      <c r="T94" s="955"/>
      <c r="U94" s="956"/>
      <c r="V94" s="1025"/>
    </row>
    <row r="95" spans="2:22" s="807" customFormat="1" ht="13.8">
      <c r="B95" s="1147"/>
      <c r="C95" s="1019"/>
      <c r="D95" s="1019"/>
      <c r="E95" s="1019"/>
      <c r="F95" s="944"/>
      <c r="G95" s="945"/>
      <c r="H95" s="1020"/>
      <c r="I95" s="1021"/>
      <c r="J95" s="1022"/>
      <c r="K95" s="1023"/>
      <c r="L95" s="954"/>
      <c r="M95" s="955"/>
      <c r="N95" s="955"/>
      <c r="O95" s="955"/>
      <c r="P95" s="955"/>
      <c r="Q95" s="955"/>
      <c r="R95" s="955"/>
      <c r="S95" s="955"/>
      <c r="T95" s="955"/>
      <c r="U95" s="956"/>
      <c r="V95" s="1025"/>
    </row>
    <row r="96" spans="2:22" s="807" customFormat="1" ht="13.8">
      <c r="B96" s="940"/>
      <c r="C96" s="1019"/>
      <c r="D96" s="942">
        <v>1</v>
      </c>
      <c r="E96" s="1203" t="s">
        <v>327</v>
      </c>
      <c r="F96" s="944"/>
      <c r="G96" s="1085"/>
      <c r="H96" s="1086"/>
      <c r="I96" s="1021"/>
      <c r="J96" s="1022"/>
      <c r="K96" s="1023"/>
      <c r="L96" s="954"/>
      <c r="M96" s="955"/>
      <c r="N96" s="955"/>
      <c r="O96" s="955"/>
      <c r="P96" s="955"/>
      <c r="Q96" s="955"/>
      <c r="R96" s="955"/>
      <c r="S96" s="955"/>
      <c r="T96" s="955"/>
      <c r="U96" s="956"/>
      <c r="V96" s="1025"/>
    </row>
    <row r="97" spans="2:22" s="807" customFormat="1" ht="16.2">
      <c r="B97" s="940"/>
      <c r="C97" s="941"/>
      <c r="D97" s="941"/>
      <c r="E97" s="2040" t="s">
        <v>422</v>
      </c>
      <c r="F97" s="944" t="s">
        <v>220</v>
      </c>
      <c r="G97" s="1154">
        <v>31.35</v>
      </c>
      <c r="H97" s="946">
        <v>31.35</v>
      </c>
      <c r="I97" s="1155">
        <v>258600</v>
      </c>
      <c r="J97" s="948">
        <f>$H97*I97</f>
        <v>8107110</v>
      </c>
      <c r="K97" s="374">
        <f>J97/'REKAP TOTAL'!F44</f>
        <v>6.6675296964357784E-4</v>
      </c>
      <c r="L97" s="954"/>
      <c r="M97" s="955"/>
      <c r="N97" s="955"/>
      <c r="O97" s="955"/>
      <c r="P97" s="955"/>
      <c r="Q97" s="955"/>
      <c r="R97" s="955"/>
      <c r="S97" s="955"/>
      <c r="T97" s="955"/>
      <c r="U97" s="956"/>
      <c r="V97" s="1025"/>
    </row>
    <row r="98" spans="2:22" s="807" customFormat="1" ht="13.8">
      <c r="B98" s="1030"/>
      <c r="C98" s="1031"/>
      <c r="D98" s="1031"/>
      <c r="E98" s="1031"/>
      <c r="F98" s="1032"/>
      <c r="G98" s="1033"/>
      <c r="H98" s="1034"/>
      <c r="I98" s="1035"/>
      <c r="J98" s="1036"/>
      <c r="K98" s="1037"/>
      <c r="L98" s="1038"/>
      <c r="M98" s="1039"/>
      <c r="N98" s="1039"/>
      <c r="O98" s="1039"/>
      <c r="P98" s="1039"/>
      <c r="Q98" s="1039"/>
      <c r="R98" s="1039"/>
      <c r="S98" s="1039"/>
      <c r="T98" s="1039"/>
      <c r="U98" s="1197"/>
      <c r="V98" s="1041"/>
    </row>
    <row r="99" spans="2:22" s="807" customFormat="1" ht="22.5" customHeight="1">
      <c r="B99" s="978"/>
      <c r="C99" s="979"/>
      <c r="D99" s="979"/>
      <c r="E99" s="980" t="s">
        <v>328</v>
      </c>
      <c r="F99" s="981"/>
      <c r="G99" s="982"/>
      <c r="H99" s="983"/>
      <c r="I99" s="984"/>
      <c r="J99" s="985">
        <f>SUM(J95:J98)</f>
        <v>8107110</v>
      </c>
      <c r="K99" s="392">
        <f>J99/'REKAP TOTAL'!F44</f>
        <v>6.6675296964357784E-4</v>
      </c>
      <c r="L99" s="986"/>
      <c r="M99" s="987"/>
      <c r="N99" s="987"/>
      <c r="O99" s="987"/>
      <c r="P99" s="987"/>
      <c r="Q99" s="987"/>
      <c r="R99" s="987"/>
      <c r="S99" s="987"/>
      <c r="T99" s="987"/>
      <c r="U99" s="988"/>
      <c r="V99" s="1043"/>
    </row>
    <row r="100" spans="2:22" s="807" customFormat="1" ht="13.8">
      <c r="B100" s="1185"/>
      <c r="C100" s="1046"/>
      <c r="D100" s="1046"/>
      <c r="E100" s="1186"/>
      <c r="F100" s="1047"/>
      <c r="G100" s="1048"/>
      <c r="H100" s="1049"/>
      <c r="I100" s="1208"/>
      <c r="J100" s="1209"/>
      <c r="K100" s="1210"/>
      <c r="L100" s="1053"/>
      <c r="M100" s="1054"/>
      <c r="N100" s="1054"/>
      <c r="O100" s="1054"/>
      <c r="P100" s="1054"/>
      <c r="Q100" s="1054"/>
      <c r="R100" s="1054"/>
      <c r="S100" s="1054"/>
      <c r="T100" s="1054"/>
      <c r="U100" s="1211"/>
      <c r="V100" s="1056"/>
    </row>
    <row r="101" spans="2:22" s="807" customFormat="1" ht="13.8">
      <c r="B101" s="1147" t="s">
        <v>25</v>
      </c>
      <c r="C101" s="1019"/>
      <c r="D101" s="1019"/>
      <c r="E101" s="1019" t="s">
        <v>364</v>
      </c>
      <c r="F101" s="944"/>
      <c r="G101" s="945"/>
      <c r="H101" s="1020"/>
      <c r="I101" s="1021"/>
      <c r="J101" s="1022"/>
      <c r="K101" s="1023"/>
      <c r="L101" s="954"/>
      <c r="M101" s="955"/>
      <c r="N101" s="955"/>
      <c r="O101" s="955"/>
      <c r="P101" s="955"/>
      <c r="Q101" s="955"/>
      <c r="R101" s="955"/>
      <c r="S101" s="955"/>
      <c r="T101" s="955"/>
      <c r="U101" s="956"/>
      <c r="V101" s="1025"/>
    </row>
    <row r="102" spans="2:22" s="807" customFormat="1" ht="16.5" customHeight="1">
      <c r="B102" s="940"/>
      <c r="C102" s="941"/>
      <c r="D102" s="941"/>
      <c r="E102" s="941"/>
      <c r="F102" s="944"/>
      <c r="G102" s="945"/>
      <c r="H102" s="1020"/>
      <c r="I102" s="1021"/>
      <c r="J102" s="1022"/>
      <c r="K102" s="1023"/>
      <c r="L102" s="954"/>
      <c r="M102" s="955"/>
      <c r="N102" s="955"/>
      <c r="O102" s="955"/>
      <c r="P102" s="955"/>
      <c r="Q102" s="955"/>
      <c r="R102" s="955"/>
      <c r="S102" s="955"/>
      <c r="T102" s="955"/>
      <c r="U102" s="956"/>
      <c r="V102" s="1025"/>
    </row>
    <row r="103" spans="2:22" s="807" customFormat="1" ht="13.8">
      <c r="B103" s="940"/>
      <c r="C103" s="941"/>
      <c r="D103" s="942">
        <v>1</v>
      </c>
      <c r="E103" s="1084" t="s">
        <v>365</v>
      </c>
      <c r="F103" s="944"/>
      <c r="G103" s="1085"/>
      <c r="H103" s="1086"/>
      <c r="I103" s="953"/>
      <c r="J103" s="1022"/>
      <c r="K103" s="1023"/>
      <c r="L103" s="954"/>
      <c r="M103" s="955"/>
      <c r="N103" s="955"/>
      <c r="O103" s="955"/>
      <c r="P103" s="955"/>
      <c r="Q103" s="955"/>
      <c r="R103" s="955"/>
      <c r="S103" s="955"/>
      <c r="T103" s="955"/>
      <c r="U103" s="956"/>
      <c r="V103" s="1025"/>
    </row>
    <row r="104" spans="2:22" s="807" customFormat="1" ht="13.8">
      <c r="B104" s="940"/>
      <c r="C104" s="941"/>
      <c r="D104" s="942"/>
      <c r="E104" s="1084" t="s">
        <v>366</v>
      </c>
      <c r="F104" s="944"/>
      <c r="G104" s="1085"/>
      <c r="H104" s="1086"/>
      <c r="I104" s="1021"/>
      <c r="J104" s="1022"/>
      <c r="K104" s="1023"/>
      <c r="L104" s="954"/>
      <c r="M104" s="955"/>
      <c r="N104" s="955"/>
      <c r="O104" s="955"/>
      <c r="P104" s="955"/>
      <c r="Q104" s="955"/>
      <c r="R104" s="955"/>
      <c r="S104" s="955"/>
      <c r="T104" s="955"/>
      <c r="U104" s="956"/>
      <c r="V104" s="1025"/>
    </row>
    <row r="105" spans="2:22" s="807" customFormat="1" ht="21" customHeight="1">
      <c r="B105" s="940"/>
      <c r="C105" s="941"/>
      <c r="D105" s="942"/>
      <c r="E105" s="2041" t="s">
        <v>423</v>
      </c>
      <c r="F105" s="944" t="s">
        <v>220</v>
      </c>
      <c r="G105" s="1201">
        <v>79.356999999999999</v>
      </c>
      <c r="H105" s="946">
        <v>79.356999999999999</v>
      </c>
      <c r="I105" s="1021">
        <v>186900</v>
      </c>
      <c r="J105" s="948">
        <f>$H105*I105</f>
        <v>14831823.300000001</v>
      </c>
      <c r="K105" s="374">
        <f>J105/'REKAP TOTAL'!F44</f>
        <v>1.2198135008040856E-3</v>
      </c>
      <c r="L105" s="954"/>
      <c r="M105" s="955"/>
      <c r="N105" s="955"/>
      <c r="O105" s="955"/>
      <c r="P105" s="955"/>
      <c r="Q105" s="955"/>
      <c r="R105" s="955"/>
      <c r="S105" s="955"/>
      <c r="T105" s="955"/>
      <c r="U105" s="956"/>
      <c r="V105" s="1025"/>
    </row>
    <row r="106" spans="2:22" s="807" customFormat="1" ht="13.8">
      <c r="B106" s="940"/>
      <c r="C106" s="941"/>
      <c r="D106" s="942">
        <v>2</v>
      </c>
      <c r="E106" s="1084" t="s">
        <v>368</v>
      </c>
      <c r="F106" s="944"/>
      <c r="G106" s="1085"/>
      <c r="H106" s="1086"/>
      <c r="I106" s="1021"/>
      <c r="J106" s="1022"/>
      <c r="K106" s="1023"/>
      <c r="L106" s="954"/>
      <c r="M106" s="955"/>
      <c r="N106" s="955"/>
      <c r="O106" s="955"/>
      <c r="P106" s="955"/>
      <c r="Q106" s="955"/>
      <c r="R106" s="955"/>
      <c r="S106" s="955"/>
      <c r="T106" s="955"/>
      <c r="U106" s="956"/>
      <c r="V106" s="1025"/>
    </row>
    <row r="107" spans="2:22" s="807" customFormat="1" ht="13.8">
      <c r="B107" s="940"/>
      <c r="C107" s="941"/>
      <c r="D107" s="942"/>
      <c r="E107" s="1084" t="s">
        <v>369</v>
      </c>
      <c r="F107" s="944"/>
      <c r="G107" s="1085"/>
      <c r="H107" s="1086"/>
      <c r="I107" s="1021"/>
      <c r="J107" s="1022"/>
      <c r="K107" s="1023"/>
      <c r="L107" s="954"/>
      <c r="M107" s="955"/>
      <c r="N107" s="955"/>
      <c r="O107" s="955"/>
      <c r="P107" s="955"/>
      <c r="Q107" s="955"/>
      <c r="R107" s="955"/>
      <c r="S107" s="955"/>
      <c r="T107" s="955"/>
      <c r="U107" s="956"/>
      <c r="V107" s="1025"/>
    </row>
    <row r="108" spans="2:22" s="807" customFormat="1" ht="16.2">
      <c r="B108" s="940"/>
      <c r="C108" s="941"/>
      <c r="D108" s="942"/>
      <c r="E108" s="2042" t="s">
        <v>424</v>
      </c>
      <c r="F108" s="944" t="s">
        <v>220</v>
      </c>
      <c r="G108" s="1087">
        <v>7.2560000000000002</v>
      </c>
      <c r="H108" s="946">
        <v>7.2560000000000002</v>
      </c>
      <c r="I108" s="1021">
        <v>218100</v>
      </c>
      <c r="J108" s="1022">
        <f>$H108*I108</f>
        <v>1582533.6</v>
      </c>
      <c r="K108" s="374">
        <f>J108/'REKAP TOTAL'!F44</f>
        <v>1.3015229562208258E-4</v>
      </c>
      <c r="L108" s="954"/>
      <c r="M108" s="955"/>
      <c r="N108" s="955"/>
      <c r="O108" s="955"/>
      <c r="P108" s="955"/>
      <c r="Q108" s="955"/>
      <c r="R108" s="955"/>
      <c r="S108" s="955"/>
      <c r="T108" s="955"/>
      <c r="U108" s="956"/>
      <c r="V108" s="1025"/>
    </row>
    <row r="109" spans="2:22" s="807" customFormat="1" ht="13.8">
      <c r="B109" s="940"/>
      <c r="C109" s="941"/>
      <c r="D109" s="942">
        <v>3</v>
      </c>
      <c r="E109" s="941" t="s">
        <v>371</v>
      </c>
      <c r="F109" s="944"/>
      <c r="G109" s="945"/>
      <c r="H109" s="1020"/>
      <c r="I109" s="953">
        <v>0</v>
      </c>
      <c r="J109" s="1022"/>
      <c r="K109" s="1023"/>
      <c r="L109" s="954"/>
      <c r="M109" s="955"/>
      <c r="N109" s="955"/>
      <c r="O109" s="955"/>
      <c r="P109" s="955"/>
      <c r="Q109" s="955"/>
      <c r="R109" s="955"/>
      <c r="S109" s="955"/>
      <c r="T109" s="955"/>
      <c r="U109" s="956"/>
      <c r="V109" s="1025"/>
    </row>
    <row r="110" spans="2:22" s="807" customFormat="1" ht="13.8">
      <c r="B110" s="940"/>
      <c r="C110" s="941"/>
      <c r="D110" s="942"/>
      <c r="E110" s="2041" t="s">
        <v>425</v>
      </c>
      <c r="F110" s="944" t="s">
        <v>88</v>
      </c>
      <c r="G110" s="1103">
        <v>72.748999999999995</v>
      </c>
      <c r="H110" s="946">
        <v>72.748999999999995</v>
      </c>
      <c r="I110" s="1021">
        <v>26000</v>
      </c>
      <c r="J110" s="1022">
        <f>$H110*I110</f>
        <v>1891474</v>
      </c>
      <c r="K110" s="374">
        <f>J110/'REKAP TOTAL'!F44</f>
        <v>1.5556047796361672E-4</v>
      </c>
      <c r="L110" s="954"/>
      <c r="M110" s="955"/>
      <c r="N110" s="955"/>
      <c r="O110" s="955"/>
      <c r="P110" s="955"/>
      <c r="Q110" s="955"/>
      <c r="R110" s="955"/>
      <c r="S110" s="955"/>
      <c r="T110" s="955"/>
      <c r="U110" s="956"/>
      <c r="V110" s="1025"/>
    </row>
    <row r="111" spans="2:22" s="807" customFormat="1" ht="13.5" customHeight="1">
      <c r="B111" s="940"/>
      <c r="C111" s="941"/>
      <c r="D111" s="942">
        <v>4</v>
      </c>
      <c r="E111" s="941" t="s">
        <v>426</v>
      </c>
      <c r="F111" s="944"/>
      <c r="G111" s="945"/>
      <c r="H111" s="1020"/>
      <c r="I111" s="953">
        <v>0</v>
      </c>
      <c r="J111" s="1022"/>
      <c r="K111" s="1023"/>
      <c r="L111" s="954"/>
      <c r="M111" s="955"/>
      <c r="N111" s="955"/>
      <c r="O111" s="955"/>
      <c r="P111" s="955"/>
      <c r="Q111" s="955"/>
      <c r="R111" s="955"/>
      <c r="S111" s="955"/>
      <c r="T111" s="955"/>
      <c r="U111" s="956"/>
      <c r="V111" s="1025"/>
    </row>
    <row r="112" spans="2:22" s="807" customFormat="1" ht="16.2">
      <c r="B112" s="940"/>
      <c r="C112" s="941"/>
      <c r="D112" s="941"/>
      <c r="E112" s="2042" t="s">
        <v>427</v>
      </c>
      <c r="F112" s="944" t="s">
        <v>220</v>
      </c>
      <c r="G112" s="1085">
        <v>8</v>
      </c>
      <c r="H112" s="946">
        <v>8</v>
      </c>
      <c r="I112" s="1021">
        <v>59900</v>
      </c>
      <c r="J112" s="1022">
        <f>$H112*I112</f>
        <v>479200</v>
      </c>
      <c r="K112" s="374">
        <f>J112/'REKAP TOTAL'!F44</f>
        <v>3.9410840984420155E-5</v>
      </c>
      <c r="L112" s="954"/>
      <c r="M112" s="955"/>
      <c r="N112" s="955"/>
      <c r="O112" s="955"/>
      <c r="P112" s="955"/>
      <c r="Q112" s="955"/>
      <c r="R112" s="955"/>
      <c r="S112" s="955"/>
      <c r="T112" s="955"/>
      <c r="U112" s="956"/>
      <c r="V112" s="1025"/>
    </row>
    <row r="113" spans="2:22" s="807" customFormat="1" ht="13.8">
      <c r="B113" s="1030"/>
      <c r="C113" s="1031"/>
      <c r="D113" s="1031"/>
      <c r="E113" s="1031"/>
      <c r="F113" s="1032"/>
      <c r="G113" s="1033"/>
      <c r="H113" s="1034"/>
      <c r="I113" s="1035"/>
      <c r="J113" s="1036"/>
      <c r="K113" s="1037"/>
      <c r="L113" s="1038"/>
      <c r="M113" s="1039"/>
      <c r="N113" s="1039"/>
      <c r="O113" s="1039"/>
      <c r="P113" s="1039"/>
      <c r="Q113" s="1039"/>
      <c r="R113" s="1039"/>
      <c r="S113" s="1039"/>
      <c r="T113" s="1039"/>
      <c r="U113" s="1197"/>
      <c r="V113" s="1041"/>
    </row>
    <row r="114" spans="2:22" s="807" customFormat="1" ht="21.75" customHeight="1">
      <c r="B114" s="978"/>
      <c r="C114" s="979"/>
      <c r="D114" s="979"/>
      <c r="E114" s="980" t="s">
        <v>373</v>
      </c>
      <c r="F114" s="981"/>
      <c r="G114" s="982"/>
      <c r="H114" s="983"/>
      <c r="I114" s="984"/>
      <c r="J114" s="985">
        <f>SUM(J102:J113)</f>
        <v>18785030.899999999</v>
      </c>
      <c r="K114" s="392">
        <f>J114/'REKAP TOTAL'!F44</f>
        <v>1.5449371153742049E-3</v>
      </c>
      <c r="L114" s="986"/>
      <c r="M114" s="987"/>
      <c r="N114" s="987"/>
      <c r="O114" s="987"/>
      <c r="P114" s="987"/>
      <c r="Q114" s="987"/>
      <c r="R114" s="987"/>
      <c r="S114" s="987"/>
      <c r="T114" s="987"/>
      <c r="U114" s="988"/>
      <c r="V114" s="1043"/>
    </row>
    <row r="115" spans="2:22">
      <c r="B115" s="1198"/>
      <c r="C115" s="1100"/>
      <c r="D115" s="1100"/>
      <c r="E115" s="1073"/>
      <c r="F115" s="856"/>
      <c r="G115" s="857"/>
      <c r="H115" s="858"/>
      <c r="I115" s="859"/>
      <c r="J115" s="860"/>
      <c r="K115" s="861"/>
      <c r="L115" s="930"/>
      <c r="M115" s="1016"/>
      <c r="N115" s="1016"/>
      <c r="O115" s="863"/>
      <c r="P115" s="864"/>
      <c r="Q115" s="863"/>
      <c r="R115" s="865"/>
      <c r="S115" s="865"/>
      <c r="T115" s="865"/>
      <c r="U115" s="866"/>
      <c r="V115" s="994"/>
    </row>
    <row r="116" spans="2:22">
      <c r="B116" s="939" t="s">
        <v>26</v>
      </c>
      <c r="C116" s="1206"/>
      <c r="D116" s="1206"/>
      <c r="E116" s="869" t="s">
        <v>374</v>
      </c>
      <c r="F116" s="870"/>
      <c r="G116" s="871"/>
      <c r="H116" s="872"/>
      <c r="I116" s="873"/>
      <c r="J116" s="874"/>
      <c r="K116" s="875"/>
      <c r="L116" s="897"/>
      <c r="M116" s="898"/>
      <c r="N116" s="898"/>
      <c r="O116" s="877"/>
      <c r="P116" s="878"/>
      <c r="Q116" s="877"/>
      <c r="R116" s="879"/>
      <c r="S116" s="879"/>
      <c r="T116" s="879"/>
      <c r="U116" s="880"/>
      <c r="V116" s="996"/>
    </row>
    <row r="117" spans="2:22">
      <c r="B117" s="939"/>
      <c r="C117" s="1206"/>
      <c r="D117" s="1206"/>
      <c r="E117" s="869"/>
      <c r="F117" s="870"/>
      <c r="G117" s="871"/>
      <c r="H117" s="872"/>
      <c r="I117" s="873"/>
      <c r="J117" s="874"/>
      <c r="K117" s="875"/>
      <c r="L117" s="897"/>
      <c r="M117" s="898"/>
      <c r="N117" s="898"/>
      <c r="O117" s="877"/>
      <c r="P117" s="878"/>
      <c r="Q117" s="877"/>
      <c r="R117" s="879"/>
      <c r="S117" s="879"/>
      <c r="T117" s="879"/>
      <c r="U117" s="880"/>
      <c r="V117" s="996"/>
    </row>
    <row r="118" spans="2:22" s="807" customFormat="1" ht="13.8">
      <c r="B118" s="940"/>
      <c r="C118" s="941"/>
      <c r="D118" s="942">
        <v>1</v>
      </c>
      <c r="E118" s="943" t="s">
        <v>376</v>
      </c>
      <c r="F118" s="944"/>
      <c r="G118" s="945"/>
      <c r="H118" s="1020"/>
      <c r="I118" s="1104"/>
      <c r="J118" s="1022"/>
      <c r="K118" s="1023"/>
      <c r="L118" s="954"/>
      <c r="M118" s="955"/>
      <c r="N118" s="955"/>
      <c r="O118" s="955"/>
      <c r="P118" s="955"/>
      <c r="Q118" s="955"/>
      <c r="R118" s="955"/>
      <c r="S118" s="955"/>
      <c r="T118" s="955"/>
      <c r="U118" s="956"/>
      <c r="V118" s="1025"/>
    </row>
    <row r="119" spans="2:22" s="807" customFormat="1" ht="16.2">
      <c r="B119" s="940"/>
      <c r="C119" s="941"/>
      <c r="D119" s="942"/>
      <c r="E119" s="2042" t="s">
        <v>428</v>
      </c>
      <c r="F119" s="944" t="s">
        <v>220</v>
      </c>
      <c r="G119" s="945">
        <v>87.570599999999999</v>
      </c>
      <c r="H119" s="946">
        <v>87.570599999999999</v>
      </c>
      <c r="I119" s="953">
        <v>31500</v>
      </c>
      <c r="J119" s="1022">
        <f>$H119*I119</f>
        <v>2758473.9</v>
      </c>
      <c r="K119" s="374">
        <f>J119/'REKAP TOTAL'!F44</f>
        <v>2.2686514238850854E-4</v>
      </c>
      <c r="L119" s="954"/>
      <c r="M119" s="955"/>
      <c r="N119" s="955"/>
      <c r="O119" s="955"/>
      <c r="P119" s="955"/>
      <c r="Q119" s="955"/>
      <c r="R119" s="955"/>
      <c r="S119" s="955"/>
      <c r="T119" s="955"/>
      <c r="U119" s="956"/>
      <c r="V119" s="1025"/>
    </row>
    <row r="120" spans="2:22" s="807" customFormat="1" ht="13.8">
      <c r="B120" s="940"/>
      <c r="C120" s="941"/>
      <c r="D120" s="942">
        <v>2</v>
      </c>
      <c r="E120" s="1116" t="s">
        <v>377</v>
      </c>
      <c r="F120" s="944"/>
      <c r="G120" s="945"/>
      <c r="H120" s="1020"/>
      <c r="I120" s="1104"/>
      <c r="J120" s="1022"/>
      <c r="K120" s="1023"/>
      <c r="L120" s="954"/>
      <c r="M120" s="955"/>
      <c r="N120" s="955"/>
      <c r="O120" s="955"/>
      <c r="P120" s="955"/>
      <c r="Q120" s="955"/>
      <c r="R120" s="955"/>
      <c r="S120" s="955"/>
      <c r="T120" s="955"/>
      <c r="U120" s="956"/>
      <c r="V120" s="1025"/>
    </row>
    <row r="121" spans="2:22" s="807" customFormat="1" ht="16.2">
      <c r="B121" s="940"/>
      <c r="C121" s="941"/>
      <c r="D121" s="942"/>
      <c r="E121" s="2042" t="s">
        <v>429</v>
      </c>
      <c r="F121" s="944" t="s">
        <v>220</v>
      </c>
      <c r="G121" s="945">
        <v>86.613</v>
      </c>
      <c r="H121" s="946">
        <v>86.613</v>
      </c>
      <c r="I121" s="1104">
        <v>31500</v>
      </c>
      <c r="J121" s="1022">
        <f>$H121*I121</f>
        <v>2728309.5</v>
      </c>
      <c r="K121" s="374">
        <f>J121/'REKAP TOTAL'!F44</f>
        <v>2.2438433192984738E-4</v>
      </c>
      <c r="L121" s="954"/>
      <c r="M121" s="955"/>
      <c r="N121" s="955"/>
      <c r="O121" s="955"/>
      <c r="P121" s="955"/>
      <c r="Q121" s="955"/>
      <c r="R121" s="955"/>
      <c r="S121" s="955"/>
      <c r="T121" s="955"/>
      <c r="U121" s="956"/>
      <c r="V121" s="1025"/>
    </row>
    <row r="122" spans="2:22" s="807" customFormat="1" ht="13.8">
      <c r="B122" s="940"/>
      <c r="C122" s="941"/>
      <c r="D122" s="942">
        <v>3</v>
      </c>
      <c r="E122" s="943" t="s">
        <v>430</v>
      </c>
      <c r="F122" s="944"/>
      <c r="G122" s="945"/>
      <c r="H122" s="1020"/>
      <c r="I122" s="1104"/>
      <c r="J122" s="1022"/>
      <c r="K122" s="374"/>
      <c r="L122" s="954"/>
      <c r="M122" s="955"/>
      <c r="N122" s="955"/>
      <c r="O122" s="955"/>
      <c r="P122" s="955"/>
      <c r="Q122" s="955"/>
      <c r="R122" s="955"/>
      <c r="S122" s="955"/>
      <c r="T122" s="955"/>
      <c r="U122" s="956"/>
      <c r="V122" s="1025"/>
    </row>
    <row r="123" spans="2:22" s="807" customFormat="1" ht="16.2">
      <c r="B123" s="940"/>
      <c r="C123" s="941"/>
      <c r="D123" s="942"/>
      <c r="E123" s="2042" t="s">
        <v>431</v>
      </c>
      <c r="F123" s="944" t="s">
        <v>220</v>
      </c>
      <c r="G123" s="945">
        <v>47.323500000000003</v>
      </c>
      <c r="H123" s="946">
        <v>47.323500000000003</v>
      </c>
      <c r="I123" s="1104">
        <v>41700</v>
      </c>
      <c r="J123" s="1022">
        <f>$H123*I123</f>
        <v>1973389.95</v>
      </c>
      <c r="K123" s="374">
        <f>J123/'REKAP TOTAL'!F44</f>
        <v>1.6229749065046502E-4</v>
      </c>
      <c r="L123" s="954"/>
      <c r="M123" s="955"/>
      <c r="N123" s="955"/>
      <c r="O123" s="955"/>
      <c r="P123" s="955"/>
      <c r="Q123" s="955"/>
      <c r="R123" s="955"/>
      <c r="S123" s="955"/>
      <c r="T123" s="955"/>
      <c r="U123" s="956"/>
      <c r="V123" s="1025"/>
    </row>
    <row r="124" spans="2:22" s="807" customFormat="1" ht="13.8">
      <c r="B124" s="940"/>
      <c r="C124" s="941"/>
      <c r="D124" s="942">
        <v>4</v>
      </c>
      <c r="E124" s="943" t="s">
        <v>382</v>
      </c>
      <c r="F124" s="944"/>
      <c r="G124" s="945"/>
      <c r="H124" s="1020"/>
      <c r="I124" s="953"/>
      <c r="J124" s="1022"/>
      <c r="K124" s="1023"/>
      <c r="L124" s="954"/>
      <c r="M124" s="955"/>
      <c r="N124" s="955"/>
      <c r="O124" s="955"/>
      <c r="P124" s="955"/>
      <c r="Q124" s="955"/>
      <c r="R124" s="955"/>
      <c r="S124" s="955"/>
      <c r="T124" s="955"/>
      <c r="U124" s="956"/>
      <c r="V124" s="1025"/>
    </row>
    <row r="125" spans="2:22" s="807" customFormat="1" ht="16.2">
      <c r="B125" s="940"/>
      <c r="C125" s="941"/>
      <c r="D125" s="941"/>
      <c r="E125" s="2041" t="s">
        <v>432</v>
      </c>
      <c r="F125" s="944" t="s">
        <v>220</v>
      </c>
      <c r="G125" s="945">
        <v>379.08</v>
      </c>
      <c r="H125" s="1102">
        <v>379.08</v>
      </c>
      <c r="I125" s="947">
        <v>31500</v>
      </c>
      <c r="J125" s="1212">
        <f t="shared" ref="J125" si="10">$H125*I125</f>
        <v>11941020</v>
      </c>
      <c r="K125" s="374">
        <f>J125/'REKAP TOTAL'!F44</f>
        <v>9.8206519284595325E-4</v>
      </c>
      <c r="L125" s="954"/>
      <c r="M125" s="955"/>
      <c r="N125" s="955"/>
      <c r="O125" s="955"/>
      <c r="P125" s="955"/>
      <c r="Q125" s="955"/>
      <c r="R125" s="955"/>
      <c r="S125" s="955"/>
      <c r="T125" s="955"/>
      <c r="U125" s="956"/>
      <c r="V125" s="1025"/>
    </row>
    <row r="126" spans="2:22">
      <c r="B126" s="1213"/>
      <c r="C126" s="904"/>
      <c r="D126" s="904"/>
      <c r="E126" s="1105"/>
      <c r="F126" s="905"/>
      <c r="G126" s="906"/>
      <c r="H126" s="907"/>
      <c r="I126" s="908"/>
      <c r="J126" s="909"/>
      <c r="K126" s="910"/>
      <c r="L126" s="911"/>
      <c r="M126" s="1004"/>
      <c r="N126" s="1004"/>
      <c r="O126" s="1005"/>
      <c r="P126" s="1006"/>
      <c r="Q126" s="1005"/>
      <c r="R126" s="1007"/>
      <c r="S126" s="1007"/>
      <c r="T126" s="1007"/>
      <c r="U126" s="1138"/>
      <c r="V126" s="1009"/>
    </row>
    <row r="127" spans="2:22" ht="21.75" customHeight="1">
      <c r="B127" s="1095"/>
      <c r="C127" s="1078"/>
      <c r="D127" s="1078"/>
      <c r="E127" s="1079" t="s">
        <v>384</v>
      </c>
      <c r="F127" s="918"/>
      <c r="G127" s="919"/>
      <c r="H127" s="920"/>
      <c r="I127" s="1080"/>
      <c r="J127" s="922">
        <f>SUM(J118:J126)</f>
        <v>19401193.350000001</v>
      </c>
      <c r="K127" s="392">
        <f>J127/'REKAP TOTAL'!F44</f>
        <v>1.5956121578147742E-3</v>
      </c>
      <c r="L127" s="923"/>
      <c r="M127" s="1010"/>
      <c r="N127" s="1010"/>
      <c r="O127" s="1011"/>
      <c r="P127" s="1012"/>
      <c r="Q127" s="1011"/>
      <c r="R127" s="1013"/>
      <c r="S127" s="1013"/>
      <c r="T127" s="1013"/>
      <c r="U127" s="1140"/>
      <c r="V127" s="1015"/>
    </row>
    <row r="128" spans="2:22">
      <c r="B128" s="926"/>
      <c r="C128" s="1081"/>
      <c r="D128" s="1081"/>
      <c r="E128" s="1081"/>
      <c r="F128" s="856"/>
      <c r="G128" s="857"/>
      <c r="H128" s="858"/>
      <c r="I128" s="859"/>
      <c r="J128" s="860"/>
      <c r="K128" s="861"/>
      <c r="L128" s="930"/>
      <c r="M128" s="1016"/>
      <c r="N128" s="1016"/>
      <c r="O128" s="863"/>
      <c r="P128" s="864"/>
      <c r="Q128" s="863"/>
      <c r="R128" s="865"/>
      <c r="S128" s="865"/>
      <c r="T128" s="865"/>
      <c r="U128" s="866"/>
      <c r="V128" s="994"/>
    </row>
    <row r="129" spans="2:22" s="807" customFormat="1" ht="13.8">
      <c r="B129" s="1147" t="s">
        <v>28</v>
      </c>
      <c r="C129" s="1019"/>
      <c r="D129" s="1019"/>
      <c r="E129" s="1019" t="s">
        <v>385</v>
      </c>
      <c r="F129" s="944"/>
      <c r="G129" s="945"/>
      <c r="H129" s="1020"/>
      <c r="I129" s="1021"/>
      <c r="J129" s="1022"/>
      <c r="K129" s="1023"/>
      <c r="L129" s="954"/>
      <c r="M129" s="955"/>
      <c r="N129" s="955"/>
      <c r="O129" s="955"/>
      <c r="P129" s="955"/>
      <c r="Q129" s="955"/>
      <c r="R129" s="955"/>
      <c r="S129" s="955"/>
      <c r="T129" s="955"/>
      <c r="U129" s="956"/>
      <c r="V129" s="1025"/>
    </row>
    <row r="130" spans="2:22" s="807" customFormat="1" ht="13.8">
      <c r="B130" s="1147"/>
      <c r="C130" s="1019"/>
      <c r="D130" s="1019"/>
      <c r="E130" s="1019"/>
      <c r="F130" s="944"/>
      <c r="G130" s="945"/>
      <c r="H130" s="1020"/>
      <c r="I130" s="1021"/>
      <c r="J130" s="1022"/>
      <c r="K130" s="1023"/>
      <c r="L130" s="954"/>
      <c r="M130" s="955"/>
      <c r="N130" s="955"/>
      <c r="O130" s="955"/>
      <c r="P130" s="955"/>
      <c r="Q130" s="955"/>
      <c r="R130" s="955"/>
      <c r="S130" s="955"/>
      <c r="T130" s="955"/>
      <c r="U130" s="956"/>
      <c r="V130" s="1025"/>
    </row>
    <row r="131" spans="2:22" s="807" customFormat="1" ht="13.8">
      <c r="B131" s="940"/>
      <c r="C131" s="941"/>
      <c r="D131" s="941"/>
      <c r="E131" s="1106" t="s">
        <v>433</v>
      </c>
      <c r="F131" s="944"/>
      <c r="G131" s="945"/>
      <c r="H131" s="1020"/>
      <c r="I131" s="1021"/>
      <c r="J131" s="1022"/>
      <c r="K131" s="1023"/>
      <c r="L131" s="954"/>
      <c r="M131" s="955"/>
      <c r="N131" s="955"/>
      <c r="O131" s="955"/>
      <c r="P131" s="955"/>
      <c r="Q131" s="955"/>
      <c r="R131" s="955"/>
      <c r="S131" s="955"/>
      <c r="T131" s="955"/>
      <c r="U131" s="956"/>
      <c r="V131" s="1025"/>
    </row>
    <row r="132" spans="2:22" s="807" customFormat="1" ht="25.5" customHeight="1">
      <c r="B132" s="1214"/>
      <c r="C132" s="1109"/>
      <c r="D132" s="1215">
        <v>1</v>
      </c>
      <c r="E132" s="1216" t="s">
        <v>387</v>
      </c>
      <c r="F132" s="1111" t="s">
        <v>135</v>
      </c>
      <c r="G132" s="1112">
        <v>1</v>
      </c>
      <c r="H132" s="946">
        <v>1</v>
      </c>
      <c r="I132" s="1113">
        <v>594200</v>
      </c>
      <c r="J132" s="1022">
        <f>$H132*I132</f>
        <v>594200</v>
      </c>
      <c r="K132" s="374">
        <f>J132/'REKAP TOTAL'!F44</f>
        <v>4.8868784876758049E-5</v>
      </c>
      <c r="L132" s="954"/>
      <c r="M132" s="955"/>
      <c r="N132" s="955"/>
      <c r="O132" s="955"/>
      <c r="P132" s="955"/>
      <c r="Q132" s="955"/>
      <c r="R132" s="955"/>
      <c r="S132" s="955"/>
      <c r="T132" s="955"/>
      <c r="U132" s="956"/>
      <c r="V132" s="1025"/>
    </row>
    <row r="133" spans="2:22" s="807" customFormat="1" ht="36" customHeight="1">
      <c r="B133" s="1214"/>
      <c r="C133" s="1109"/>
      <c r="D133" s="1215">
        <v>2</v>
      </c>
      <c r="E133" s="1110" t="s">
        <v>388</v>
      </c>
      <c r="F133" s="1111" t="s">
        <v>103</v>
      </c>
      <c r="G133" s="1112">
        <v>3.7488000000000001</v>
      </c>
      <c r="H133" s="946">
        <v>3.7488000000000001</v>
      </c>
      <c r="I133" s="1113">
        <v>942700</v>
      </c>
      <c r="J133" s="1022">
        <f t="shared" ref="J133:J137" si="11">$H133*I133</f>
        <v>3533993.76</v>
      </c>
      <c r="K133" s="374">
        <f>J133/'REKAP TOTAL'!F44</f>
        <v>2.906462147648019E-4</v>
      </c>
      <c r="L133" s="954"/>
      <c r="M133" s="955"/>
      <c r="N133" s="955"/>
      <c r="O133" s="955"/>
      <c r="P133" s="955"/>
      <c r="Q133" s="955"/>
      <c r="R133" s="955"/>
      <c r="S133" s="955"/>
      <c r="T133" s="955"/>
      <c r="U133" s="956"/>
      <c r="V133" s="1025"/>
    </row>
    <row r="134" spans="2:22" s="807" customFormat="1" ht="23.25" customHeight="1">
      <c r="B134" s="1214"/>
      <c r="C134" s="1109"/>
      <c r="D134" s="1215">
        <v>3</v>
      </c>
      <c r="E134" s="1110" t="s">
        <v>389</v>
      </c>
      <c r="F134" s="1111" t="s">
        <v>135</v>
      </c>
      <c r="G134" s="1112">
        <v>1</v>
      </c>
      <c r="H134" s="946">
        <v>1</v>
      </c>
      <c r="I134" s="1113">
        <v>1071000</v>
      </c>
      <c r="J134" s="1022">
        <f t="shared" si="11"/>
        <v>1071000</v>
      </c>
      <c r="K134" s="374">
        <f>J134/'REKAP TOTAL'!F44</f>
        <v>8.8082242684294631E-5</v>
      </c>
      <c r="L134" s="954"/>
      <c r="M134" s="955"/>
      <c r="N134" s="955"/>
      <c r="O134" s="955"/>
      <c r="P134" s="955"/>
      <c r="Q134" s="955"/>
      <c r="R134" s="955"/>
      <c r="S134" s="955"/>
      <c r="T134" s="955"/>
      <c r="U134" s="956"/>
      <c r="V134" s="1025"/>
    </row>
    <row r="135" spans="2:22" s="806" customFormat="1" ht="21.75" customHeight="1">
      <c r="B135" s="1214"/>
      <c r="C135" s="1109"/>
      <c r="D135" s="1215">
        <v>4</v>
      </c>
      <c r="E135" s="1116" t="s">
        <v>390</v>
      </c>
      <c r="F135" s="1111" t="s">
        <v>135</v>
      </c>
      <c r="G135" s="1112">
        <v>1</v>
      </c>
      <c r="H135" s="946">
        <v>1</v>
      </c>
      <c r="I135" s="1113">
        <v>4076500</v>
      </c>
      <c r="J135" s="1022">
        <f t="shared" si="11"/>
        <v>4076500</v>
      </c>
      <c r="K135" s="374">
        <f>J135/'REKAP TOTAL'!F44</f>
        <v>3.3526355023578622E-4</v>
      </c>
      <c r="L135" s="949"/>
      <c r="M135" s="950"/>
      <c r="N135" s="950"/>
      <c r="O135" s="950"/>
      <c r="P135" s="950"/>
      <c r="Q135" s="950"/>
      <c r="R135" s="950"/>
      <c r="S135" s="950"/>
      <c r="T135" s="950"/>
      <c r="U135" s="951"/>
      <c r="V135" s="1115"/>
    </row>
    <row r="136" spans="2:22" s="806" customFormat="1" ht="21.75" customHeight="1">
      <c r="B136" s="1214"/>
      <c r="C136" s="1109"/>
      <c r="D136" s="1215">
        <v>5</v>
      </c>
      <c r="E136" s="1116" t="s">
        <v>391</v>
      </c>
      <c r="F136" s="1111" t="s">
        <v>135</v>
      </c>
      <c r="G136" s="1112">
        <v>3</v>
      </c>
      <c r="H136" s="946">
        <v>3</v>
      </c>
      <c r="I136" s="1113">
        <v>6836400</v>
      </c>
      <c r="J136" s="1022">
        <f t="shared" si="11"/>
        <v>20509200</v>
      </c>
      <c r="K136" s="374">
        <f>J136/'REKAP TOTAL'!F44</f>
        <v>1.6867379380585763E-3</v>
      </c>
      <c r="L136" s="949"/>
      <c r="M136" s="950"/>
      <c r="N136" s="950"/>
      <c r="O136" s="950"/>
      <c r="P136" s="950"/>
      <c r="Q136" s="950"/>
      <c r="R136" s="950"/>
      <c r="S136" s="950"/>
      <c r="T136" s="950"/>
      <c r="U136" s="951"/>
      <c r="V136" s="1115"/>
    </row>
    <row r="137" spans="2:22" s="806" customFormat="1" ht="21.75" customHeight="1">
      <c r="B137" s="1214"/>
      <c r="C137" s="1109"/>
      <c r="D137" s="1215">
        <v>6</v>
      </c>
      <c r="E137" s="1116" t="s">
        <v>392</v>
      </c>
      <c r="F137" s="1111" t="s">
        <v>135</v>
      </c>
      <c r="G137" s="1112">
        <v>3</v>
      </c>
      <c r="H137" s="946">
        <v>3</v>
      </c>
      <c r="I137" s="1113">
        <v>2134600</v>
      </c>
      <c r="J137" s="1022">
        <f t="shared" si="11"/>
        <v>6403800</v>
      </c>
      <c r="K137" s="374">
        <f>J137/'REKAP TOTAL'!F44</f>
        <v>5.2666766171959468E-4</v>
      </c>
      <c r="L137" s="949"/>
      <c r="M137" s="950"/>
      <c r="N137" s="950"/>
      <c r="O137" s="950"/>
      <c r="P137" s="950"/>
      <c r="Q137" s="950"/>
      <c r="R137" s="950"/>
      <c r="S137" s="950"/>
      <c r="T137" s="950"/>
      <c r="U137" s="951"/>
      <c r="V137" s="1115"/>
    </row>
    <row r="138" spans="2:22" s="806" customFormat="1" ht="21.75" customHeight="1">
      <c r="B138" s="1217"/>
      <c r="C138" s="1119"/>
      <c r="D138" s="1119"/>
      <c r="E138" s="1218"/>
      <c r="F138" s="1219"/>
      <c r="G138" s="1121"/>
      <c r="H138" s="1220"/>
      <c r="I138" s="1221"/>
      <c r="J138" s="1036"/>
      <c r="K138" s="1037"/>
      <c r="L138" s="1222"/>
      <c r="M138" s="1223"/>
      <c r="N138" s="1223"/>
      <c r="O138" s="1223"/>
      <c r="P138" s="1223"/>
      <c r="Q138" s="1223"/>
      <c r="R138" s="1223"/>
      <c r="S138" s="1223"/>
      <c r="T138" s="1223"/>
      <c r="U138" s="1224"/>
      <c r="V138" s="1225"/>
    </row>
    <row r="139" spans="2:22" s="807" customFormat="1" ht="21" customHeight="1">
      <c r="B139" s="978"/>
      <c r="C139" s="980"/>
      <c r="D139" s="980"/>
      <c r="E139" s="980" t="s">
        <v>393</v>
      </c>
      <c r="F139" s="981"/>
      <c r="G139" s="982"/>
      <c r="H139" s="983"/>
      <c r="I139" s="984"/>
      <c r="J139" s="985">
        <f>SUM(J131:J138)</f>
        <v>36188693.759999998</v>
      </c>
      <c r="K139" s="392">
        <f>J139/'REKAP TOTAL'!F44</f>
        <v>2.9762663923398117E-3</v>
      </c>
      <c r="L139" s="986"/>
      <c r="M139" s="987"/>
      <c r="N139" s="987"/>
      <c r="O139" s="987"/>
      <c r="P139" s="987"/>
      <c r="Q139" s="987"/>
      <c r="R139" s="987"/>
      <c r="S139" s="987"/>
      <c r="T139" s="987"/>
      <c r="U139" s="988"/>
      <c r="V139" s="1043"/>
    </row>
    <row r="140" spans="2:22" ht="20.25" customHeight="1">
      <c r="B140" s="1198"/>
      <c r="C140" s="1073"/>
      <c r="D140" s="1073"/>
      <c r="E140" s="1073"/>
      <c r="F140" s="856"/>
      <c r="G140" s="857"/>
      <c r="H140" s="858"/>
      <c r="I140" s="859"/>
      <c r="J140" s="860"/>
      <c r="K140" s="861"/>
      <c r="L140" s="930"/>
      <c r="M140" s="1016"/>
      <c r="N140" s="1016"/>
      <c r="O140" s="863"/>
      <c r="P140" s="864"/>
      <c r="Q140" s="863"/>
      <c r="R140" s="865"/>
      <c r="S140" s="865"/>
      <c r="T140" s="865"/>
      <c r="U140" s="866"/>
      <c r="V140" s="994"/>
    </row>
    <row r="141" spans="2:22" ht="20.25" customHeight="1">
      <c r="B141" s="939" t="s">
        <v>169</v>
      </c>
      <c r="C141" s="869"/>
      <c r="D141" s="869"/>
      <c r="E141" s="869" t="s">
        <v>149</v>
      </c>
      <c r="F141" s="870"/>
      <c r="G141" s="871"/>
      <c r="H141" s="872"/>
      <c r="I141" s="873"/>
      <c r="J141" s="874"/>
      <c r="K141" s="875"/>
      <c r="L141" s="897"/>
      <c r="M141" s="898"/>
      <c r="N141" s="898"/>
      <c r="O141" s="877"/>
      <c r="P141" s="878"/>
      <c r="Q141" s="877"/>
      <c r="R141" s="879"/>
      <c r="S141" s="879"/>
      <c r="T141" s="879"/>
      <c r="U141" s="880"/>
      <c r="V141" s="996"/>
    </row>
    <row r="142" spans="2:22" ht="20.25" customHeight="1">
      <c r="B142" s="890"/>
      <c r="C142" s="891"/>
      <c r="D142" s="891"/>
      <c r="E142" s="891"/>
      <c r="F142" s="870"/>
      <c r="G142" s="871"/>
      <c r="H142" s="872"/>
      <c r="I142" s="873"/>
      <c r="J142" s="874"/>
      <c r="K142" s="875"/>
      <c r="L142" s="897"/>
      <c r="M142" s="898"/>
      <c r="N142" s="898"/>
      <c r="O142" s="877"/>
      <c r="P142" s="878"/>
      <c r="Q142" s="877"/>
      <c r="R142" s="879"/>
      <c r="S142" s="879"/>
      <c r="T142" s="879"/>
      <c r="U142" s="880"/>
      <c r="V142" s="996"/>
    </row>
    <row r="143" spans="2:22" ht="20.25" customHeight="1">
      <c r="B143" s="940">
        <v>1</v>
      </c>
      <c r="C143" s="941"/>
      <c r="D143" s="941"/>
      <c r="E143" s="1226" t="s">
        <v>434</v>
      </c>
      <c r="F143" s="944"/>
      <c r="G143" s="945"/>
      <c r="H143" s="946"/>
      <c r="I143" s="1021"/>
      <c r="J143" s="1022"/>
      <c r="K143" s="1023"/>
      <c r="L143" s="897"/>
      <c r="M143" s="898"/>
      <c r="N143" s="898"/>
      <c r="O143" s="877"/>
      <c r="P143" s="878"/>
      <c r="Q143" s="877"/>
      <c r="R143" s="879"/>
      <c r="S143" s="879"/>
      <c r="T143" s="879"/>
      <c r="U143" s="880"/>
      <c r="V143" s="996"/>
    </row>
    <row r="144" spans="2:22" ht="20.25" customHeight="1">
      <c r="B144" s="940"/>
      <c r="C144" s="941"/>
      <c r="D144" s="941"/>
      <c r="E144" s="1226"/>
      <c r="F144" s="944"/>
      <c r="G144" s="945"/>
      <c r="H144" s="946"/>
      <c r="I144" s="1021"/>
      <c r="J144" s="1022"/>
      <c r="K144" s="1023"/>
      <c r="L144" s="897"/>
      <c r="M144" s="898"/>
      <c r="N144" s="898"/>
      <c r="O144" s="877"/>
      <c r="P144" s="878"/>
      <c r="Q144" s="877"/>
      <c r="R144" s="879"/>
      <c r="S144" s="879"/>
      <c r="T144" s="879"/>
      <c r="U144" s="880"/>
      <c r="V144" s="996"/>
    </row>
    <row r="145" spans="2:22" ht="20.25" customHeight="1">
      <c r="B145" s="940"/>
      <c r="C145" s="1019" t="s">
        <v>32</v>
      </c>
      <c r="D145" s="941"/>
      <c r="E145" s="1227" t="s">
        <v>35</v>
      </c>
      <c r="F145" s="944"/>
      <c r="G145" s="945"/>
      <c r="H145" s="946"/>
      <c r="I145" s="1021"/>
      <c r="J145" s="1022"/>
      <c r="K145" s="1023"/>
      <c r="L145" s="897"/>
      <c r="M145" s="898"/>
      <c r="N145" s="898"/>
      <c r="O145" s="877"/>
      <c r="P145" s="878"/>
      <c r="Q145" s="877"/>
      <c r="R145" s="879"/>
      <c r="S145" s="879"/>
      <c r="T145" s="879"/>
      <c r="U145" s="880"/>
      <c r="V145" s="996"/>
    </row>
    <row r="146" spans="2:22" ht="18" customHeight="1">
      <c r="B146" s="940"/>
      <c r="C146" s="941"/>
      <c r="D146" s="941">
        <v>1</v>
      </c>
      <c r="E146" s="952" t="s">
        <v>435</v>
      </c>
      <c r="F146" s="944" t="s">
        <v>103</v>
      </c>
      <c r="G146" s="945">
        <v>5</v>
      </c>
      <c r="H146" s="946">
        <v>5</v>
      </c>
      <c r="I146" s="1021">
        <v>59900</v>
      </c>
      <c r="J146" s="1022">
        <f t="shared" ref="J146:J155" si="12">$H146*I146</f>
        <v>299500</v>
      </c>
      <c r="K146" s="374">
        <f>J146/'REKAP TOTAL'!F44</f>
        <v>2.4631775615262597E-5</v>
      </c>
      <c r="L146" s="897"/>
      <c r="M146" s="898"/>
      <c r="N146" s="898"/>
      <c r="O146" s="877"/>
      <c r="P146" s="878"/>
      <c r="Q146" s="877"/>
      <c r="R146" s="879"/>
      <c r="S146" s="879"/>
      <c r="T146" s="879"/>
      <c r="U146" s="880"/>
      <c r="V146" s="996"/>
    </row>
    <row r="147" spans="2:22" ht="33.75" customHeight="1">
      <c r="B147" s="940"/>
      <c r="C147" s="941"/>
      <c r="D147" s="941">
        <v>2</v>
      </c>
      <c r="E147" s="952" t="s">
        <v>436</v>
      </c>
      <c r="F147" s="944" t="s">
        <v>103</v>
      </c>
      <c r="G147" s="945">
        <v>5</v>
      </c>
      <c r="H147" s="946">
        <v>5</v>
      </c>
      <c r="I147" s="1021">
        <v>186900</v>
      </c>
      <c r="J147" s="1022">
        <f t="shared" si="12"/>
        <v>934500</v>
      </c>
      <c r="K147" s="374">
        <f>J147/'REKAP TOTAL'!F44</f>
        <v>7.6856074499041387E-5</v>
      </c>
      <c r="L147" s="897"/>
      <c r="M147" s="898"/>
      <c r="N147" s="898"/>
      <c r="O147" s="877"/>
      <c r="P147" s="878"/>
      <c r="Q147" s="877"/>
      <c r="R147" s="879"/>
      <c r="S147" s="879"/>
      <c r="T147" s="879"/>
      <c r="U147" s="880"/>
      <c r="V147" s="996"/>
    </row>
    <row r="148" spans="2:22" ht="21" customHeight="1">
      <c r="B148" s="940"/>
      <c r="C148" s="941"/>
      <c r="D148" s="941">
        <v>3</v>
      </c>
      <c r="E148" s="952" t="s">
        <v>371</v>
      </c>
      <c r="F148" s="944" t="s">
        <v>88</v>
      </c>
      <c r="G148" s="945">
        <v>9</v>
      </c>
      <c r="H148" s="946">
        <v>9</v>
      </c>
      <c r="I148" s="1021">
        <v>26000</v>
      </c>
      <c r="J148" s="1022">
        <f t="shared" si="12"/>
        <v>234000</v>
      </c>
      <c r="K148" s="374">
        <f>J148/'REKAP TOTAL'!F44</f>
        <v>1.9244859746148407E-5</v>
      </c>
      <c r="L148" s="897"/>
      <c r="M148" s="898"/>
      <c r="N148" s="898"/>
      <c r="O148" s="877"/>
      <c r="P148" s="878"/>
      <c r="Q148" s="877"/>
      <c r="R148" s="879"/>
      <c r="S148" s="879"/>
      <c r="T148" s="879"/>
      <c r="U148" s="880"/>
      <c r="V148" s="996"/>
    </row>
    <row r="149" spans="2:22">
      <c r="B149" s="940"/>
      <c r="C149" s="941"/>
      <c r="D149" s="941">
        <v>4</v>
      </c>
      <c r="E149" s="952" t="s">
        <v>437</v>
      </c>
      <c r="F149" s="944" t="s">
        <v>103</v>
      </c>
      <c r="G149" s="945">
        <v>4.6219999999999999</v>
      </c>
      <c r="H149" s="946">
        <v>4.6219999999999999</v>
      </c>
      <c r="I149" s="1021">
        <v>41700</v>
      </c>
      <c r="J149" s="1022">
        <f t="shared" si="12"/>
        <v>192737.4</v>
      </c>
      <c r="K149" s="374">
        <f>J149/'REKAP TOTAL'!F44</f>
        <v>1.585130013178335E-5</v>
      </c>
      <c r="L149" s="897"/>
      <c r="M149" s="898"/>
      <c r="N149" s="898"/>
      <c r="O149" s="877"/>
      <c r="P149" s="878"/>
      <c r="Q149" s="877"/>
      <c r="R149" s="879"/>
      <c r="S149" s="879"/>
      <c r="T149" s="879"/>
      <c r="U149" s="880"/>
      <c r="V149" s="996"/>
    </row>
    <row r="150" spans="2:22" ht="48" customHeight="1">
      <c r="B150" s="940"/>
      <c r="C150" s="941"/>
      <c r="D150" s="941">
        <v>5</v>
      </c>
      <c r="E150" s="952" t="s">
        <v>375</v>
      </c>
      <c r="F150" s="944" t="s">
        <v>103</v>
      </c>
      <c r="G150" s="945">
        <v>11.555</v>
      </c>
      <c r="H150" s="946">
        <v>11.555</v>
      </c>
      <c r="I150" s="1021">
        <v>41700</v>
      </c>
      <c r="J150" s="1022">
        <f t="shared" si="12"/>
        <v>481843.5</v>
      </c>
      <c r="K150" s="374">
        <f>J150/'REKAP TOTAL'!F44</f>
        <v>3.9628250329458376E-5</v>
      </c>
      <c r="L150" s="897"/>
      <c r="M150" s="898"/>
      <c r="N150" s="898"/>
      <c r="O150" s="877"/>
      <c r="P150" s="878"/>
      <c r="Q150" s="877"/>
      <c r="R150" s="879"/>
      <c r="S150" s="879"/>
      <c r="T150" s="879"/>
      <c r="U150" s="880"/>
      <c r="V150" s="996"/>
    </row>
    <row r="151" spans="2:22" ht="37.5" customHeight="1">
      <c r="B151" s="940"/>
      <c r="C151" s="941"/>
      <c r="D151" s="941">
        <v>6</v>
      </c>
      <c r="E151" s="952" t="s">
        <v>438</v>
      </c>
      <c r="F151" s="944" t="s">
        <v>103</v>
      </c>
      <c r="G151" s="945">
        <v>5</v>
      </c>
      <c r="H151" s="946">
        <v>5</v>
      </c>
      <c r="I151" s="1021">
        <v>31500</v>
      </c>
      <c r="J151" s="1022">
        <f t="shared" si="12"/>
        <v>157500</v>
      </c>
      <c r="K151" s="374">
        <f>J151/'REKAP TOTAL'!F44</f>
        <v>1.2953270982984503E-5</v>
      </c>
      <c r="L151" s="897"/>
      <c r="M151" s="898"/>
      <c r="N151" s="898"/>
      <c r="O151" s="877"/>
      <c r="P151" s="878"/>
      <c r="Q151" s="877"/>
      <c r="R151" s="879"/>
      <c r="S151" s="879"/>
      <c r="T151" s="879"/>
      <c r="U151" s="880"/>
      <c r="V151" s="996"/>
    </row>
    <row r="152" spans="2:22" ht="22.5" customHeight="1">
      <c r="B152" s="940"/>
      <c r="C152" s="941"/>
      <c r="D152" s="941">
        <v>7</v>
      </c>
      <c r="E152" s="952" t="s">
        <v>439</v>
      </c>
      <c r="F152" s="944"/>
      <c r="G152" s="945"/>
      <c r="H152" s="946">
        <v>0</v>
      </c>
      <c r="I152" s="1021">
        <v>0</v>
      </c>
      <c r="J152" s="1022">
        <f t="shared" si="12"/>
        <v>0</v>
      </c>
      <c r="K152" s="1023"/>
      <c r="L152" s="897"/>
      <c r="M152" s="898"/>
      <c r="N152" s="898"/>
      <c r="O152" s="877"/>
      <c r="P152" s="878"/>
      <c r="Q152" s="877"/>
      <c r="R152" s="879"/>
      <c r="S152" s="879"/>
      <c r="T152" s="879"/>
      <c r="U152" s="880"/>
      <c r="V152" s="996"/>
    </row>
    <row r="153" spans="2:22" s="1127" customFormat="1" ht="22.5" customHeight="1">
      <c r="B153" s="890"/>
      <c r="C153" s="889"/>
      <c r="D153" s="965" t="s">
        <v>440</v>
      </c>
      <c r="E153" s="952" t="s">
        <v>441</v>
      </c>
      <c r="F153" s="870" t="s">
        <v>135</v>
      </c>
      <c r="G153" s="871">
        <v>1</v>
      </c>
      <c r="H153" s="1228">
        <v>1</v>
      </c>
      <c r="I153" s="898">
        <v>2228800</v>
      </c>
      <c r="J153" s="1022">
        <f t="shared" si="12"/>
        <v>2228800</v>
      </c>
      <c r="K153" s="374">
        <f>J153/'REKAP TOTAL'!F44</f>
        <v>1.8330317693254517E-4</v>
      </c>
      <c r="L153" s="1229"/>
      <c r="M153" s="1230"/>
      <c r="N153" s="1230"/>
      <c r="O153" s="1230"/>
      <c r="P153" s="1230"/>
      <c r="Q153" s="1230"/>
      <c r="R153" s="1230"/>
      <c r="S153" s="1230"/>
      <c r="T153" s="1230"/>
      <c r="U153" s="1231"/>
      <c r="V153" s="1232"/>
    </row>
    <row r="154" spans="2:22" s="1127" customFormat="1" ht="22.5" customHeight="1">
      <c r="B154" s="890"/>
      <c r="C154" s="891"/>
      <c r="D154" s="941"/>
      <c r="E154" s="2043" t="s">
        <v>442</v>
      </c>
      <c r="F154" s="870"/>
      <c r="G154" s="871"/>
      <c r="H154" s="1233">
        <v>0</v>
      </c>
      <c r="I154" s="873">
        <v>0</v>
      </c>
      <c r="J154" s="1022">
        <f t="shared" si="12"/>
        <v>0</v>
      </c>
      <c r="K154" s="1023"/>
      <c r="L154" s="1229"/>
      <c r="M154" s="1230"/>
      <c r="N154" s="1230"/>
      <c r="O154" s="1230"/>
      <c r="P154" s="1230"/>
      <c r="Q154" s="1230"/>
      <c r="R154" s="1230"/>
      <c r="S154" s="1230"/>
      <c r="T154" s="1230"/>
      <c r="U154" s="1231"/>
      <c r="V154" s="1232"/>
    </row>
    <row r="155" spans="2:22" s="1127" customFormat="1" ht="22.5" customHeight="1">
      <c r="B155" s="890"/>
      <c r="C155" s="889"/>
      <c r="D155" s="892" t="s">
        <v>443</v>
      </c>
      <c r="E155" s="952" t="s">
        <v>444</v>
      </c>
      <c r="F155" s="870" t="s">
        <v>135</v>
      </c>
      <c r="G155" s="871">
        <v>1</v>
      </c>
      <c r="H155" s="1228">
        <v>1</v>
      </c>
      <c r="I155" s="898">
        <v>1795200</v>
      </c>
      <c r="J155" s="1022">
        <f t="shared" si="12"/>
        <v>1795200</v>
      </c>
      <c r="K155" s="374">
        <f>J155/'REKAP TOTAL'!F44</f>
        <v>1.4764261630891289E-4</v>
      </c>
      <c r="L155" s="1229"/>
      <c r="M155" s="1230"/>
      <c r="N155" s="1230"/>
      <c r="O155" s="1230"/>
      <c r="P155" s="1230"/>
      <c r="Q155" s="1230"/>
      <c r="R155" s="1230"/>
      <c r="S155" s="1230"/>
      <c r="T155" s="1230"/>
      <c r="U155" s="1231"/>
      <c r="V155" s="1232"/>
    </row>
    <row r="156" spans="2:22" s="1127" customFormat="1" ht="13.8">
      <c r="B156" s="890"/>
      <c r="C156" s="891"/>
      <c r="D156" s="891"/>
      <c r="E156" s="2043" t="s">
        <v>442</v>
      </c>
      <c r="F156" s="870"/>
      <c r="G156" s="871"/>
      <c r="H156" s="1233"/>
      <c r="I156" s="873"/>
      <c r="J156" s="874"/>
      <c r="K156" s="875"/>
      <c r="L156" s="1229"/>
      <c r="M156" s="1230"/>
      <c r="N156" s="1230"/>
      <c r="O156" s="1230"/>
      <c r="P156" s="1230"/>
      <c r="Q156" s="1230"/>
      <c r="R156" s="1230"/>
      <c r="S156" s="1230"/>
      <c r="T156" s="1230"/>
      <c r="U156" s="1231"/>
      <c r="V156" s="1232"/>
    </row>
    <row r="157" spans="2:22">
      <c r="B157" s="940"/>
      <c r="C157" s="941"/>
      <c r="D157" s="941"/>
      <c r="E157" s="952"/>
      <c r="F157" s="944"/>
      <c r="G157" s="945"/>
      <c r="H157" s="946"/>
      <c r="I157" s="1021"/>
      <c r="J157" s="1022"/>
      <c r="K157" s="1023"/>
      <c r="L157" s="897"/>
      <c r="M157" s="898"/>
      <c r="N157" s="898"/>
      <c r="O157" s="877"/>
      <c r="P157" s="878"/>
      <c r="Q157" s="877"/>
      <c r="R157" s="879"/>
      <c r="S157" s="879"/>
      <c r="T157" s="879"/>
      <c r="U157" s="880"/>
      <c r="V157" s="996"/>
    </row>
    <row r="158" spans="2:22">
      <c r="B158" s="940"/>
      <c r="C158" s="1019" t="s">
        <v>34</v>
      </c>
      <c r="D158" s="941"/>
      <c r="E158" s="1227" t="s">
        <v>33</v>
      </c>
      <c r="F158" s="944"/>
      <c r="G158" s="945"/>
      <c r="H158" s="946"/>
      <c r="I158" s="1021"/>
      <c r="J158" s="1022"/>
      <c r="K158" s="1023"/>
      <c r="L158" s="897"/>
      <c r="M158" s="898"/>
      <c r="N158" s="898"/>
      <c r="O158" s="877"/>
      <c r="P158" s="878"/>
      <c r="Q158" s="877"/>
      <c r="R158" s="879"/>
      <c r="S158" s="879"/>
      <c r="T158" s="879"/>
      <c r="U158" s="880"/>
      <c r="V158" s="996"/>
    </row>
    <row r="159" spans="2:22">
      <c r="B159" s="940"/>
      <c r="C159" s="1019"/>
      <c r="D159" s="941"/>
      <c r="E159" s="1227"/>
      <c r="F159" s="944"/>
      <c r="G159" s="945"/>
      <c r="H159" s="946"/>
      <c r="I159" s="1021"/>
      <c r="J159" s="1022"/>
      <c r="K159" s="1023"/>
      <c r="L159" s="897"/>
      <c r="M159" s="898"/>
      <c r="N159" s="898"/>
      <c r="O159" s="877"/>
      <c r="P159" s="878"/>
      <c r="Q159" s="877"/>
      <c r="R159" s="879"/>
      <c r="S159" s="879"/>
      <c r="T159" s="879"/>
      <c r="U159" s="880"/>
      <c r="V159" s="996"/>
    </row>
    <row r="160" spans="2:22">
      <c r="B160" s="940"/>
      <c r="C160" s="1019"/>
      <c r="D160" s="1088" t="s">
        <v>440</v>
      </c>
      <c r="E160" s="1227" t="s">
        <v>445</v>
      </c>
      <c r="F160" s="944"/>
      <c r="G160" s="945"/>
      <c r="H160" s="946"/>
      <c r="I160" s="1021"/>
      <c r="J160" s="1022"/>
      <c r="K160" s="1023"/>
      <c r="L160" s="897"/>
      <c r="M160" s="898"/>
      <c r="N160" s="898"/>
      <c r="O160" s="877"/>
      <c r="P160" s="878"/>
      <c r="Q160" s="877"/>
      <c r="R160" s="879"/>
      <c r="S160" s="879"/>
      <c r="T160" s="879"/>
      <c r="U160" s="880"/>
      <c r="V160" s="996"/>
    </row>
    <row r="161" spans="2:22" s="1125" customFormat="1" ht="13.8">
      <c r="B161" s="940"/>
      <c r="C161" s="942"/>
      <c r="D161" s="942">
        <v>1</v>
      </c>
      <c r="E161" s="1234" t="s">
        <v>184</v>
      </c>
      <c r="F161" s="944"/>
      <c r="G161" s="1235"/>
      <c r="H161" s="1102"/>
      <c r="I161" s="1149"/>
      <c r="J161" s="948"/>
      <c r="K161" s="966"/>
      <c r="L161" s="1150"/>
      <c r="M161" s="1151"/>
      <c r="N161" s="1151"/>
      <c r="O161" s="1151"/>
      <c r="P161" s="1151"/>
      <c r="Q161" s="1151"/>
      <c r="R161" s="1151"/>
      <c r="S161" s="1151"/>
      <c r="T161" s="1151"/>
      <c r="U161" s="1083"/>
      <c r="V161" s="1152"/>
    </row>
    <row r="162" spans="2:22" s="1125" customFormat="1" ht="16.2">
      <c r="B162" s="957"/>
      <c r="C162" s="1236"/>
      <c r="D162" s="965" t="s">
        <v>185</v>
      </c>
      <c r="E162" s="941" t="s">
        <v>446</v>
      </c>
      <c r="F162" s="944" t="s">
        <v>187</v>
      </c>
      <c r="G162" s="1235">
        <v>2.1295999999999999</v>
      </c>
      <c r="H162" s="946">
        <v>2.1295999999999999</v>
      </c>
      <c r="I162" s="1202">
        <v>143200</v>
      </c>
      <c r="J162" s="1022">
        <f t="shared" ref="J162:J163" si="13">$H162*I162</f>
        <v>304958.71999999997</v>
      </c>
      <c r="K162" s="374">
        <f>J162/'REKAP TOTAL'!F44</f>
        <v>2.5080717071645054E-5</v>
      </c>
      <c r="L162" s="1150"/>
      <c r="M162" s="1151"/>
      <c r="N162" s="1151"/>
      <c r="O162" s="1151"/>
      <c r="P162" s="1151"/>
      <c r="Q162" s="1151"/>
      <c r="R162" s="1151"/>
      <c r="S162" s="1151"/>
      <c r="T162" s="1151"/>
      <c r="U162" s="1083"/>
      <c r="V162" s="1152"/>
    </row>
    <row r="163" spans="2:22" s="1125" customFormat="1" ht="16.2">
      <c r="B163" s="957"/>
      <c r="C163" s="1236"/>
      <c r="D163" s="965" t="s">
        <v>188</v>
      </c>
      <c r="E163" s="941" t="s">
        <v>189</v>
      </c>
      <c r="F163" s="944" t="s">
        <v>187</v>
      </c>
      <c r="G163" s="1235">
        <v>1.4652000000000001</v>
      </c>
      <c r="H163" s="946">
        <v>1.4652000000000001</v>
      </c>
      <c r="I163" s="1237">
        <v>143200</v>
      </c>
      <c r="J163" s="1022">
        <f t="shared" si="13"/>
        <v>209816.64</v>
      </c>
      <c r="K163" s="374">
        <f>J163/'REKAP TOTAL'!F44</f>
        <v>1.7255947902598766E-5</v>
      </c>
      <c r="L163" s="1150"/>
      <c r="M163" s="1151"/>
      <c r="N163" s="1151"/>
      <c r="O163" s="1151"/>
      <c r="P163" s="1151"/>
      <c r="Q163" s="1151"/>
      <c r="R163" s="1151"/>
      <c r="S163" s="1151"/>
      <c r="T163" s="1151"/>
      <c r="U163" s="1083"/>
      <c r="V163" s="1152"/>
    </row>
    <row r="164" spans="2:22" s="1125" customFormat="1" ht="13.8">
      <c r="B164" s="940"/>
      <c r="C164" s="942"/>
      <c r="D164" s="942">
        <v>2</v>
      </c>
      <c r="E164" s="1234" t="s">
        <v>190</v>
      </c>
      <c r="F164" s="944"/>
      <c r="G164" s="1235"/>
      <c r="H164" s="1102"/>
      <c r="I164" s="1149"/>
      <c r="J164" s="948"/>
      <c r="K164" s="966"/>
      <c r="L164" s="1150"/>
      <c r="M164" s="1151"/>
      <c r="N164" s="1151"/>
      <c r="O164" s="1151"/>
      <c r="P164" s="1151"/>
      <c r="Q164" s="1151"/>
      <c r="R164" s="1151"/>
      <c r="S164" s="1151"/>
      <c r="T164" s="1151"/>
      <c r="U164" s="1083"/>
      <c r="V164" s="1152"/>
    </row>
    <row r="165" spans="2:22" s="1125" customFormat="1" ht="13.8">
      <c r="B165" s="940"/>
      <c r="C165" s="942"/>
      <c r="D165" s="942"/>
      <c r="E165" s="941" t="s">
        <v>191</v>
      </c>
      <c r="F165" s="944"/>
      <c r="G165" s="1235"/>
      <c r="H165" s="1102"/>
      <c r="I165" s="1149"/>
      <c r="J165" s="948"/>
      <c r="K165" s="966"/>
      <c r="L165" s="1150"/>
      <c r="M165" s="1151"/>
      <c r="N165" s="1151"/>
      <c r="O165" s="1151"/>
      <c r="P165" s="1151"/>
      <c r="Q165" s="1151"/>
      <c r="R165" s="1151"/>
      <c r="S165" s="1151"/>
      <c r="T165" s="1151"/>
      <c r="U165" s="1083"/>
      <c r="V165" s="1152"/>
    </row>
    <row r="166" spans="2:22" s="1125" customFormat="1" ht="16.2">
      <c r="B166" s="957"/>
      <c r="C166" s="965"/>
      <c r="D166" s="965" t="s">
        <v>185</v>
      </c>
      <c r="E166" s="941" t="s">
        <v>446</v>
      </c>
      <c r="F166" s="944" t="s">
        <v>187</v>
      </c>
      <c r="G166" s="1235">
        <v>0.8296</v>
      </c>
      <c r="H166" s="946">
        <v>0.8296</v>
      </c>
      <c r="I166" s="1202">
        <v>65300</v>
      </c>
      <c r="J166" s="1022">
        <f t="shared" ref="J166:J167" si="14">$H166*I166</f>
        <v>54172.88</v>
      </c>
      <c r="K166" s="374">
        <f>J166/'REKAP TOTAL'!F44</f>
        <v>4.4553396480552479E-6</v>
      </c>
      <c r="L166" s="1150"/>
      <c r="M166" s="1151"/>
      <c r="N166" s="1151"/>
      <c r="O166" s="1151"/>
      <c r="P166" s="1151"/>
      <c r="Q166" s="1151"/>
      <c r="R166" s="1151"/>
      <c r="S166" s="1151"/>
      <c r="T166" s="1151"/>
      <c r="U166" s="1083"/>
      <c r="V166" s="1152"/>
    </row>
    <row r="167" spans="2:22" s="1125" customFormat="1" ht="16.2">
      <c r="B167" s="957"/>
      <c r="C167" s="965"/>
      <c r="D167" s="965" t="s">
        <v>188</v>
      </c>
      <c r="E167" s="941" t="s">
        <v>189</v>
      </c>
      <c r="F167" s="944" t="s">
        <v>187</v>
      </c>
      <c r="G167" s="1235">
        <v>0.53280000000000005</v>
      </c>
      <c r="H167" s="946">
        <v>0.53280000000000005</v>
      </c>
      <c r="I167" s="1237">
        <v>65300</v>
      </c>
      <c r="J167" s="1022">
        <f t="shared" si="14"/>
        <v>34791.839999999997</v>
      </c>
      <c r="K167" s="374">
        <f>J167/'REKAP TOTAL'!F44</f>
        <v>2.8613849620104097E-6</v>
      </c>
      <c r="L167" s="1150"/>
      <c r="M167" s="1151"/>
      <c r="N167" s="1151"/>
      <c r="O167" s="1151"/>
      <c r="P167" s="1151"/>
      <c r="Q167" s="1151"/>
      <c r="R167" s="1151"/>
      <c r="S167" s="1151"/>
      <c r="T167" s="1151"/>
      <c r="U167" s="1083"/>
      <c r="V167" s="1152"/>
    </row>
    <row r="168" spans="2:22" s="1125" customFormat="1" ht="13.8">
      <c r="B168" s="940"/>
      <c r="C168" s="942"/>
      <c r="D168" s="942">
        <v>3</v>
      </c>
      <c r="E168" s="2044" t="s">
        <v>192</v>
      </c>
      <c r="F168" s="944"/>
      <c r="G168" s="1235"/>
      <c r="H168" s="1102"/>
      <c r="I168" s="1149"/>
      <c r="J168" s="948"/>
      <c r="K168" s="966"/>
      <c r="L168" s="1150"/>
      <c r="M168" s="1151"/>
      <c r="N168" s="1151"/>
      <c r="O168" s="1151"/>
      <c r="P168" s="1151"/>
      <c r="Q168" s="1151"/>
      <c r="R168" s="1151"/>
      <c r="S168" s="1151"/>
      <c r="T168" s="1151"/>
      <c r="U168" s="1083"/>
      <c r="V168" s="1152"/>
    </row>
    <row r="169" spans="2:22" s="1125" customFormat="1" ht="16.2">
      <c r="B169" s="957"/>
      <c r="C169" s="965"/>
      <c r="D169" s="965" t="s">
        <v>185</v>
      </c>
      <c r="E169" s="941" t="s">
        <v>446</v>
      </c>
      <c r="F169" s="944" t="s">
        <v>187</v>
      </c>
      <c r="G169" s="1235">
        <v>1.3</v>
      </c>
      <c r="H169" s="946">
        <v>1.3</v>
      </c>
      <c r="I169" s="1202">
        <v>101500</v>
      </c>
      <c r="J169" s="1022">
        <f t="shared" ref="J169:J170" si="15">$H169*I169</f>
        <v>131950</v>
      </c>
      <c r="K169" s="374">
        <f>J169/'REKAP TOTAL'!F44</f>
        <v>1.0851962579078128E-5</v>
      </c>
      <c r="L169" s="1150"/>
      <c r="M169" s="1151"/>
      <c r="N169" s="1151"/>
      <c r="O169" s="1151"/>
      <c r="P169" s="1151"/>
      <c r="Q169" s="1151"/>
      <c r="R169" s="1151"/>
      <c r="S169" s="1151"/>
      <c r="T169" s="1151"/>
      <c r="U169" s="1083"/>
      <c r="V169" s="1152"/>
    </row>
    <row r="170" spans="2:22" s="1125" customFormat="1" ht="16.2">
      <c r="B170" s="957"/>
      <c r="C170" s="965"/>
      <c r="D170" s="965" t="s">
        <v>188</v>
      </c>
      <c r="E170" s="941" t="s">
        <v>189</v>
      </c>
      <c r="F170" s="944" t="s">
        <v>187</v>
      </c>
      <c r="G170" s="1235">
        <v>0.93240000000000001</v>
      </c>
      <c r="H170" s="946">
        <v>0.93240000000000001</v>
      </c>
      <c r="I170" s="1237">
        <v>101500</v>
      </c>
      <c r="J170" s="1022">
        <f t="shared" si="15"/>
        <v>94638.6</v>
      </c>
      <c r="K170" s="374">
        <f>J170/'REKAP TOTAL'!F44</f>
        <v>7.7833614682557297E-6</v>
      </c>
      <c r="L170" s="1150"/>
      <c r="M170" s="1151"/>
      <c r="N170" s="1151"/>
      <c r="O170" s="1151"/>
      <c r="P170" s="1151"/>
      <c r="Q170" s="1151"/>
      <c r="R170" s="1151"/>
      <c r="S170" s="1151"/>
      <c r="T170" s="1151"/>
      <c r="U170" s="1083"/>
      <c r="V170" s="1152"/>
    </row>
    <row r="171" spans="2:22" s="1125" customFormat="1" ht="13.8">
      <c r="B171" s="940"/>
      <c r="C171" s="942"/>
      <c r="D171" s="942">
        <v>4</v>
      </c>
      <c r="E171" s="1234" t="s">
        <v>193</v>
      </c>
      <c r="F171" s="944"/>
      <c r="G171" s="1235"/>
      <c r="H171" s="1102"/>
      <c r="I171" s="1149"/>
      <c r="J171" s="948"/>
      <c r="K171" s="966"/>
      <c r="L171" s="1150"/>
      <c r="M171" s="1151"/>
      <c r="N171" s="1151"/>
      <c r="O171" s="1151"/>
      <c r="P171" s="1151"/>
      <c r="Q171" s="1151"/>
      <c r="R171" s="1151"/>
      <c r="S171" s="1151"/>
      <c r="T171" s="1151"/>
      <c r="U171" s="1083"/>
      <c r="V171" s="1152"/>
    </row>
    <row r="172" spans="2:22" s="1125" customFormat="1" ht="13.8">
      <c r="B172" s="940"/>
      <c r="C172" s="942"/>
      <c r="D172" s="942"/>
      <c r="E172" s="941" t="s">
        <v>194</v>
      </c>
      <c r="F172" s="944"/>
      <c r="G172" s="1235"/>
      <c r="H172" s="1102"/>
      <c r="I172" s="1149"/>
      <c r="J172" s="1022"/>
      <c r="K172" s="1023"/>
      <c r="L172" s="1150"/>
      <c r="M172" s="1151"/>
      <c r="N172" s="1151"/>
      <c r="O172" s="1151"/>
      <c r="P172" s="1151"/>
      <c r="Q172" s="1151"/>
      <c r="R172" s="1151"/>
      <c r="S172" s="1151"/>
      <c r="T172" s="1151"/>
      <c r="U172" s="1083"/>
      <c r="V172" s="1152"/>
    </row>
    <row r="173" spans="2:22" s="1125" customFormat="1" ht="16.2">
      <c r="B173" s="957"/>
      <c r="C173" s="965"/>
      <c r="D173" s="965" t="s">
        <v>185</v>
      </c>
      <c r="E173" s="941" t="s">
        <v>446</v>
      </c>
      <c r="F173" s="944" t="s">
        <v>187</v>
      </c>
      <c r="G173" s="1235">
        <v>0.44</v>
      </c>
      <c r="H173" s="946">
        <v>0.44</v>
      </c>
      <c r="I173" s="1202">
        <v>407100</v>
      </c>
      <c r="J173" s="1022">
        <f t="shared" ref="J173:J235" si="16">$H173*I173</f>
        <v>179124</v>
      </c>
      <c r="K173" s="374">
        <f>J173/'REKAP TOTAL'!F44</f>
        <v>1.47316934067055E-5</v>
      </c>
      <c r="L173" s="1150"/>
      <c r="M173" s="1151"/>
      <c r="N173" s="1151"/>
      <c r="O173" s="1151"/>
      <c r="P173" s="1151"/>
      <c r="Q173" s="1151"/>
      <c r="R173" s="1151"/>
      <c r="S173" s="1151"/>
      <c r="T173" s="1151"/>
      <c r="U173" s="1083"/>
      <c r="V173" s="1152"/>
    </row>
    <row r="174" spans="2:22" s="1125" customFormat="1" ht="16.2">
      <c r="B174" s="957"/>
      <c r="C174" s="965"/>
      <c r="D174" s="965" t="s">
        <v>188</v>
      </c>
      <c r="E174" s="941" t="s">
        <v>189</v>
      </c>
      <c r="F174" s="944" t="s">
        <v>187</v>
      </c>
      <c r="G174" s="1235">
        <v>0.3256</v>
      </c>
      <c r="H174" s="946">
        <v>0.3256</v>
      </c>
      <c r="I174" s="1202">
        <v>407100</v>
      </c>
      <c r="J174" s="1022">
        <f t="shared" si="16"/>
        <v>132551.76</v>
      </c>
      <c r="K174" s="374">
        <f>J174/'REKAP TOTAL'!F44</f>
        <v>1.090145312096207E-5</v>
      </c>
      <c r="L174" s="1150"/>
      <c r="M174" s="1151"/>
      <c r="N174" s="1151"/>
      <c r="O174" s="1151"/>
      <c r="P174" s="1151"/>
      <c r="Q174" s="1151"/>
      <c r="R174" s="1151"/>
      <c r="S174" s="1151"/>
      <c r="T174" s="1151"/>
      <c r="U174" s="1083"/>
      <c r="V174" s="1152"/>
    </row>
    <row r="175" spans="2:22" s="1125" customFormat="1" ht="16.2">
      <c r="B175" s="957"/>
      <c r="C175" s="965"/>
      <c r="D175" s="965" t="s">
        <v>195</v>
      </c>
      <c r="E175" s="941" t="s">
        <v>447</v>
      </c>
      <c r="F175" s="944" t="s">
        <v>187</v>
      </c>
      <c r="G175" s="1235">
        <v>0.81652999999999998</v>
      </c>
      <c r="H175" s="946">
        <v>0.81652999999999998</v>
      </c>
      <c r="I175" s="1202">
        <v>407100</v>
      </c>
      <c r="J175" s="1022">
        <f t="shared" si="16"/>
        <v>332409.36300000001</v>
      </c>
      <c r="K175" s="374">
        <f>J175/'REKAP TOTAL'!F44</f>
        <v>2.7338340039493733E-5</v>
      </c>
      <c r="L175" s="1150"/>
      <c r="M175" s="1151"/>
      <c r="N175" s="1151"/>
      <c r="O175" s="1151"/>
      <c r="P175" s="1151"/>
      <c r="Q175" s="1151"/>
      <c r="R175" s="1151"/>
      <c r="S175" s="1151"/>
      <c r="T175" s="1151"/>
      <c r="U175" s="1083"/>
      <c r="V175" s="1152"/>
    </row>
    <row r="176" spans="2:22" s="1125" customFormat="1" ht="13.8">
      <c r="B176" s="1238"/>
      <c r="C176" s="1239"/>
      <c r="D176" s="1239">
        <v>5</v>
      </c>
      <c r="E176" s="1059" t="s">
        <v>448</v>
      </c>
      <c r="F176" s="1240" t="s">
        <v>103</v>
      </c>
      <c r="G176" s="1241">
        <v>6.1310000000000002</v>
      </c>
      <c r="H176" s="946">
        <v>6.1310000000000002</v>
      </c>
      <c r="I176" s="1202">
        <v>407100</v>
      </c>
      <c r="J176" s="1022">
        <f t="shared" si="16"/>
        <v>2495930.1</v>
      </c>
      <c r="K176" s="374">
        <f>J176/'REKAP TOTAL'!F44</f>
        <v>2.0527275517388959E-4</v>
      </c>
      <c r="L176" s="1150"/>
      <c r="M176" s="1151"/>
      <c r="N176" s="1151"/>
      <c r="O176" s="1151"/>
      <c r="P176" s="1151"/>
      <c r="Q176" s="1151"/>
      <c r="R176" s="1151"/>
      <c r="S176" s="1151"/>
      <c r="T176" s="1151"/>
      <c r="U176" s="1083"/>
      <c r="V176" s="1152"/>
    </row>
    <row r="177" spans="2:22" s="1125" customFormat="1" ht="13.8">
      <c r="B177" s="1238"/>
      <c r="C177" s="1239"/>
      <c r="D177" s="1239">
        <v>6</v>
      </c>
      <c r="E177" s="1059" t="s">
        <v>449</v>
      </c>
      <c r="F177" s="1240" t="s">
        <v>143</v>
      </c>
      <c r="G177" s="1241">
        <v>1.8392999999999999</v>
      </c>
      <c r="H177" s="946">
        <v>1.8392999999999999</v>
      </c>
      <c r="I177" s="1202">
        <v>407100</v>
      </c>
      <c r="J177" s="1022">
        <f t="shared" si="16"/>
        <v>748779.03</v>
      </c>
      <c r="K177" s="374">
        <f>J177/'REKAP TOTAL'!F44</f>
        <v>6.1581826552166885E-5</v>
      </c>
      <c r="L177" s="1150"/>
      <c r="M177" s="1151"/>
      <c r="N177" s="1151"/>
      <c r="O177" s="1151"/>
      <c r="P177" s="1151"/>
      <c r="Q177" s="1151"/>
      <c r="R177" s="1151"/>
      <c r="S177" s="1151"/>
      <c r="T177" s="1151"/>
      <c r="U177" s="1083"/>
      <c r="V177" s="1152"/>
    </row>
    <row r="178" spans="2:22" s="1125" customFormat="1" ht="13.8">
      <c r="B178" s="940"/>
      <c r="C178" s="942"/>
      <c r="D178" s="942">
        <v>7</v>
      </c>
      <c r="E178" s="952" t="s">
        <v>450</v>
      </c>
      <c r="F178" s="944" t="s">
        <v>103</v>
      </c>
      <c r="G178" s="1242">
        <v>6.1310000000000002</v>
      </c>
      <c r="H178" s="946">
        <v>6.1310000000000002</v>
      </c>
      <c r="I178" s="1202">
        <v>407100</v>
      </c>
      <c r="J178" s="1022">
        <f t="shared" si="16"/>
        <v>2495930.1</v>
      </c>
      <c r="K178" s="374">
        <f>J178/'REKAP TOTAL'!F44</f>
        <v>2.0527275517388959E-4</v>
      </c>
      <c r="L178" s="1150"/>
      <c r="M178" s="1151"/>
      <c r="N178" s="1151"/>
      <c r="O178" s="1151"/>
      <c r="P178" s="1151"/>
      <c r="Q178" s="1151"/>
      <c r="R178" s="1151"/>
      <c r="S178" s="1151"/>
      <c r="T178" s="1151"/>
      <c r="U178" s="1083"/>
      <c r="V178" s="1152"/>
    </row>
    <row r="179" spans="2:22" s="1125" customFormat="1" ht="13.8">
      <c r="B179" s="940"/>
      <c r="C179" s="941"/>
      <c r="D179" s="941"/>
      <c r="E179" s="952"/>
      <c r="F179" s="944"/>
      <c r="G179" s="1242"/>
      <c r="H179" s="946"/>
      <c r="I179" s="1202">
        <v>0</v>
      </c>
      <c r="J179" s="1022"/>
      <c r="K179" s="1023"/>
      <c r="L179" s="1150"/>
      <c r="M179" s="1151"/>
      <c r="N179" s="1151"/>
      <c r="O179" s="1151"/>
      <c r="P179" s="1151"/>
      <c r="Q179" s="1151"/>
      <c r="R179" s="1151"/>
      <c r="S179" s="1151"/>
      <c r="T179" s="1151"/>
      <c r="U179" s="1083"/>
      <c r="V179" s="1152"/>
    </row>
    <row r="180" spans="2:22">
      <c r="B180" s="940"/>
      <c r="C180" s="1019"/>
      <c r="D180" s="1088" t="s">
        <v>443</v>
      </c>
      <c r="E180" s="1227" t="s">
        <v>451</v>
      </c>
      <c r="F180" s="944"/>
      <c r="G180" s="945"/>
      <c r="H180" s="946"/>
      <c r="I180" s="1021">
        <v>0</v>
      </c>
      <c r="J180" s="1022"/>
      <c r="K180" s="1023"/>
      <c r="L180" s="897"/>
      <c r="M180" s="898"/>
      <c r="N180" s="898"/>
      <c r="O180" s="877"/>
      <c r="P180" s="878"/>
      <c r="Q180" s="877"/>
      <c r="R180" s="879"/>
      <c r="S180" s="879"/>
      <c r="T180" s="879"/>
      <c r="U180" s="880"/>
      <c r="V180" s="996"/>
    </row>
    <row r="181" spans="2:22" s="1125" customFormat="1" ht="13.8">
      <c r="B181" s="940"/>
      <c r="C181" s="942"/>
      <c r="D181" s="942">
        <v>1</v>
      </c>
      <c r="E181" s="941" t="s">
        <v>202</v>
      </c>
      <c r="F181" s="944"/>
      <c r="G181" s="1235"/>
      <c r="H181" s="1102"/>
      <c r="I181" s="1149">
        <v>0</v>
      </c>
      <c r="J181" s="1022"/>
      <c r="K181" s="1023"/>
      <c r="L181" s="1150"/>
      <c r="M181" s="1151"/>
      <c r="N181" s="1151"/>
      <c r="O181" s="1151"/>
      <c r="P181" s="1151"/>
      <c r="Q181" s="1151"/>
      <c r="R181" s="1151"/>
      <c r="S181" s="1151"/>
      <c r="T181" s="1151"/>
      <c r="U181" s="1083"/>
      <c r="V181" s="1152"/>
    </row>
    <row r="182" spans="2:22" s="1125" customFormat="1" ht="16.2">
      <c r="B182" s="957"/>
      <c r="C182" s="965"/>
      <c r="D182" s="965" t="s">
        <v>185</v>
      </c>
      <c r="E182" s="941" t="s">
        <v>446</v>
      </c>
      <c r="F182" s="944" t="s">
        <v>187</v>
      </c>
      <c r="G182" s="1242">
        <v>0.22</v>
      </c>
      <c r="H182" s="946">
        <v>0.22</v>
      </c>
      <c r="I182" s="1202">
        <v>1186300</v>
      </c>
      <c r="J182" s="1022">
        <f t="shared" si="16"/>
        <v>260986</v>
      </c>
      <c r="K182" s="374">
        <f>J182/'REKAP TOTAL'!F44</f>
        <v>2.1464269084223453E-5</v>
      </c>
      <c r="L182" s="1150"/>
      <c r="M182" s="1151"/>
      <c r="N182" s="1151"/>
      <c r="O182" s="1151"/>
      <c r="P182" s="1151"/>
      <c r="Q182" s="1151"/>
      <c r="R182" s="1151"/>
      <c r="S182" s="1151"/>
      <c r="T182" s="1151"/>
      <c r="U182" s="1083"/>
      <c r="V182" s="1152"/>
    </row>
    <row r="183" spans="2:22" s="1125" customFormat="1" ht="16.2">
      <c r="B183" s="957"/>
      <c r="C183" s="965"/>
      <c r="D183" s="2045" t="s">
        <v>188</v>
      </c>
      <c r="E183" s="941" t="s">
        <v>189</v>
      </c>
      <c r="F183" s="944" t="s">
        <v>187</v>
      </c>
      <c r="G183" s="1235">
        <v>0.1628</v>
      </c>
      <c r="H183" s="946">
        <v>0.1628</v>
      </c>
      <c r="I183" s="1202">
        <v>1186300</v>
      </c>
      <c r="J183" s="1022">
        <f t="shared" si="16"/>
        <v>193129.64</v>
      </c>
      <c r="K183" s="374">
        <f>J183/'REKAP TOTAL'!F44</f>
        <v>1.5883559122325357E-5</v>
      </c>
      <c r="L183" s="1150"/>
      <c r="M183" s="1151"/>
      <c r="N183" s="1151"/>
      <c r="O183" s="1151"/>
      <c r="P183" s="1151"/>
      <c r="Q183" s="1151"/>
      <c r="R183" s="1151"/>
      <c r="S183" s="1151"/>
      <c r="T183" s="1151"/>
      <c r="U183" s="1083"/>
      <c r="V183" s="1152"/>
    </row>
    <row r="184" spans="2:22" s="1125" customFormat="1" ht="13.8">
      <c r="B184" s="957"/>
      <c r="C184" s="965"/>
      <c r="D184" s="965"/>
      <c r="E184" s="941"/>
      <c r="F184" s="944"/>
      <c r="G184" s="1235"/>
      <c r="H184" s="946"/>
      <c r="I184" s="1202">
        <v>0</v>
      </c>
      <c r="J184" s="1022"/>
      <c r="K184" s="1023"/>
      <c r="L184" s="1150"/>
      <c r="M184" s="1151"/>
      <c r="N184" s="1151"/>
      <c r="O184" s="1151"/>
      <c r="P184" s="1151"/>
      <c r="Q184" s="1151"/>
      <c r="R184" s="1151"/>
      <c r="S184" s="1151"/>
      <c r="T184" s="1151"/>
      <c r="U184" s="1083"/>
      <c r="V184" s="1152"/>
    </row>
    <row r="185" spans="2:22">
      <c r="B185" s="940"/>
      <c r="C185" s="1019"/>
      <c r="D185" s="1088" t="s">
        <v>452</v>
      </c>
      <c r="E185" s="1227" t="s">
        <v>204</v>
      </c>
      <c r="F185" s="944"/>
      <c r="G185" s="945"/>
      <c r="H185" s="946"/>
      <c r="I185" s="1021">
        <v>0</v>
      </c>
      <c r="J185" s="1022"/>
      <c r="K185" s="1023"/>
      <c r="L185" s="897"/>
      <c r="M185" s="898"/>
      <c r="N185" s="898"/>
      <c r="O185" s="877"/>
      <c r="P185" s="878"/>
      <c r="Q185" s="877"/>
      <c r="R185" s="879"/>
      <c r="S185" s="879"/>
      <c r="T185" s="879"/>
      <c r="U185" s="880"/>
      <c r="V185" s="996"/>
    </row>
    <row r="186" spans="2:22" s="1128" customFormat="1" ht="20.25" customHeight="1">
      <c r="B186" s="940"/>
      <c r="C186" s="942"/>
      <c r="D186" s="942">
        <v>1</v>
      </c>
      <c r="E186" s="941" t="s">
        <v>446</v>
      </c>
      <c r="F186" s="944"/>
      <c r="G186" s="1087"/>
      <c r="H186" s="1148"/>
      <c r="I186" s="1149">
        <v>0</v>
      </c>
      <c r="J186" s="1022"/>
      <c r="K186" s="1023"/>
      <c r="L186" s="1243"/>
      <c r="M186" s="1244"/>
      <c r="N186" s="1244"/>
      <c r="O186" s="1244"/>
      <c r="P186" s="1244"/>
      <c r="Q186" s="1244"/>
      <c r="R186" s="1244"/>
      <c r="S186" s="1244"/>
      <c r="T186" s="1244"/>
      <c r="U186" s="1082"/>
      <c r="V186" s="1245"/>
    </row>
    <row r="187" spans="2:22" s="1128" customFormat="1" ht="20.25" customHeight="1">
      <c r="B187" s="940"/>
      <c r="C187" s="942"/>
      <c r="D187" s="942"/>
      <c r="E187" s="2042" t="s">
        <v>453</v>
      </c>
      <c r="F187" s="944" t="s">
        <v>187</v>
      </c>
      <c r="G187" s="1235">
        <v>0.17599999999999999</v>
      </c>
      <c r="H187" s="946">
        <v>0.17599999999999999</v>
      </c>
      <c r="I187" s="1202">
        <v>1477100</v>
      </c>
      <c r="J187" s="1022">
        <f t="shared" si="16"/>
        <v>259969.6</v>
      </c>
      <c r="K187" s="374">
        <f>J187/'REKAP TOTAL'!F44</f>
        <v>2.1380677308813258E-5</v>
      </c>
      <c r="L187" s="1243"/>
      <c r="M187" s="1244"/>
      <c r="N187" s="1244"/>
      <c r="O187" s="1244"/>
      <c r="P187" s="1244"/>
      <c r="Q187" s="1244"/>
      <c r="R187" s="1244"/>
      <c r="S187" s="1244"/>
      <c r="T187" s="1244"/>
      <c r="U187" s="1082"/>
      <c r="V187" s="1245"/>
    </row>
    <row r="188" spans="2:22" s="1128" customFormat="1" ht="20.25" customHeight="1">
      <c r="B188" s="940"/>
      <c r="C188" s="942"/>
      <c r="D188" s="942"/>
      <c r="E188" s="2042" t="s">
        <v>454</v>
      </c>
      <c r="F188" s="944" t="s">
        <v>187</v>
      </c>
      <c r="G188" s="1235">
        <v>0.35199999999999998</v>
      </c>
      <c r="H188" s="946">
        <v>0.35199999999999998</v>
      </c>
      <c r="I188" s="1202">
        <v>1477100</v>
      </c>
      <c r="J188" s="1022">
        <f t="shared" si="16"/>
        <v>519939.2</v>
      </c>
      <c r="K188" s="374">
        <f>J188/'REKAP TOTAL'!F44</f>
        <v>4.2761354617626516E-5</v>
      </c>
      <c r="L188" s="1243"/>
      <c r="M188" s="1244"/>
      <c r="N188" s="1244"/>
      <c r="O188" s="1244"/>
      <c r="P188" s="1244"/>
      <c r="Q188" s="1244"/>
      <c r="R188" s="1244"/>
      <c r="S188" s="1244"/>
      <c r="T188" s="1244"/>
      <c r="U188" s="1082"/>
      <c r="V188" s="1245"/>
    </row>
    <row r="189" spans="2:22" s="1128" customFormat="1" ht="20.25" customHeight="1">
      <c r="B189" s="940"/>
      <c r="C189" s="942"/>
      <c r="D189" s="942"/>
      <c r="E189" s="2042" t="s">
        <v>455</v>
      </c>
      <c r="F189" s="944" t="s">
        <v>187</v>
      </c>
      <c r="G189" s="1235">
        <v>0.17599999999999999</v>
      </c>
      <c r="H189" s="946">
        <v>0.17599999999999999</v>
      </c>
      <c r="I189" s="1202">
        <v>1477100</v>
      </c>
      <c r="J189" s="1022">
        <f t="shared" si="16"/>
        <v>259969.6</v>
      </c>
      <c r="K189" s="374">
        <f>J189/'REKAP TOTAL'!F44</f>
        <v>2.1380677308813258E-5</v>
      </c>
      <c r="L189" s="1243"/>
      <c r="M189" s="1244"/>
      <c r="N189" s="1244"/>
      <c r="O189" s="1244"/>
      <c r="P189" s="1244"/>
      <c r="Q189" s="1244"/>
      <c r="R189" s="1244"/>
      <c r="S189" s="1244"/>
      <c r="T189" s="1244"/>
      <c r="U189" s="1082"/>
      <c r="V189" s="1245"/>
    </row>
    <row r="190" spans="2:22" s="1125" customFormat="1" ht="13.8">
      <c r="B190" s="940"/>
      <c r="C190" s="942"/>
      <c r="D190" s="942">
        <v>2</v>
      </c>
      <c r="E190" s="941" t="s">
        <v>207</v>
      </c>
      <c r="F190" s="944"/>
      <c r="G190" s="1087"/>
      <c r="H190" s="1148"/>
      <c r="I190" s="1149">
        <v>0</v>
      </c>
      <c r="J190" s="1022"/>
      <c r="K190" s="1023"/>
      <c r="L190" s="1150"/>
      <c r="M190" s="1151"/>
      <c r="N190" s="1151"/>
      <c r="O190" s="1151"/>
      <c r="P190" s="1151"/>
      <c r="Q190" s="1151"/>
      <c r="R190" s="1151"/>
      <c r="S190" s="1151"/>
      <c r="T190" s="1151"/>
      <c r="U190" s="1083"/>
      <c r="V190" s="1152"/>
    </row>
    <row r="191" spans="2:22" s="1125" customFormat="1" ht="16.2">
      <c r="B191" s="940"/>
      <c r="C191" s="942"/>
      <c r="D191" s="942"/>
      <c r="E191" s="2042" t="s">
        <v>456</v>
      </c>
      <c r="F191" s="944" t="s">
        <v>187</v>
      </c>
      <c r="G191" s="1235">
        <v>0.4884</v>
      </c>
      <c r="H191" s="946">
        <v>0.4884</v>
      </c>
      <c r="I191" s="1237">
        <v>1477100</v>
      </c>
      <c r="J191" s="1022">
        <f t="shared" si="16"/>
        <v>721415.64</v>
      </c>
      <c r="K191" s="374">
        <f>J191/'REKAP TOTAL'!F44</f>
        <v>5.9331379531956798E-5</v>
      </c>
      <c r="L191" s="1150"/>
      <c r="M191" s="1151"/>
      <c r="N191" s="1151"/>
      <c r="O191" s="1151"/>
      <c r="P191" s="1151"/>
      <c r="Q191" s="1151"/>
      <c r="R191" s="1151"/>
      <c r="S191" s="1151"/>
      <c r="T191" s="1151"/>
      <c r="U191" s="1083"/>
      <c r="V191" s="1152"/>
    </row>
    <row r="192" spans="2:22" s="1125" customFormat="1" ht="13.8">
      <c r="B192" s="940"/>
      <c r="C192" s="942"/>
      <c r="D192" s="942">
        <v>3</v>
      </c>
      <c r="E192" s="2037" t="s">
        <v>209</v>
      </c>
      <c r="F192" s="944"/>
      <c r="G192" s="1235"/>
      <c r="H192" s="1102"/>
      <c r="I192" s="1237">
        <v>0</v>
      </c>
      <c r="J192" s="1022"/>
      <c r="K192" s="1023"/>
      <c r="L192" s="1150"/>
      <c r="M192" s="1151"/>
      <c r="N192" s="1151"/>
      <c r="O192" s="1151"/>
      <c r="P192" s="1151"/>
      <c r="Q192" s="1151"/>
      <c r="R192" s="1151"/>
      <c r="S192" s="1151"/>
      <c r="T192" s="1151"/>
      <c r="U192" s="1083"/>
      <c r="V192" s="1152"/>
    </row>
    <row r="193" spans="2:22" s="1125" customFormat="1" ht="16.2">
      <c r="B193" s="957"/>
      <c r="C193" s="965"/>
      <c r="D193" s="965"/>
      <c r="E193" s="2042" t="s">
        <v>457</v>
      </c>
      <c r="F193" s="944" t="s">
        <v>187</v>
      </c>
      <c r="G193" s="1235">
        <v>0.50875000000000004</v>
      </c>
      <c r="H193" s="946">
        <v>0.50875000000000004</v>
      </c>
      <c r="I193" s="1237">
        <v>1477100</v>
      </c>
      <c r="J193" s="1022">
        <f t="shared" si="16"/>
        <v>751474.625</v>
      </c>
      <c r="K193" s="374">
        <f>J193/'REKAP TOTAL'!F44</f>
        <v>6.1803520345788326E-5</v>
      </c>
      <c r="L193" s="1150"/>
      <c r="M193" s="1151"/>
      <c r="N193" s="1151"/>
      <c r="O193" s="1151"/>
      <c r="P193" s="1151"/>
      <c r="Q193" s="1151"/>
      <c r="R193" s="1151"/>
      <c r="S193" s="1151"/>
      <c r="T193" s="1151"/>
      <c r="U193" s="1083"/>
      <c r="V193" s="1152"/>
    </row>
    <row r="194" spans="2:22" s="1125" customFormat="1" ht="19.5" customHeight="1">
      <c r="B194" s="940"/>
      <c r="C194" s="942"/>
      <c r="D194" s="942">
        <v>4</v>
      </c>
      <c r="E194" s="2046" t="s">
        <v>212</v>
      </c>
      <c r="F194" s="944"/>
      <c r="G194" s="1235"/>
      <c r="H194" s="1102"/>
      <c r="I194" s="1237">
        <v>0</v>
      </c>
      <c r="J194" s="1022"/>
      <c r="K194" s="1023"/>
      <c r="L194" s="1150"/>
      <c r="M194" s="1151"/>
      <c r="N194" s="1151"/>
      <c r="O194" s="1151"/>
      <c r="P194" s="1151"/>
      <c r="Q194" s="1151"/>
      <c r="R194" s="1151"/>
      <c r="S194" s="1151"/>
      <c r="T194" s="1151"/>
      <c r="U194" s="1083"/>
      <c r="V194" s="1152"/>
    </row>
    <row r="195" spans="2:22" s="1125" customFormat="1" ht="19.5" customHeight="1">
      <c r="B195" s="940"/>
      <c r="C195" s="942"/>
      <c r="D195" s="942"/>
      <c r="E195" s="2046" t="s">
        <v>458</v>
      </c>
      <c r="F195" s="944"/>
      <c r="G195" s="1235"/>
      <c r="H195" s="1102"/>
      <c r="I195" s="1237">
        <v>0</v>
      </c>
      <c r="J195" s="1022"/>
      <c r="K195" s="1023"/>
      <c r="L195" s="1150"/>
      <c r="M195" s="1151"/>
      <c r="N195" s="1151"/>
      <c r="O195" s="1151"/>
      <c r="P195" s="1151"/>
      <c r="Q195" s="1151"/>
      <c r="R195" s="1151"/>
      <c r="S195" s="1151"/>
      <c r="T195" s="1151"/>
      <c r="U195" s="1083"/>
      <c r="V195" s="1152"/>
    </row>
    <row r="196" spans="2:22" s="1125" customFormat="1" ht="19.5" customHeight="1">
      <c r="B196" s="957"/>
      <c r="C196" s="965"/>
      <c r="D196" s="965"/>
      <c r="E196" s="2042" t="s">
        <v>459</v>
      </c>
      <c r="F196" s="944" t="s">
        <v>187</v>
      </c>
      <c r="G196" s="1235">
        <v>0.79200000000000004</v>
      </c>
      <c r="H196" s="946">
        <v>0.79200000000000004</v>
      </c>
      <c r="I196" s="1237">
        <v>1477100</v>
      </c>
      <c r="J196" s="1022">
        <f t="shared" si="16"/>
        <v>1169863.2</v>
      </c>
      <c r="K196" s="374">
        <f>J196/'REKAP TOTAL'!F44</f>
        <v>9.6213047889659667E-5</v>
      </c>
      <c r="L196" s="1150"/>
      <c r="M196" s="1151"/>
      <c r="N196" s="1151"/>
      <c r="O196" s="1151"/>
      <c r="P196" s="1151"/>
      <c r="Q196" s="1151"/>
      <c r="R196" s="1151"/>
      <c r="S196" s="1151"/>
      <c r="T196" s="1151"/>
      <c r="U196" s="1083"/>
      <c r="V196" s="1152"/>
    </row>
    <row r="197" spans="2:22" s="1125" customFormat="1" ht="19.5" customHeight="1">
      <c r="B197" s="940"/>
      <c r="C197" s="942"/>
      <c r="D197" s="942"/>
      <c r="E197" s="2046" t="s">
        <v>215</v>
      </c>
      <c r="F197" s="944"/>
      <c r="G197" s="1235"/>
      <c r="H197" s="1102"/>
      <c r="I197" s="1237">
        <v>0</v>
      </c>
      <c r="J197" s="1022"/>
      <c r="K197" s="1023"/>
      <c r="L197" s="1150"/>
      <c r="M197" s="1151"/>
      <c r="N197" s="1151"/>
      <c r="O197" s="1151"/>
      <c r="P197" s="1151"/>
      <c r="Q197" s="1151"/>
      <c r="R197" s="1151"/>
      <c r="S197" s="1151"/>
      <c r="T197" s="1151"/>
      <c r="U197" s="1083"/>
      <c r="V197" s="1152"/>
    </row>
    <row r="198" spans="2:22" s="1125" customFormat="1" ht="19.5" customHeight="1">
      <c r="B198" s="957"/>
      <c r="C198" s="965"/>
      <c r="D198" s="965"/>
      <c r="E198" s="2042" t="s">
        <v>459</v>
      </c>
      <c r="F198" s="944" t="s">
        <v>187</v>
      </c>
      <c r="G198" s="1235">
        <v>0.43279499999999999</v>
      </c>
      <c r="H198" s="946">
        <v>0.43279499999999999</v>
      </c>
      <c r="I198" s="1237">
        <v>1477100</v>
      </c>
      <c r="J198" s="1022">
        <f t="shared" si="16"/>
        <v>639281.49450000003</v>
      </c>
      <c r="K198" s="374">
        <f>J198/'REKAP TOTAL'!F44</f>
        <v>5.2576421794703609E-5</v>
      </c>
      <c r="L198" s="1150"/>
      <c r="M198" s="1151"/>
      <c r="N198" s="1151"/>
      <c r="O198" s="1151"/>
      <c r="P198" s="1151"/>
      <c r="Q198" s="1151"/>
      <c r="R198" s="1151"/>
      <c r="S198" s="1151"/>
      <c r="T198" s="1151"/>
      <c r="U198" s="1083"/>
      <c r="V198" s="1152"/>
    </row>
    <row r="199" spans="2:22" s="1125" customFormat="1" ht="19.5" customHeight="1">
      <c r="B199" s="940"/>
      <c r="C199" s="942"/>
      <c r="D199" s="942">
        <v>5</v>
      </c>
      <c r="E199" s="2037" t="s">
        <v>216</v>
      </c>
      <c r="F199" s="944"/>
      <c r="G199" s="1235"/>
      <c r="H199" s="1102"/>
      <c r="I199" s="1237">
        <v>0</v>
      </c>
      <c r="J199" s="1022"/>
      <c r="K199" s="1023"/>
      <c r="L199" s="1150"/>
      <c r="M199" s="1151"/>
      <c r="N199" s="1151"/>
      <c r="O199" s="1151"/>
      <c r="P199" s="1151"/>
      <c r="Q199" s="1151"/>
      <c r="R199" s="1151"/>
      <c r="S199" s="1151"/>
      <c r="T199" s="1151"/>
      <c r="U199" s="1083"/>
      <c r="V199" s="1152"/>
    </row>
    <row r="200" spans="2:22" s="1125" customFormat="1" ht="19.5" customHeight="1">
      <c r="B200" s="957"/>
      <c r="C200" s="941"/>
      <c r="D200" s="941"/>
      <c r="E200" s="2042" t="s">
        <v>460</v>
      </c>
      <c r="F200" s="944" t="s">
        <v>187</v>
      </c>
      <c r="G200" s="1235">
        <v>0.44975700000000002</v>
      </c>
      <c r="H200" s="946">
        <v>0.44975700000000002</v>
      </c>
      <c r="I200" s="1237">
        <v>1477100</v>
      </c>
      <c r="J200" s="1022">
        <f t="shared" si="16"/>
        <v>664336.06469999999</v>
      </c>
      <c r="K200" s="374">
        <f>J200/'REKAP TOTAL'!F44</f>
        <v>5.4636984570340482E-5</v>
      </c>
      <c r="L200" s="1150"/>
      <c r="M200" s="1151"/>
      <c r="N200" s="1151"/>
      <c r="O200" s="1151"/>
      <c r="P200" s="1151"/>
      <c r="Q200" s="1151"/>
      <c r="R200" s="1151"/>
      <c r="S200" s="1151"/>
      <c r="T200" s="1151"/>
      <c r="U200" s="1083"/>
      <c r="V200" s="1152"/>
    </row>
    <row r="201" spans="2:22" s="1125" customFormat="1" ht="13.8">
      <c r="B201" s="957"/>
      <c r="C201" s="965"/>
      <c r="D201" s="965"/>
      <c r="E201" s="941"/>
      <c r="F201" s="944"/>
      <c r="G201" s="1242"/>
      <c r="H201" s="946"/>
      <c r="I201" s="1202">
        <v>0</v>
      </c>
      <c r="J201" s="1022"/>
      <c r="K201" s="1023"/>
      <c r="L201" s="1150"/>
      <c r="M201" s="1151"/>
      <c r="N201" s="1151"/>
      <c r="O201" s="1151"/>
      <c r="P201" s="1151"/>
      <c r="Q201" s="1151"/>
      <c r="R201" s="1151"/>
      <c r="S201" s="1151"/>
      <c r="T201" s="1151"/>
      <c r="U201" s="1083"/>
      <c r="V201" s="1152"/>
    </row>
    <row r="202" spans="2:22" s="1128" customFormat="1" ht="13.8">
      <c r="B202" s="1147"/>
      <c r="C202" s="1088"/>
      <c r="D202" s="1088" t="s">
        <v>461</v>
      </c>
      <c r="E202" s="1019" t="s">
        <v>168</v>
      </c>
      <c r="F202" s="944"/>
      <c r="G202" s="1235"/>
      <c r="H202" s="1102"/>
      <c r="I202" s="1149">
        <v>0</v>
      </c>
      <c r="J202" s="1022"/>
      <c r="K202" s="1023"/>
      <c r="L202" s="1243"/>
      <c r="M202" s="1244"/>
      <c r="N202" s="1244"/>
      <c r="O202" s="1244"/>
      <c r="P202" s="1244"/>
      <c r="Q202" s="1244"/>
      <c r="R202" s="1244"/>
      <c r="S202" s="1244"/>
      <c r="T202" s="1244"/>
      <c r="U202" s="1082"/>
      <c r="V202" s="1245"/>
    </row>
    <row r="203" spans="2:22" s="1128" customFormat="1" ht="8.25" customHeight="1">
      <c r="B203" s="940"/>
      <c r="C203" s="942"/>
      <c r="D203" s="942"/>
      <c r="E203" s="941"/>
      <c r="F203" s="944"/>
      <c r="G203" s="1235"/>
      <c r="H203" s="1102"/>
      <c r="I203" s="1149">
        <v>0</v>
      </c>
      <c r="J203" s="1022"/>
      <c r="K203" s="1023"/>
      <c r="L203" s="1243"/>
      <c r="M203" s="1244"/>
      <c r="N203" s="1244"/>
      <c r="O203" s="1244"/>
      <c r="P203" s="1244"/>
      <c r="Q203" s="1244"/>
      <c r="R203" s="1244"/>
      <c r="S203" s="1244"/>
      <c r="T203" s="1244"/>
      <c r="U203" s="1082"/>
      <c r="V203" s="1245"/>
    </row>
    <row r="204" spans="2:22" s="1128" customFormat="1" ht="21" customHeight="1">
      <c r="B204" s="940"/>
      <c r="C204" s="942"/>
      <c r="D204" s="942">
        <v>1</v>
      </c>
      <c r="E204" s="941" t="s">
        <v>462</v>
      </c>
      <c r="F204" s="944" t="s">
        <v>220</v>
      </c>
      <c r="G204" s="1235">
        <v>6.3360000000000003</v>
      </c>
      <c r="H204" s="946">
        <v>6.3360000000000003</v>
      </c>
      <c r="I204" s="1202">
        <v>126900</v>
      </c>
      <c r="J204" s="1022">
        <f t="shared" si="16"/>
        <v>804038.4</v>
      </c>
      <c r="K204" s="374">
        <f>J204/'REKAP TOTAL'!F44</f>
        <v>6.6126522386827219E-5</v>
      </c>
      <c r="L204" s="1243"/>
      <c r="M204" s="1244"/>
      <c r="N204" s="1244"/>
      <c r="O204" s="1244"/>
      <c r="P204" s="1244"/>
      <c r="Q204" s="1244"/>
      <c r="R204" s="1244"/>
      <c r="S204" s="1244"/>
      <c r="T204" s="1244"/>
      <c r="U204" s="1082"/>
      <c r="V204" s="1245"/>
    </row>
    <row r="205" spans="2:22" s="1125" customFormat="1" ht="12" customHeight="1">
      <c r="B205" s="940"/>
      <c r="C205" s="942"/>
      <c r="D205" s="942">
        <v>2</v>
      </c>
      <c r="E205" s="941" t="s">
        <v>221</v>
      </c>
      <c r="F205" s="944" t="s">
        <v>220</v>
      </c>
      <c r="G205" s="1235">
        <v>6.5119999999999996</v>
      </c>
      <c r="H205" s="946">
        <v>6.5119999999999996</v>
      </c>
      <c r="I205" s="1237">
        <v>126900</v>
      </c>
      <c r="J205" s="1022">
        <f t="shared" si="16"/>
        <v>826372.8</v>
      </c>
      <c r="K205" s="374">
        <f>J205/'REKAP TOTAL'!F44</f>
        <v>6.7963370230905761E-5</v>
      </c>
      <c r="L205" s="1150"/>
      <c r="M205" s="1151"/>
      <c r="N205" s="1151"/>
      <c r="O205" s="1151"/>
      <c r="P205" s="1151"/>
      <c r="Q205" s="1151"/>
      <c r="R205" s="1151"/>
      <c r="S205" s="1151"/>
      <c r="T205" s="1151"/>
      <c r="U205" s="1083"/>
      <c r="V205" s="1152"/>
    </row>
    <row r="206" spans="2:22" s="1125" customFormat="1" ht="21" customHeight="1">
      <c r="B206" s="940"/>
      <c r="C206" s="942"/>
      <c r="D206" s="942">
        <v>3</v>
      </c>
      <c r="E206" s="941" t="s">
        <v>222</v>
      </c>
      <c r="F206" s="944" t="s">
        <v>220</v>
      </c>
      <c r="G206" s="1235">
        <v>8.14</v>
      </c>
      <c r="H206" s="946">
        <v>8.14</v>
      </c>
      <c r="I206" s="1202">
        <v>235600</v>
      </c>
      <c r="J206" s="1022">
        <f t="shared" si="16"/>
        <v>1917784</v>
      </c>
      <c r="K206" s="374">
        <f>J206/'REKAP TOTAL'!F44</f>
        <v>1.5772429104020288E-4</v>
      </c>
      <c r="L206" s="1150"/>
      <c r="M206" s="1151"/>
      <c r="N206" s="1151"/>
      <c r="O206" s="1151"/>
      <c r="P206" s="1151"/>
      <c r="Q206" s="1151"/>
      <c r="R206" s="1151"/>
      <c r="S206" s="1151"/>
      <c r="T206" s="1151"/>
      <c r="U206" s="1083"/>
      <c r="V206" s="1152"/>
    </row>
    <row r="207" spans="2:22" s="1125" customFormat="1" ht="38.25" customHeight="1">
      <c r="B207" s="940"/>
      <c r="C207" s="942"/>
      <c r="D207" s="942">
        <v>4</v>
      </c>
      <c r="E207" s="952" t="s">
        <v>463</v>
      </c>
      <c r="F207" s="944"/>
      <c r="G207" s="1242"/>
      <c r="H207" s="946">
        <v>0</v>
      </c>
      <c r="I207" s="1237">
        <v>0</v>
      </c>
      <c r="J207" s="1022"/>
      <c r="K207" s="1023"/>
      <c r="L207" s="1150"/>
      <c r="M207" s="1151"/>
      <c r="N207" s="1151"/>
      <c r="O207" s="1151"/>
      <c r="P207" s="1151"/>
      <c r="Q207" s="1151"/>
      <c r="R207" s="1151"/>
      <c r="S207" s="1151"/>
      <c r="T207" s="1151"/>
      <c r="U207" s="1083"/>
      <c r="V207" s="1152"/>
    </row>
    <row r="208" spans="2:22" s="1125" customFormat="1" ht="16.2">
      <c r="B208" s="957"/>
      <c r="C208" s="965"/>
      <c r="D208" s="965"/>
      <c r="E208" s="2042" t="s">
        <v>464</v>
      </c>
      <c r="F208" s="944" t="s">
        <v>220</v>
      </c>
      <c r="G208" s="1242">
        <v>0.13200000000000001</v>
      </c>
      <c r="H208" s="946">
        <v>0.13200000000000001</v>
      </c>
      <c r="I208" s="1237">
        <v>235600</v>
      </c>
      <c r="J208" s="1022">
        <f t="shared" si="16"/>
        <v>31099.200000000001</v>
      </c>
      <c r="K208" s="374">
        <f>J208/'REKAP TOTAL'!F44</f>
        <v>2.5576912060573439E-6</v>
      </c>
      <c r="L208" s="1150"/>
      <c r="M208" s="1151"/>
      <c r="N208" s="1151"/>
      <c r="O208" s="1151"/>
      <c r="P208" s="1151"/>
      <c r="Q208" s="1151"/>
      <c r="R208" s="1151"/>
      <c r="S208" s="1151"/>
      <c r="T208" s="1151"/>
      <c r="U208" s="1083"/>
      <c r="V208" s="1152"/>
    </row>
    <row r="209" spans="2:22" s="1125" customFormat="1" ht="16.2">
      <c r="B209" s="957"/>
      <c r="C209" s="965"/>
      <c r="D209" s="965"/>
      <c r="E209" s="2042" t="s">
        <v>225</v>
      </c>
      <c r="F209" s="944" t="s">
        <v>220</v>
      </c>
      <c r="G209" s="1242">
        <v>2.9574324999999999</v>
      </c>
      <c r="H209" s="946">
        <v>2.9574324999999999</v>
      </c>
      <c r="I209" s="1237">
        <v>235600</v>
      </c>
      <c r="J209" s="1022">
        <f t="shared" si="16"/>
        <v>696771.09699999995</v>
      </c>
      <c r="K209" s="374">
        <f>J209/'REKAP TOTAL'!F44</f>
        <v>5.7304538619380195E-5</v>
      </c>
      <c r="L209" s="1150"/>
      <c r="M209" s="1151"/>
      <c r="N209" s="1151"/>
      <c r="O209" s="1151"/>
      <c r="P209" s="1151"/>
      <c r="Q209" s="1151"/>
      <c r="R209" s="1151"/>
      <c r="S209" s="1151"/>
      <c r="T209" s="1151"/>
      <c r="U209" s="1083"/>
      <c r="V209" s="1152"/>
    </row>
    <row r="210" spans="2:22" s="1125" customFormat="1" ht="35.25" customHeight="1">
      <c r="B210" s="940"/>
      <c r="C210" s="942"/>
      <c r="D210" s="942">
        <v>5</v>
      </c>
      <c r="E210" s="952" t="s">
        <v>226</v>
      </c>
      <c r="F210" s="944" t="s">
        <v>220</v>
      </c>
      <c r="G210" s="1242">
        <v>4.22499</v>
      </c>
      <c r="H210" s="946">
        <v>4.22499</v>
      </c>
      <c r="I210" s="1202">
        <v>235600</v>
      </c>
      <c r="J210" s="1022">
        <f t="shared" si="16"/>
        <v>995407.64399999997</v>
      </c>
      <c r="K210" s="374">
        <f>J210/'REKAP TOTAL'!F44</f>
        <v>8.1865301277880441E-5</v>
      </c>
      <c r="L210" s="1150"/>
      <c r="M210" s="1151"/>
      <c r="N210" s="1151"/>
      <c r="O210" s="1151"/>
      <c r="P210" s="1151"/>
      <c r="Q210" s="1151"/>
      <c r="R210" s="1151"/>
      <c r="S210" s="1151"/>
      <c r="T210" s="1151"/>
      <c r="U210" s="1083"/>
      <c r="V210" s="1152"/>
    </row>
    <row r="211" spans="2:22" s="1125" customFormat="1" ht="13.8">
      <c r="B211" s="940"/>
      <c r="C211" s="941"/>
      <c r="D211" s="941"/>
      <c r="E211" s="952"/>
      <c r="F211" s="944"/>
      <c r="G211" s="1242"/>
      <c r="H211" s="946"/>
      <c r="I211" s="1202">
        <v>0</v>
      </c>
      <c r="J211" s="1022"/>
      <c r="K211" s="1023"/>
      <c r="L211" s="1150"/>
      <c r="M211" s="1151"/>
      <c r="N211" s="1151"/>
      <c r="O211" s="1151"/>
      <c r="P211" s="1151"/>
      <c r="Q211" s="1151"/>
      <c r="R211" s="1151"/>
      <c r="S211" s="1151"/>
      <c r="T211" s="1151"/>
      <c r="U211" s="1083"/>
      <c r="V211" s="1152"/>
    </row>
    <row r="212" spans="2:22" s="1128" customFormat="1" ht="13.8">
      <c r="B212" s="1147"/>
      <c r="C212" s="1019"/>
      <c r="D212" s="1088" t="s">
        <v>465</v>
      </c>
      <c r="E212" s="1019" t="s">
        <v>163</v>
      </c>
      <c r="F212" s="944"/>
      <c r="G212" s="1235"/>
      <c r="H212" s="1102"/>
      <c r="I212" s="1149">
        <v>0</v>
      </c>
      <c r="J212" s="1022"/>
      <c r="K212" s="1023"/>
      <c r="L212" s="1243"/>
      <c r="M212" s="1244"/>
      <c r="N212" s="1244"/>
      <c r="O212" s="1244"/>
      <c r="P212" s="1244"/>
      <c r="Q212" s="1244"/>
      <c r="R212" s="1244"/>
      <c r="S212" s="1244"/>
      <c r="T212" s="1244"/>
      <c r="U212" s="1082"/>
      <c r="V212" s="1245"/>
    </row>
    <row r="213" spans="2:22" s="1128" customFormat="1" ht="13.8">
      <c r="B213" s="940"/>
      <c r="C213" s="941"/>
      <c r="D213" s="941"/>
      <c r="E213" s="941"/>
      <c r="F213" s="944"/>
      <c r="G213" s="1235"/>
      <c r="H213" s="1102"/>
      <c r="I213" s="1149">
        <v>0</v>
      </c>
      <c r="J213" s="1022"/>
      <c r="K213" s="1023"/>
      <c r="L213" s="1243"/>
      <c r="M213" s="1244"/>
      <c r="N213" s="1244"/>
      <c r="O213" s="1244"/>
      <c r="P213" s="1244"/>
      <c r="Q213" s="1244"/>
      <c r="R213" s="1244"/>
      <c r="S213" s="1244"/>
      <c r="T213" s="1244"/>
      <c r="U213" s="1082"/>
      <c r="V213" s="1245"/>
    </row>
    <row r="214" spans="2:22" s="1128" customFormat="1" ht="18.75" customHeight="1">
      <c r="B214" s="940"/>
      <c r="C214" s="942"/>
      <c r="D214" s="942">
        <v>1</v>
      </c>
      <c r="E214" s="941" t="s">
        <v>446</v>
      </c>
      <c r="F214" s="944"/>
      <c r="G214" s="1235"/>
      <c r="H214" s="1102"/>
      <c r="I214" s="1149">
        <v>0</v>
      </c>
      <c r="J214" s="1022"/>
      <c r="K214" s="1023"/>
      <c r="L214" s="1243"/>
      <c r="M214" s="1244"/>
      <c r="N214" s="1244"/>
      <c r="O214" s="1244"/>
      <c r="P214" s="1244"/>
      <c r="Q214" s="1244"/>
      <c r="R214" s="1244"/>
      <c r="S214" s="1244"/>
      <c r="T214" s="1244"/>
      <c r="U214" s="1082"/>
      <c r="V214" s="1245"/>
    </row>
    <row r="215" spans="2:22" s="1128" customFormat="1" ht="18.75" customHeight="1">
      <c r="B215" s="940"/>
      <c r="C215" s="942"/>
      <c r="D215" s="942"/>
      <c r="E215" s="2042" t="s">
        <v>466</v>
      </c>
      <c r="F215" s="944" t="s">
        <v>165</v>
      </c>
      <c r="G215" s="1235">
        <v>61.607666999999999</v>
      </c>
      <c r="H215" s="946">
        <v>61.607666999999999</v>
      </c>
      <c r="I215" s="1202">
        <v>16600</v>
      </c>
      <c r="J215" s="1022">
        <f t="shared" si="16"/>
        <v>1022687.2722</v>
      </c>
      <c r="K215" s="374">
        <f>J215/'REKAP TOTAL'!F44</f>
        <v>8.4108859477179899E-5</v>
      </c>
      <c r="L215" s="1243"/>
      <c r="M215" s="1244"/>
      <c r="N215" s="1244"/>
      <c r="O215" s="1244"/>
      <c r="P215" s="1244"/>
      <c r="Q215" s="1244"/>
      <c r="R215" s="1244"/>
      <c r="S215" s="1244"/>
      <c r="T215" s="1244"/>
      <c r="U215" s="1082"/>
      <c r="V215" s="1245"/>
    </row>
    <row r="216" spans="2:22" s="1128" customFormat="1" ht="18.75" customHeight="1">
      <c r="B216" s="940"/>
      <c r="C216" s="942"/>
      <c r="D216" s="942"/>
      <c r="E216" s="2042" t="s">
        <v>467</v>
      </c>
      <c r="F216" s="944" t="s">
        <v>165</v>
      </c>
      <c r="G216" s="1235">
        <v>123.215334</v>
      </c>
      <c r="H216" s="946">
        <v>123.215334</v>
      </c>
      <c r="I216" s="1202">
        <v>16600</v>
      </c>
      <c r="J216" s="1022">
        <f t="shared" si="16"/>
        <v>2045374.5444</v>
      </c>
      <c r="K216" s="374">
        <f>J216/'REKAP TOTAL'!F44</f>
        <v>1.682177189543598E-4</v>
      </c>
      <c r="L216" s="1243"/>
      <c r="M216" s="1244"/>
      <c r="N216" s="1244"/>
      <c r="O216" s="1244"/>
      <c r="P216" s="1244"/>
      <c r="Q216" s="1244"/>
      <c r="R216" s="1244"/>
      <c r="S216" s="1244"/>
      <c r="T216" s="1244"/>
      <c r="U216" s="1082"/>
      <c r="V216" s="1245"/>
    </row>
    <row r="217" spans="2:22" s="1128" customFormat="1" ht="18.75" customHeight="1">
      <c r="B217" s="940"/>
      <c r="C217" s="942"/>
      <c r="D217" s="942"/>
      <c r="E217" s="2042" t="s">
        <v>468</v>
      </c>
      <c r="F217" s="944" t="s">
        <v>165</v>
      </c>
      <c r="G217" s="1235">
        <v>61.607666999999999</v>
      </c>
      <c r="H217" s="946">
        <v>61.607666999999999</v>
      </c>
      <c r="I217" s="1202">
        <v>16600</v>
      </c>
      <c r="J217" s="1022">
        <f t="shared" si="16"/>
        <v>1022687.2722</v>
      </c>
      <c r="K217" s="374">
        <f>J217/'REKAP TOTAL'!F44</f>
        <v>8.4108859477179899E-5</v>
      </c>
      <c r="L217" s="1243"/>
      <c r="M217" s="1244"/>
      <c r="N217" s="1244"/>
      <c r="O217" s="1244"/>
      <c r="P217" s="1244"/>
      <c r="Q217" s="1244"/>
      <c r="R217" s="1244"/>
      <c r="S217" s="1244"/>
      <c r="T217" s="1244"/>
      <c r="U217" s="1082"/>
      <c r="V217" s="1245"/>
    </row>
    <row r="218" spans="2:22" s="1125" customFormat="1" ht="18.75" customHeight="1">
      <c r="B218" s="940"/>
      <c r="C218" s="942"/>
      <c r="D218" s="942">
        <v>2</v>
      </c>
      <c r="E218" s="2046" t="s">
        <v>230</v>
      </c>
      <c r="F218" s="944"/>
      <c r="G218" s="1235"/>
      <c r="H218" s="946"/>
      <c r="I218" s="1246">
        <v>0</v>
      </c>
      <c r="J218" s="1022"/>
      <c r="K218" s="1023"/>
      <c r="L218" s="1150"/>
      <c r="M218" s="1151"/>
      <c r="N218" s="1151"/>
      <c r="O218" s="1151"/>
      <c r="P218" s="1151"/>
      <c r="Q218" s="1151"/>
      <c r="R218" s="1151"/>
      <c r="S218" s="1151"/>
      <c r="T218" s="1151"/>
      <c r="U218" s="1083"/>
      <c r="V218" s="1152"/>
    </row>
    <row r="219" spans="2:22" s="1125" customFormat="1" ht="19.5" customHeight="1">
      <c r="B219" s="940"/>
      <c r="C219" s="942"/>
      <c r="D219" s="942"/>
      <c r="E219" s="2042" t="s">
        <v>469</v>
      </c>
      <c r="F219" s="944" t="s">
        <v>165</v>
      </c>
      <c r="G219" s="1235">
        <v>76.077579600000007</v>
      </c>
      <c r="H219" s="946">
        <v>76.077579600000007</v>
      </c>
      <c r="I219" s="1237">
        <v>16600</v>
      </c>
      <c r="J219" s="1022">
        <f t="shared" si="16"/>
        <v>1262887.8213599999</v>
      </c>
      <c r="K219" s="374">
        <f>J219/'REKAP TOTAL'!F44</f>
        <v>1.0386367092817146E-4</v>
      </c>
      <c r="L219" s="1150"/>
      <c r="M219" s="1151"/>
      <c r="N219" s="1151"/>
      <c r="O219" s="1151"/>
      <c r="P219" s="1151"/>
      <c r="Q219" s="1151"/>
      <c r="R219" s="1151"/>
      <c r="S219" s="1151"/>
      <c r="T219" s="1151"/>
      <c r="U219" s="1083"/>
      <c r="V219" s="1152"/>
    </row>
    <row r="220" spans="2:22" s="1125" customFormat="1" ht="19.5" customHeight="1">
      <c r="B220" s="940"/>
      <c r="C220" s="942"/>
      <c r="D220" s="942">
        <v>3</v>
      </c>
      <c r="E220" s="2037" t="s">
        <v>232</v>
      </c>
      <c r="F220" s="944"/>
      <c r="G220" s="1235"/>
      <c r="H220" s="946"/>
      <c r="I220" s="1237">
        <v>0</v>
      </c>
      <c r="J220" s="1022"/>
      <c r="K220" s="1023"/>
      <c r="L220" s="1150"/>
      <c r="M220" s="1151"/>
      <c r="N220" s="1151"/>
      <c r="O220" s="1151"/>
      <c r="P220" s="1151"/>
      <c r="Q220" s="1151"/>
      <c r="R220" s="1151"/>
      <c r="S220" s="1151"/>
      <c r="T220" s="1151"/>
      <c r="U220" s="1083"/>
      <c r="V220" s="1152"/>
    </row>
    <row r="221" spans="2:22" s="1125" customFormat="1" ht="19.5" customHeight="1">
      <c r="B221" s="957"/>
      <c r="C221" s="965"/>
      <c r="D221" s="965"/>
      <c r="E221" s="2042" t="s">
        <v>470</v>
      </c>
      <c r="F221" s="944" t="s">
        <v>165</v>
      </c>
      <c r="G221" s="1235">
        <v>110.00135520000001</v>
      </c>
      <c r="H221" s="946">
        <v>110.00135520000001</v>
      </c>
      <c r="I221" s="1237">
        <v>16600</v>
      </c>
      <c r="J221" s="1022">
        <f t="shared" si="16"/>
        <v>1826022.4963199999</v>
      </c>
      <c r="K221" s="374">
        <f>J221/'REKAP TOTAL'!F44</f>
        <v>1.5017755057688116E-4</v>
      </c>
      <c r="L221" s="1150"/>
      <c r="M221" s="1151"/>
      <c r="N221" s="1151"/>
      <c r="O221" s="1151"/>
      <c r="P221" s="1151"/>
      <c r="Q221" s="1151"/>
      <c r="R221" s="1151"/>
      <c r="S221" s="1151"/>
      <c r="T221" s="1151"/>
      <c r="U221" s="1083"/>
      <c r="V221" s="1152"/>
    </row>
    <row r="222" spans="2:22" s="1125" customFormat="1" ht="13.8">
      <c r="B222" s="940"/>
      <c r="C222" s="942"/>
      <c r="D222" s="942">
        <v>4</v>
      </c>
      <c r="E222" s="2046" t="s">
        <v>212</v>
      </c>
      <c r="F222" s="944"/>
      <c r="G222" s="1235"/>
      <c r="H222" s="1102"/>
      <c r="I222" s="1237">
        <v>0</v>
      </c>
      <c r="J222" s="1022"/>
      <c r="K222" s="1023"/>
      <c r="L222" s="1150"/>
      <c r="M222" s="1151"/>
      <c r="N222" s="1151"/>
      <c r="O222" s="1151"/>
      <c r="P222" s="1151"/>
      <c r="Q222" s="1151"/>
      <c r="R222" s="1151"/>
      <c r="S222" s="1151"/>
      <c r="T222" s="1151"/>
      <c r="U222" s="1083"/>
      <c r="V222" s="1152"/>
    </row>
    <row r="223" spans="2:22" s="1125" customFormat="1" ht="13.8">
      <c r="B223" s="940"/>
      <c r="C223" s="942"/>
      <c r="D223" s="942"/>
      <c r="E223" s="2046" t="s">
        <v>458</v>
      </c>
      <c r="F223" s="944"/>
      <c r="G223" s="1235"/>
      <c r="H223" s="1102"/>
      <c r="I223" s="1237">
        <v>0</v>
      </c>
      <c r="J223" s="1022"/>
      <c r="K223" s="1023"/>
      <c r="L223" s="1150"/>
      <c r="M223" s="1151"/>
      <c r="N223" s="1151"/>
      <c r="O223" s="1151"/>
      <c r="P223" s="1151"/>
      <c r="Q223" s="1151"/>
      <c r="R223" s="1151"/>
      <c r="S223" s="1151"/>
      <c r="T223" s="1151"/>
      <c r="U223" s="1083"/>
      <c r="V223" s="1152"/>
    </row>
    <row r="224" spans="2:22" s="1125" customFormat="1" ht="36.75" customHeight="1">
      <c r="B224" s="957"/>
      <c r="C224" s="965"/>
      <c r="D224" s="965" t="s">
        <v>185</v>
      </c>
      <c r="E224" s="1247" t="s">
        <v>471</v>
      </c>
      <c r="F224" s="944" t="s">
        <v>103</v>
      </c>
      <c r="G224" s="1242">
        <v>5.28</v>
      </c>
      <c r="H224" s="946">
        <v>5.28</v>
      </c>
      <c r="I224" s="1237">
        <v>210400</v>
      </c>
      <c r="J224" s="1022">
        <f t="shared" si="16"/>
        <v>1110912</v>
      </c>
      <c r="K224" s="374">
        <f>J224/'REKAP TOTAL'!F44</f>
        <v>9.136472491586845E-5</v>
      </c>
      <c r="L224" s="1150"/>
      <c r="M224" s="1151"/>
      <c r="N224" s="1151"/>
      <c r="O224" s="1151"/>
      <c r="P224" s="1151"/>
      <c r="Q224" s="1151"/>
      <c r="R224" s="1151"/>
      <c r="S224" s="1151"/>
      <c r="T224" s="1151"/>
      <c r="U224" s="1083"/>
      <c r="V224" s="1152"/>
    </row>
    <row r="225" spans="2:22" s="1125" customFormat="1" ht="13.8">
      <c r="B225" s="940"/>
      <c r="C225" s="942"/>
      <c r="D225" s="942"/>
      <c r="E225" s="2046" t="s">
        <v>237</v>
      </c>
      <c r="F225" s="944"/>
      <c r="G225" s="1235"/>
      <c r="H225" s="1102"/>
      <c r="I225" s="1237">
        <v>0</v>
      </c>
      <c r="J225" s="1022"/>
      <c r="K225" s="1023"/>
      <c r="L225" s="1150"/>
      <c r="M225" s="1151"/>
      <c r="N225" s="1151"/>
      <c r="O225" s="1151"/>
      <c r="P225" s="1151"/>
      <c r="Q225" s="1151"/>
      <c r="R225" s="1151"/>
      <c r="S225" s="1151"/>
      <c r="T225" s="1151"/>
      <c r="U225" s="1083"/>
      <c r="V225" s="1152"/>
    </row>
    <row r="226" spans="2:22" s="1125" customFormat="1" ht="36" customHeight="1">
      <c r="B226" s="957"/>
      <c r="C226" s="965"/>
      <c r="D226" s="965" t="s">
        <v>188</v>
      </c>
      <c r="E226" s="1247" t="s">
        <v>471</v>
      </c>
      <c r="F226" s="944" t="s">
        <v>103</v>
      </c>
      <c r="G226" s="1242">
        <v>2.8853</v>
      </c>
      <c r="H226" s="946">
        <v>2.8853</v>
      </c>
      <c r="I226" s="1237">
        <v>210400</v>
      </c>
      <c r="J226" s="1022">
        <f t="shared" si="16"/>
        <v>607067.12</v>
      </c>
      <c r="K226" s="374">
        <f>J226/'REKAP TOTAL'!F44</f>
        <v>4.9927015302983949E-5</v>
      </c>
      <c r="L226" s="1150"/>
      <c r="M226" s="1151"/>
      <c r="N226" s="1151"/>
      <c r="O226" s="1151"/>
      <c r="P226" s="1151"/>
      <c r="Q226" s="1151"/>
      <c r="R226" s="1151"/>
      <c r="S226" s="1151"/>
      <c r="T226" s="1151"/>
      <c r="U226" s="1083"/>
      <c r="V226" s="1152"/>
    </row>
    <row r="227" spans="2:22" s="1125" customFormat="1" ht="19.5" customHeight="1">
      <c r="B227" s="940"/>
      <c r="C227" s="942"/>
      <c r="D227" s="942">
        <v>5</v>
      </c>
      <c r="E227" s="2037" t="s">
        <v>238</v>
      </c>
      <c r="F227" s="944"/>
      <c r="G227" s="1235"/>
      <c r="H227" s="946"/>
      <c r="I227" s="1237">
        <v>0</v>
      </c>
      <c r="J227" s="1022"/>
      <c r="K227" s="1023"/>
      <c r="L227" s="1150"/>
      <c r="M227" s="1151"/>
      <c r="N227" s="1151"/>
      <c r="O227" s="1151"/>
      <c r="P227" s="1151"/>
      <c r="Q227" s="1151"/>
      <c r="R227" s="1151"/>
      <c r="S227" s="1151"/>
      <c r="T227" s="1151"/>
      <c r="U227" s="1083"/>
      <c r="V227" s="1152"/>
    </row>
    <row r="228" spans="2:22" s="1125" customFormat="1" ht="19.5" customHeight="1">
      <c r="B228" s="957"/>
      <c r="C228" s="941"/>
      <c r="D228" s="941"/>
      <c r="E228" s="2042" t="s">
        <v>239</v>
      </c>
      <c r="F228" s="944" t="s">
        <v>165</v>
      </c>
      <c r="G228" s="1235">
        <v>33.683800920000003</v>
      </c>
      <c r="H228" s="946">
        <v>33.683800920000003</v>
      </c>
      <c r="I228" s="1237">
        <v>16600</v>
      </c>
      <c r="J228" s="1022">
        <f t="shared" si="16"/>
        <v>559151.09527199995</v>
      </c>
      <c r="K228" s="374">
        <f>J228/'REKAP TOTAL'!F44</f>
        <v>4.5986258142798732E-5</v>
      </c>
      <c r="L228" s="1150"/>
      <c r="M228" s="1151"/>
      <c r="N228" s="1151"/>
      <c r="O228" s="1151"/>
      <c r="P228" s="1151"/>
      <c r="Q228" s="1151"/>
      <c r="R228" s="1151"/>
      <c r="S228" s="1151"/>
      <c r="T228" s="1151"/>
      <c r="U228" s="1083"/>
      <c r="V228" s="1152"/>
    </row>
    <row r="229" spans="2:22" s="1125" customFormat="1" ht="19.5" customHeight="1">
      <c r="B229" s="957"/>
      <c r="C229" s="941"/>
      <c r="D229" s="941"/>
      <c r="E229" s="1066"/>
      <c r="F229" s="944"/>
      <c r="G229" s="1235"/>
      <c r="H229" s="946"/>
      <c r="I229" s="1237"/>
      <c r="J229" s="1022"/>
      <c r="K229" s="1023"/>
      <c r="L229" s="1150"/>
      <c r="M229" s="1151"/>
      <c r="N229" s="1151"/>
      <c r="O229" s="1151"/>
      <c r="P229" s="1151"/>
      <c r="Q229" s="1151"/>
      <c r="R229" s="1151"/>
      <c r="S229" s="1151"/>
      <c r="T229" s="1151"/>
      <c r="U229" s="1083"/>
      <c r="V229" s="1152"/>
    </row>
    <row r="230" spans="2:22" s="1128" customFormat="1" ht="19.5" customHeight="1">
      <c r="B230" s="1147"/>
      <c r="C230" s="1088"/>
      <c r="D230" s="1088" t="s">
        <v>472</v>
      </c>
      <c r="E230" s="1019" t="s">
        <v>170</v>
      </c>
      <c r="F230" s="944"/>
      <c r="G230" s="1087"/>
      <c r="H230" s="1148"/>
      <c r="I230" s="1149"/>
      <c r="J230" s="1022"/>
      <c r="K230" s="1023"/>
      <c r="L230" s="1243"/>
      <c r="M230" s="1244"/>
      <c r="N230" s="1244"/>
      <c r="O230" s="1244"/>
      <c r="P230" s="1244"/>
      <c r="Q230" s="1244"/>
      <c r="R230" s="1244"/>
      <c r="S230" s="1244"/>
      <c r="T230" s="1244"/>
      <c r="U230" s="1082"/>
      <c r="V230" s="1245"/>
    </row>
    <row r="231" spans="2:22" s="1128" customFormat="1" ht="19.5" customHeight="1">
      <c r="B231" s="1147"/>
      <c r="C231" s="1088"/>
      <c r="D231" s="1088"/>
      <c r="E231" s="1019"/>
      <c r="F231" s="944"/>
      <c r="G231" s="1087"/>
      <c r="H231" s="1148"/>
      <c r="I231" s="1149"/>
      <c r="J231" s="1022"/>
      <c r="K231" s="1023"/>
      <c r="L231" s="1243"/>
      <c r="M231" s="1244"/>
      <c r="N231" s="1244"/>
      <c r="O231" s="1244"/>
      <c r="P231" s="1244"/>
      <c r="Q231" s="1244"/>
      <c r="R231" s="1244"/>
      <c r="S231" s="1244"/>
      <c r="T231" s="1244"/>
      <c r="U231" s="1082"/>
      <c r="V231" s="1245"/>
    </row>
    <row r="232" spans="2:22" s="1128" customFormat="1" ht="19.5" customHeight="1">
      <c r="B232" s="940"/>
      <c r="C232" s="942"/>
      <c r="D232" s="942">
        <v>1</v>
      </c>
      <c r="E232" s="941" t="s">
        <v>241</v>
      </c>
      <c r="F232" s="944"/>
      <c r="G232" s="1087"/>
      <c r="H232" s="1148"/>
      <c r="I232" s="1149"/>
      <c r="J232" s="1022"/>
      <c r="K232" s="1023"/>
      <c r="L232" s="1243"/>
      <c r="M232" s="1244"/>
      <c r="N232" s="1244"/>
      <c r="O232" s="1244"/>
      <c r="P232" s="1244"/>
      <c r="Q232" s="1244"/>
      <c r="R232" s="1244"/>
      <c r="S232" s="1244"/>
      <c r="T232" s="1244"/>
      <c r="U232" s="1082"/>
      <c r="V232" s="1245"/>
    </row>
    <row r="233" spans="2:22" s="1128" customFormat="1" ht="19.5" customHeight="1">
      <c r="B233" s="1147"/>
      <c r="C233" s="1088"/>
      <c r="D233" s="1088"/>
      <c r="E233" s="2042" t="s">
        <v>473</v>
      </c>
      <c r="F233" s="944" t="s">
        <v>165</v>
      </c>
      <c r="G233" s="1087">
        <v>125.84</v>
      </c>
      <c r="H233" s="946">
        <v>125.84</v>
      </c>
      <c r="I233" s="1237">
        <v>28100</v>
      </c>
      <c r="J233" s="1022">
        <f t="shared" si="16"/>
        <v>3536104</v>
      </c>
      <c r="K233" s="374">
        <f>J233/'REKAP TOTAL'!F44</f>
        <v>2.9081976721279643E-4</v>
      </c>
      <c r="L233" s="1243"/>
      <c r="M233" s="1244"/>
      <c r="N233" s="1244"/>
      <c r="O233" s="1244"/>
      <c r="P233" s="1244"/>
      <c r="Q233" s="1244"/>
      <c r="R233" s="1244"/>
      <c r="S233" s="1244"/>
      <c r="T233" s="1244"/>
      <c r="U233" s="1082"/>
      <c r="V233" s="1245"/>
    </row>
    <row r="234" spans="2:22" s="1128" customFormat="1" ht="13.8">
      <c r="B234" s="940"/>
      <c r="C234" s="942"/>
      <c r="D234" s="942">
        <v>2</v>
      </c>
      <c r="E234" s="941" t="s">
        <v>245</v>
      </c>
      <c r="F234" s="944"/>
      <c r="G234" s="1087"/>
      <c r="H234" s="1148"/>
      <c r="I234" s="1149">
        <v>0</v>
      </c>
      <c r="J234" s="1022"/>
      <c r="K234" s="1023"/>
      <c r="L234" s="1243"/>
      <c r="M234" s="1244"/>
      <c r="N234" s="1244"/>
      <c r="O234" s="1244"/>
      <c r="P234" s="1244"/>
      <c r="Q234" s="1244"/>
      <c r="R234" s="1244"/>
      <c r="S234" s="1244"/>
      <c r="T234" s="1244"/>
      <c r="U234" s="1082"/>
      <c r="V234" s="1245"/>
    </row>
    <row r="235" spans="2:22" s="1128" customFormat="1" ht="13.8">
      <c r="B235" s="1147"/>
      <c r="C235" s="1088"/>
      <c r="D235" s="1088"/>
      <c r="E235" s="2042" t="s">
        <v>473</v>
      </c>
      <c r="F235" s="944" t="s">
        <v>165</v>
      </c>
      <c r="G235" s="1087">
        <v>113.74</v>
      </c>
      <c r="H235" s="946">
        <v>113.74</v>
      </c>
      <c r="I235" s="1237">
        <v>28100</v>
      </c>
      <c r="J235" s="1022">
        <f t="shared" si="16"/>
        <v>3196094</v>
      </c>
      <c r="K235" s="374">
        <f>J235/'REKAP TOTAL'!F44</f>
        <v>2.6285632805771983E-4</v>
      </c>
      <c r="L235" s="1243"/>
      <c r="M235" s="1244"/>
      <c r="N235" s="1244"/>
      <c r="O235" s="1244"/>
      <c r="P235" s="1244"/>
      <c r="Q235" s="1244"/>
      <c r="R235" s="1244"/>
      <c r="S235" s="1244"/>
      <c r="T235" s="1244"/>
      <c r="U235" s="1082"/>
      <c r="V235" s="1245"/>
    </row>
    <row r="236" spans="2:22" s="1128" customFormat="1" ht="13.8">
      <c r="B236" s="940"/>
      <c r="C236" s="942"/>
      <c r="D236" s="942">
        <v>3</v>
      </c>
      <c r="E236" s="2046" t="s">
        <v>254</v>
      </c>
      <c r="F236" s="944"/>
      <c r="G236" s="1087"/>
      <c r="H236" s="1148"/>
      <c r="I236" s="1237">
        <v>0</v>
      </c>
      <c r="J236" s="1022"/>
      <c r="K236" s="374"/>
      <c r="L236" s="1243"/>
      <c r="M236" s="1244"/>
      <c r="N236" s="1244"/>
      <c r="O236" s="1244"/>
      <c r="P236" s="1244"/>
      <c r="Q236" s="1244"/>
      <c r="R236" s="1244"/>
      <c r="S236" s="1244"/>
      <c r="T236" s="1244"/>
      <c r="U236" s="1082"/>
      <c r="V236" s="1245"/>
    </row>
    <row r="237" spans="2:22" s="1128" customFormat="1" ht="13.8">
      <c r="B237" s="1147"/>
      <c r="C237" s="1088"/>
      <c r="D237" s="1088"/>
      <c r="E237" s="2047" t="s">
        <v>474</v>
      </c>
      <c r="F237" s="944" t="s">
        <v>165</v>
      </c>
      <c r="G237" s="1087">
        <v>103.244625</v>
      </c>
      <c r="H237" s="946">
        <v>103.244625</v>
      </c>
      <c r="I237" s="1237">
        <v>28100</v>
      </c>
      <c r="J237" s="1022">
        <f t="shared" ref="J237:J256" si="17">$H237*I237</f>
        <v>2901173.9624999999</v>
      </c>
      <c r="K237" s="374">
        <f>J237/'REKAP TOTAL'!F44</f>
        <v>2.3860122225423126E-4</v>
      </c>
      <c r="L237" s="1243"/>
      <c r="M237" s="1244"/>
      <c r="N237" s="1244"/>
      <c r="O237" s="1244"/>
      <c r="P237" s="1244"/>
      <c r="Q237" s="1244"/>
      <c r="R237" s="1244"/>
      <c r="S237" s="1244"/>
      <c r="T237" s="1244"/>
      <c r="U237" s="1082"/>
      <c r="V237" s="1245"/>
    </row>
    <row r="238" spans="2:22" s="1128" customFormat="1" ht="13.8">
      <c r="B238" s="940"/>
      <c r="C238" s="942"/>
      <c r="D238" s="942">
        <v>4</v>
      </c>
      <c r="E238" s="2046" t="s">
        <v>256</v>
      </c>
      <c r="F238" s="944" t="s">
        <v>165</v>
      </c>
      <c r="G238" s="1087">
        <v>155.57145120000001</v>
      </c>
      <c r="H238" s="946">
        <v>155.57145120000001</v>
      </c>
      <c r="I238" s="1237">
        <v>28100</v>
      </c>
      <c r="J238" s="1022">
        <f t="shared" si="17"/>
        <v>4371557.7787199998</v>
      </c>
      <c r="K238" s="374">
        <f>J238/'REKAP TOTAL'!F44</f>
        <v>3.5952998428910457E-4</v>
      </c>
      <c r="L238" s="1243"/>
      <c r="M238" s="1244"/>
      <c r="N238" s="1244"/>
      <c r="O238" s="1244"/>
      <c r="P238" s="1244"/>
      <c r="Q238" s="1244"/>
      <c r="R238" s="1244"/>
      <c r="S238" s="1244"/>
      <c r="T238" s="1244"/>
      <c r="U238" s="1082"/>
      <c r="V238" s="1245"/>
    </row>
    <row r="239" spans="2:22" s="1128" customFormat="1" ht="13.8">
      <c r="B239" s="940"/>
      <c r="C239" s="942"/>
      <c r="D239" s="942">
        <f t="shared" ref="D239:D242" si="18">D238+1</f>
        <v>5</v>
      </c>
      <c r="E239" s="2046" t="s">
        <v>257</v>
      </c>
      <c r="F239" s="944" t="s">
        <v>165</v>
      </c>
      <c r="G239" s="1087">
        <v>6.4330496999999998</v>
      </c>
      <c r="H239" s="946">
        <v>6.4330496999999998</v>
      </c>
      <c r="I239" s="1237">
        <v>28100</v>
      </c>
      <c r="J239" s="1022">
        <f t="shared" si="17"/>
        <v>180768.69657</v>
      </c>
      <c r="K239" s="374">
        <f>J239/'REKAP TOTAL'!F44</f>
        <v>1.4866958170870549E-5</v>
      </c>
      <c r="L239" s="1243"/>
      <c r="M239" s="1244"/>
      <c r="N239" s="1244"/>
      <c r="O239" s="1244"/>
      <c r="P239" s="1244"/>
      <c r="Q239" s="1244"/>
      <c r="R239" s="1244"/>
      <c r="S239" s="1244"/>
      <c r="T239" s="1244"/>
      <c r="U239" s="1082"/>
      <c r="V239" s="1245"/>
    </row>
    <row r="240" spans="2:22" s="1128" customFormat="1" ht="13.8">
      <c r="B240" s="940"/>
      <c r="C240" s="942"/>
      <c r="D240" s="942">
        <f t="shared" si="18"/>
        <v>6</v>
      </c>
      <c r="E240" s="2046" t="s">
        <v>258</v>
      </c>
      <c r="F240" s="944" t="s">
        <v>165</v>
      </c>
      <c r="G240" s="1087">
        <v>7.1223050250000002</v>
      </c>
      <c r="H240" s="946">
        <v>7.1223050250000002</v>
      </c>
      <c r="I240" s="1237">
        <v>28100</v>
      </c>
      <c r="J240" s="1022">
        <f t="shared" si="17"/>
        <v>200136.77120250001</v>
      </c>
      <c r="K240" s="374">
        <f>J240/'REKAP TOTAL'!F44</f>
        <v>1.6459846546320964E-5</v>
      </c>
      <c r="L240" s="1243"/>
      <c r="M240" s="1244"/>
      <c r="N240" s="1244"/>
      <c r="O240" s="1244"/>
      <c r="P240" s="1244"/>
      <c r="Q240" s="1244"/>
      <c r="R240" s="1244"/>
      <c r="S240" s="1244"/>
      <c r="T240" s="1244"/>
      <c r="U240" s="1082"/>
      <c r="V240" s="1245"/>
    </row>
    <row r="241" spans="2:22" s="1128" customFormat="1" ht="13.8">
      <c r="B241" s="940"/>
      <c r="C241" s="942"/>
      <c r="D241" s="942">
        <v>7</v>
      </c>
      <c r="E241" s="2046" t="s">
        <v>259</v>
      </c>
      <c r="F241" s="944" t="s">
        <v>165</v>
      </c>
      <c r="G241" s="1087">
        <v>63.993928865625001</v>
      </c>
      <c r="H241" s="946">
        <v>63.993928865625001</v>
      </c>
      <c r="I241" s="1237">
        <v>28100</v>
      </c>
      <c r="J241" s="1022">
        <f t="shared" si="17"/>
        <v>1798229.4011240599</v>
      </c>
      <c r="K241" s="374">
        <f>J241/'REKAP TOTAL'!F44</f>
        <v>1.4789176331638025E-4</v>
      </c>
      <c r="L241" s="1243"/>
      <c r="M241" s="1244"/>
      <c r="N241" s="1244"/>
      <c r="O241" s="1244"/>
      <c r="P241" s="1244"/>
      <c r="Q241" s="1244"/>
      <c r="R241" s="1244"/>
      <c r="S241" s="1244"/>
      <c r="T241" s="1244"/>
      <c r="U241" s="1082"/>
      <c r="V241" s="1245"/>
    </row>
    <row r="242" spans="2:22" s="1128" customFormat="1" ht="13.8">
      <c r="B242" s="940"/>
      <c r="C242" s="942"/>
      <c r="D242" s="942">
        <f t="shared" si="18"/>
        <v>8</v>
      </c>
      <c r="E242" s="941" t="s">
        <v>260</v>
      </c>
      <c r="F242" s="944"/>
      <c r="G242" s="1087"/>
      <c r="H242" s="1148"/>
      <c r="I242" s="1237">
        <v>0</v>
      </c>
      <c r="J242" s="1022"/>
      <c r="K242" s="374"/>
      <c r="L242" s="1243"/>
      <c r="M242" s="1244"/>
      <c r="N242" s="1244"/>
      <c r="O242" s="1244"/>
      <c r="P242" s="1244"/>
      <c r="Q242" s="1244"/>
      <c r="R242" s="1244"/>
      <c r="S242" s="1244"/>
      <c r="T242" s="1244"/>
      <c r="U242" s="1082"/>
      <c r="V242" s="1245"/>
    </row>
    <row r="243" spans="2:22" s="1128" customFormat="1" ht="13.8">
      <c r="B243" s="940"/>
      <c r="C243" s="942"/>
      <c r="D243" s="942"/>
      <c r="E243" s="2042" t="s">
        <v>265</v>
      </c>
      <c r="F243" s="944" t="s">
        <v>262</v>
      </c>
      <c r="G243" s="1087">
        <v>216</v>
      </c>
      <c r="H243" s="946">
        <v>216</v>
      </c>
      <c r="I243" s="1202">
        <v>12200</v>
      </c>
      <c r="J243" s="1022">
        <f t="shared" si="17"/>
        <v>2635200</v>
      </c>
      <c r="K243" s="374">
        <f>J243/'REKAP TOTAL'!F44</f>
        <v>2.167267282181636E-4</v>
      </c>
      <c r="L243" s="1243"/>
      <c r="M243" s="1244"/>
      <c r="N243" s="1244"/>
      <c r="O243" s="1244"/>
      <c r="P243" s="1244"/>
      <c r="Q243" s="1244"/>
      <c r="R243" s="1244"/>
      <c r="S243" s="1244"/>
      <c r="T243" s="1244"/>
      <c r="U243" s="1082"/>
      <c r="V243" s="1245"/>
    </row>
    <row r="244" spans="2:22" s="1128" customFormat="1" ht="13.8">
      <c r="B244" s="940"/>
      <c r="C244" s="942"/>
      <c r="D244" s="942"/>
      <c r="E244" s="2042" t="s">
        <v>266</v>
      </c>
      <c r="F244" s="944" t="s">
        <v>262</v>
      </c>
      <c r="G244" s="1087">
        <v>2</v>
      </c>
      <c r="H244" s="946">
        <v>2</v>
      </c>
      <c r="I244" s="1202">
        <v>107700</v>
      </c>
      <c r="J244" s="1022">
        <f t="shared" si="17"/>
        <v>215400</v>
      </c>
      <c r="K244" s="374">
        <f>J244/'REKAP TOTAL'!F44</f>
        <v>1.7715140125300712E-5</v>
      </c>
      <c r="L244" s="1243"/>
      <c r="M244" s="1244"/>
      <c r="N244" s="1244"/>
      <c r="O244" s="1244"/>
      <c r="P244" s="1244"/>
      <c r="Q244" s="1244"/>
      <c r="R244" s="1244"/>
      <c r="S244" s="1244"/>
      <c r="T244" s="1244"/>
      <c r="U244" s="1082"/>
      <c r="V244" s="1245"/>
    </row>
    <row r="245" spans="2:22" s="1128" customFormat="1" ht="13.8">
      <c r="B245" s="940"/>
      <c r="C245" s="942"/>
      <c r="D245" s="942">
        <v>9</v>
      </c>
      <c r="E245" s="941" t="s">
        <v>270</v>
      </c>
      <c r="F245" s="944" t="s">
        <v>165</v>
      </c>
      <c r="G245" s="1087">
        <v>575.94535979062505</v>
      </c>
      <c r="H245" s="946">
        <v>575.94535979062505</v>
      </c>
      <c r="I245" s="1202">
        <v>3500</v>
      </c>
      <c r="J245" s="1022">
        <f t="shared" si="17"/>
        <v>2015808.75926719</v>
      </c>
      <c r="K245" s="374">
        <f>J245/'REKAP TOTAL'!F44</f>
        <v>1.6578614037245516E-4</v>
      </c>
      <c r="L245" s="1243"/>
      <c r="M245" s="1244"/>
      <c r="N245" s="1244"/>
      <c r="O245" s="1244"/>
      <c r="P245" s="1244"/>
      <c r="Q245" s="1244"/>
      <c r="R245" s="1244"/>
      <c r="S245" s="1244"/>
      <c r="T245" s="1244"/>
      <c r="U245" s="1082"/>
      <c r="V245" s="1245"/>
    </row>
    <row r="246" spans="2:22" s="1128" customFormat="1" ht="27.6">
      <c r="B246" s="940"/>
      <c r="C246" s="942"/>
      <c r="D246" s="942"/>
      <c r="E246" s="2041" t="s">
        <v>271</v>
      </c>
      <c r="F246" s="944"/>
      <c r="G246" s="1087"/>
      <c r="H246" s="1248"/>
      <c r="I246" s="1149"/>
      <c r="J246" s="1022"/>
      <c r="K246" s="1023"/>
      <c r="L246" s="1243"/>
      <c r="M246" s="1244"/>
      <c r="N246" s="1244"/>
      <c r="O246" s="1244"/>
      <c r="P246" s="1244"/>
      <c r="Q246" s="1244"/>
      <c r="R246" s="1244"/>
      <c r="S246" s="1244"/>
      <c r="T246" s="1244"/>
      <c r="U246" s="1082"/>
      <c r="V246" s="1245"/>
    </row>
    <row r="247" spans="2:22" s="1128" customFormat="1" ht="27.6">
      <c r="B247" s="940"/>
      <c r="C247" s="941"/>
      <c r="D247" s="941"/>
      <c r="E247" s="2041" t="s">
        <v>272</v>
      </c>
      <c r="F247" s="944"/>
      <c r="G247" s="1087"/>
      <c r="H247" s="1148"/>
      <c r="I247" s="1149"/>
      <c r="J247" s="1022"/>
      <c r="K247" s="1023"/>
      <c r="L247" s="1243"/>
      <c r="M247" s="1244"/>
      <c r="N247" s="1244"/>
      <c r="O247" s="1244"/>
      <c r="P247" s="1244"/>
      <c r="Q247" s="1244"/>
      <c r="R247" s="1244"/>
      <c r="S247" s="1244"/>
      <c r="T247" s="1244"/>
      <c r="U247" s="1082"/>
      <c r="V247" s="1245"/>
    </row>
    <row r="248" spans="2:22" s="1128" customFormat="1" ht="13.8">
      <c r="B248" s="940"/>
      <c r="C248" s="941"/>
      <c r="D248" s="941"/>
      <c r="E248" s="1101"/>
      <c r="F248" s="944"/>
      <c r="G248" s="1087"/>
      <c r="H248" s="1148"/>
      <c r="I248" s="1149"/>
      <c r="J248" s="1022"/>
      <c r="K248" s="1023"/>
      <c r="L248" s="1243"/>
      <c r="M248" s="1244"/>
      <c r="N248" s="1244"/>
      <c r="O248" s="1244"/>
      <c r="P248" s="1244"/>
      <c r="Q248" s="1244"/>
      <c r="R248" s="1244"/>
      <c r="S248" s="1244"/>
      <c r="T248" s="1244"/>
      <c r="U248" s="1082"/>
      <c r="V248" s="1245"/>
    </row>
    <row r="249" spans="2:22">
      <c r="B249" s="940"/>
      <c r="C249" s="1088"/>
      <c r="D249" s="1088" t="s">
        <v>475</v>
      </c>
      <c r="E249" s="1226" t="s">
        <v>172</v>
      </c>
      <c r="F249" s="944"/>
      <c r="G249" s="945"/>
      <c r="H249" s="946"/>
      <c r="I249" s="1021"/>
      <c r="J249" s="1022"/>
      <c r="K249" s="1023"/>
      <c r="L249" s="897"/>
      <c r="M249" s="898"/>
      <c r="N249" s="898"/>
      <c r="O249" s="877"/>
      <c r="P249" s="878"/>
      <c r="Q249" s="877"/>
      <c r="R249" s="879"/>
      <c r="S249" s="879"/>
      <c r="T249" s="879"/>
      <c r="U249" s="880"/>
      <c r="V249" s="996"/>
    </row>
    <row r="250" spans="2:22" ht="27.6">
      <c r="B250" s="1249"/>
      <c r="C250" s="1250"/>
      <c r="D250" s="942"/>
      <c r="E250" s="1251" t="s">
        <v>282</v>
      </c>
      <c r="F250" s="944" t="s">
        <v>220</v>
      </c>
      <c r="G250" s="1087">
        <v>9.6999999999999993</v>
      </c>
      <c r="H250" s="946">
        <v>9.6999999999999993</v>
      </c>
      <c r="I250" s="1202">
        <v>239300</v>
      </c>
      <c r="J250" s="1022">
        <f t="shared" si="17"/>
        <v>2321210</v>
      </c>
      <c r="K250" s="374">
        <f>J250/'REKAP TOTAL'!F44</f>
        <v>1.9090325167246642E-4</v>
      </c>
      <c r="L250" s="897"/>
      <c r="M250" s="898"/>
      <c r="N250" s="898"/>
      <c r="O250" s="877"/>
      <c r="P250" s="878"/>
      <c r="Q250" s="877"/>
      <c r="R250" s="879"/>
      <c r="S250" s="879"/>
      <c r="T250" s="879"/>
      <c r="U250" s="880"/>
      <c r="V250" s="996"/>
    </row>
    <row r="251" spans="2:22" ht="16.2">
      <c r="B251" s="1026"/>
      <c r="C251" s="1250"/>
      <c r="D251" s="942"/>
      <c r="E251" s="941" t="s">
        <v>283</v>
      </c>
      <c r="F251" s="944" t="s">
        <v>220</v>
      </c>
      <c r="G251" s="1087">
        <v>9.6999999999999993</v>
      </c>
      <c r="H251" s="946">
        <v>9.6999999999999993</v>
      </c>
      <c r="I251" s="1155">
        <v>96000</v>
      </c>
      <c r="J251" s="1022">
        <f t="shared" si="17"/>
        <v>931200</v>
      </c>
      <c r="K251" s="374">
        <f>J251/'REKAP TOTAL'!F44</f>
        <v>7.6584672630826482E-5</v>
      </c>
      <c r="L251" s="897"/>
      <c r="M251" s="898"/>
      <c r="N251" s="898"/>
      <c r="O251" s="877"/>
      <c r="P251" s="878"/>
      <c r="Q251" s="877"/>
      <c r="R251" s="879"/>
      <c r="S251" s="879"/>
      <c r="T251" s="879"/>
      <c r="U251" s="880"/>
      <c r="V251" s="996"/>
    </row>
    <row r="252" spans="2:22">
      <c r="B252" s="1026"/>
      <c r="C252" s="1250"/>
      <c r="D252" s="942"/>
      <c r="E252" s="952" t="s">
        <v>284</v>
      </c>
      <c r="F252" s="944" t="s">
        <v>88</v>
      </c>
      <c r="G252" s="1087">
        <v>3.0739999999999998</v>
      </c>
      <c r="H252" s="946">
        <v>3.0739999999999998</v>
      </c>
      <c r="I252" s="1202">
        <v>1037000</v>
      </c>
      <c r="J252" s="1022">
        <f t="shared" si="17"/>
        <v>3187738</v>
      </c>
      <c r="K252" s="374">
        <f>J252/'REKAP TOTAL'!F44</f>
        <v>2.6216910563020351E-4</v>
      </c>
      <c r="L252" s="897"/>
      <c r="M252" s="898"/>
      <c r="N252" s="898"/>
      <c r="O252" s="877"/>
      <c r="P252" s="878"/>
      <c r="Q252" s="877"/>
      <c r="R252" s="879"/>
      <c r="S252" s="879"/>
      <c r="T252" s="879"/>
      <c r="U252" s="880"/>
      <c r="V252" s="996"/>
    </row>
    <row r="253" spans="2:22">
      <c r="B253" s="1026"/>
      <c r="C253" s="1250"/>
      <c r="D253" s="942"/>
      <c r="E253" s="941" t="s">
        <v>285</v>
      </c>
      <c r="F253" s="944"/>
      <c r="G253" s="1148"/>
      <c r="H253" s="946">
        <v>0</v>
      </c>
      <c r="I253" s="1149">
        <v>0</v>
      </c>
      <c r="J253" s="1022"/>
      <c r="K253" s="1023"/>
      <c r="L253" s="897"/>
      <c r="M253" s="898"/>
      <c r="N253" s="898"/>
      <c r="O253" s="877"/>
      <c r="P253" s="878"/>
      <c r="Q253" s="877"/>
      <c r="R253" s="879"/>
      <c r="S253" s="879"/>
      <c r="T253" s="879"/>
      <c r="U253" s="880"/>
      <c r="V253" s="996"/>
    </row>
    <row r="254" spans="2:22">
      <c r="B254" s="1026"/>
      <c r="C254" s="1250"/>
      <c r="D254" s="942"/>
      <c r="E254" s="2042" t="s">
        <v>286</v>
      </c>
      <c r="F254" s="944" t="s">
        <v>88</v>
      </c>
      <c r="G254" s="1087">
        <v>3.0739999999999998</v>
      </c>
      <c r="H254" s="946">
        <v>3.0739999999999998</v>
      </c>
      <c r="I254" s="1237">
        <v>76300</v>
      </c>
      <c r="J254" s="1022">
        <f t="shared" si="17"/>
        <v>234546.2</v>
      </c>
      <c r="K254" s="659">
        <f>J254/'REKAP TOTAL'!F44</f>
        <v>1.9289780867487493E-5</v>
      </c>
      <c r="L254" s="897"/>
      <c r="M254" s="898"/>
      <c r="N254" s="898"/>
      <c r="O254" s="877"/>
      <c r="P254" s="878"/>
      <c r="Q254" s="877"/>
      <c r="R254" s="879"/>
      <c r="S254" s="879"/>
      <c r="T254" s="879"/>
      <c r="U254" s="880"/>
      <c r="V254" s="996"/>
    </row>
    <row r="255" spans="2:22">
      <c r="B255" s="1026"/>
      <c r="C255" s="1250"/>
      <c r="D255" s="942"/>
      <c r="E255" s="2042" t="s">
        <v>287</v>
      </c>
      <c r="F255" s="944" t="s">
        <v>88</v>
      </c>
      <c r="G255" s="1087">
        <v>3.0739999999999998</v>
      </c>
      <c r="H255" s="946">
        <v>3.0739999999999998</v>
      </c>
      <c r="I255" s="1237">
        <v>92600</v>
      </c>
      <c r="J255" s="1022">
        <f t="shared" si="17"/>
        <v>284652.40000000002</v>
      </c>
      <c r="K255" s="659">
        <f>J255/'REKAP TOTAL'!F44</f>
        <v>2.3410664591472371E-5</v>
      </c>
      <c r="L255" s="897"/>
      <c r="M255" s="898"/>
      <c r="N255" s="898"/>
      <c r="O255" s="877"/>
      <c r="P255" s="878"/>
      <c r="Q255" s="877"/>
      <c r="R255" s="879"/>
      <c r="S255" s="879"/>
      <c r="T255" s="879"/>
      <c r="U255" s="880"/>
      <c r="V255" s="996"/>
    </row>
    <row r="256" spans="2:22">
      <c r="B256" s="1026"/>
      <c r="C256" s="1250"/>
      <c r="D256" s="942"/>
      <c r="E256" s="2042" t="s">
        <v>288</v>
      </c>
      <c r="F256" s="944" t="s">
        <v>88</v>
      </c>
      <c r="G256" s="1087">
        <v>12.5</v>
      </c>
      <c r="H256" s="946">
        <v>12.5</v>
      </c>
      <c r="I256" s="1237">
        <v>92600</v>
      </c>
      <c r="J256" s="1022">
        <f t="shared" si="17"/>
        <v>1157500</v>
      </c>
      <c r="K256" s="374">
        <f>J256/'REKAP TOTAL'!F44</f>
        <v>9.5196261351140085E-5</v>
      </c>
      <c r="L256" s="897"/>
      <c r="M256" s="898"/>
      <c r="N256" s="898"/>
      <c r="O256" s="877"/>
      <c r="P256" s="878"/>
      <c r="Q256" s="877"/>
      <c r="R256" s="879"/>
      <c r="S256" s="879"/>
      <c r="T256" s="879"/>
      <c r="U256" s="880"/>
      <c r="V256" s="996"/>
    </row>
    <row r="257" spans="2:22" s="1129" customFormat="1">
      <c r="B257" s="1252"/>
      <c r="C257" s="1253"/>
      <c r="D257" s="1254" t="s">
        <v>26</v>
      </c>
      <c r="E257" s="1255" t="s">
        <v>476</v>
      </c>
      <c r="F257" s="1256" t="s">
        <v>135</v>
      </c>
      <c r="G257" s="1257"/>
      <c r="H257" s="1258"/>
      <c r="I257" s="1259"/>
      <c r="J257" s="1260" t="s">
        <v>477</v>
      </c>
      <c r="K257" s="1261"/>
      <c r="L257" s="1262"/>
      <c r="M257" s="1263"/>
      <c r="N257" s="1263"/>
      <c r="O257" s="1263"/>
      <c r="P257" s="1263"/>
      <c r="Q257" s="1263"/>
      <c r="R257" s="1263"/>
      <c r="S257" s="1263"/>
      <c r="T257" s="1263"/>
      <c r="U257" s="1264"/>
      <c r="V257" s="1265"/>
    </row>
    <row r="258" spans="2:22" ht="16.2">
      <c r="B258" s="1249"/>
      <c r="C258" s="1250"/>
      <c r="D258" s="942" t="s">
        <v>28</v>
      </c>
      <c r="E258" s="1266" t="s">
        <v>478</v>
      </c>
      <c r="F258" s="944" t="s">
        <v>220</v>
      </c>
      <c r="G258" s="1087">
        <v>6.25</v>
      </c>
      <c r="H258" s="946">
        <v>6.25</v>
      </c>
      <c r="I258" s="1202">
        <v>171500</v>
      </c>
      <c r="J258" s="1022">
        <f t="shared" ref="J258" si="19">$H258*I258</f>
        <v>1071875</v>
      </c>
      <c r="K258" s="374">
        <f>J258/'REKAP TOTAL'!F44</f>
        <v>8.8154205300866758E-5</v>
      </c>
      <c r="L258" s="897"/>
      <c r="M258" s="898"/>
      <c r="N258" s="898"/>
      <c r="O258" s="877"/>
      <c r="P258" s="878"/>
      <c r="Q258" s="877"/>
      <c r="R258" s="879"/>
      <c r="S258" s="879"/>
      <c r="T258" s="879"/>
      <c r="U258" s="880"/>
      <c r="V258" s="996"/>
    </row>
    <row r="259" spans="2:22">
      <c r="B259" s="1213"/>
      <c r="C259" s="904"/>
      <c r="D259" s="904"/>
      <c r="E259" s="904"/>
      <c r="F259" s="905"/>
      <c r="G259" s="906"/>
      <c r="H259" s="907"/>
      <c r="I259" s="908"/>
      <c r="J259" s="909"/>
      <c r="K259" s="910"/>
      <c r="L259" s="911"/>
      <c r="M259" s="1004"/>
      <c r="N259" s="1004"/>
      <c r="O259" s="1005"/>
      <c r="P259" s="1006"/>
      <c r="Q259" s="1005"/>
      <c r="R259" s="1007"/>
      <c r="S259" s="1007"/>
      <c r="T259" s="1007"/>
      <c r="U259" s="1138"/>
      <c r="V259" s="1009"/>
    </row>
    <row r="260" spans="2:22" ht="21" customHeight="1">
      <c r="B260" s="1077"/>
      <c r="C260" s="1078"/>
      <c r="D260" s="1078"/>
      <c r="E260" s="1079" t="s">
        <v>402</v>
      </c>
      <c r="F260" s="918"/>
      <c r="G260" s="919"/>
      <c r="H260" s="920"/>
      <c r="I260" s="1080"/>
      <c r="J260" s="922">
        <f>SUM(J143:J258)</f>
        <v>63946956.729335703</v>
      </c>
      <c r="K260" s="392">
        <f>J260/'REKAP TOTAL'!F44</f>
        <v>5.2591889463636183E-3</v>
      </c>
      <c r="L260" s="923"/>
      <c r="M260" s="1010"/>
      <c r="N260" s="1010"/>
      <c r="O260" s="1011"/>
      <c r="P260" s="1012"/>
      <c r="Q260" s="1011"/>
      <c r="R260" s="1013"/>
      <c r="S260" s="1013"/>
      <c r="T260" s="1013"/>
      <c r="U260" s="1140"/>
      <c r="V260" s="1015"/>
    </row>
    <row r="261" spans="2:22">
      <c r="F261" s="809"/>
    </row>
    <row r="262" spans="2:22">
      <c r="F262" s="809"/>
    </row>
    <row r="263" spans="2:22">
      <c r="F263" s="809"/>
    </row>
    <row r="264" spans="2:22">
      <c r="F264" s="809"/>
    </row>
    <row r="265" spans="2:22">
      <c r="F265" s="809"/>
    </row>
    <row r="266" spans="2:22">
      <c r="F266" s="809"/>
    </row>
    <row r="267" spans="2:22">
      <c r="F267" s="809"/>
    </row>
    <row r="268" spans="2:22">
      <c r="F268" s="809"/>
    </row>
    <row r="269" spans="2:22">
      <c r="F269" s="809"/>
    </row>
    <row r="270" spans="2:22">
      <c r="F270" s="809"/>
    </row>
    <row r="271" spans="2:22">
      <c r="F271" s="809"/>
    </row>
    <row r="272" spans="2:22">
      <c r="F272" s="809"/>
    </row>
    <row r="273" spans="6:6">
      <c r="F273" s="809"/>
    </row>
    <row r="274" spans="6:6">
      <c r="F274" s="809"/>
    </row>
    <row r="275" spans="6:6">
      <c r="F275" s="809"/>
    </row>
    <row r="276" spans="6:6">
      <c r="F276" s="809"/>
    </row>
    <row r="277" spans="6:6">
      <c r="F277" s="809"/>
    </row>
    <row r="278" spans="6:6">
      <c r="F278" s="809"/>
    </row>
    <row r="279" spans="6:6">
      <c r="F279" s="809"/>
    </row>
    <row r="280" spans="6:6">
      <c r="F280" s="809"/>
    </row>
    <row r="281" spans="6:6">
      <c r="F281" s="809"/>
    </row>
    <row r="282" spans="6:6">
      <c r="F282" s="809"/>
    </row>
    <row r="283" spans="6:6">
      <c r="F283" s="809"/>
    </row>
    <row r="284" spans="6:6">
      <c r="F284" s="809"/>
    </row>
    <row r="285" spans="6:6">
      <c r="F285" s="809"/>
    </row>
    <row r="286" spans="6:6">
      <c r="F286" s="809"/>
    </row>
    <row r="287" spans="6:6">
      <c r="F287" s="809"/>
    </row>
    <row r="288" spans="6:6">
      <c r="F288" s="809"/>
    </row>
    <row r="289" spans="6:6">
      <c r="F289" s="809"/>
    </row>
    <row r="290" spans="6:6">
      <c r="F290" s="809"/>
    </row>
    <row r="291" spans="6:6">
      <c r="F291" s="809"/>
    </row>
    <row r="292" spans="6:6">
      <c r="F292" s="809"/>
    </row>
    <row r="293" spans="6:6">
      <c r="F293" s="809"/>
    </row>
    <row r="294" spans="6:6">
      <c r="F294" s="809"/>
    </row>
    <row r="295" spans="6:6">
      <c r="F295" s="809"/>
    </row>
    <row r="296" spans="6:6">
      <c r="F296" s="809"/>
    </row>
    <row r="297" spans="6:6">
      <c r="F297" s="809"/>
    </row>
    <row r="298" spans="6:6">
      <c r="F298" s="809"/>
    </row>
    <row r="299" spans="6:6">
      <c r="F299" s="809"/>
    </row>
    <row r="300" spans="6:6">
      <c r="F300" s="809"/>
    </row>
    <row r="301" spans="6:6">
      <c r="F301" s="809"/>
    </row>
    <row r="302" spans="6:6">
      <c r="F302" s="809"/>
    </row>
    <row r="303" spans="6:6">
      <c r="F303" s="809"/>
    </row>
    <row r="304" spans="6:6">
      <c r="F304" s="809"/>
    </row>
    <row r="305" spans="6:6">
      <c r="F305" s="809"/>
    </row>
    <row r="306" spans="6:6">
      <c r="F306" s="809"/>
    </row>
    <row r="307" spans="6:6">
      <c r="F307" s="809"/>
    </row>
    <row r="308" spans="6:6">
      <c r="F308" s="809"/>
    </row>
    <row r="309" spans="6:6">
      <c r="F309" s="809"/>
    </row>
    <row r="310" spans="6:6">
      <c r="F310" s="809"/>
    </row>
    <row r="311" spans="6:6">
      <c r="F311" s="809"/>
    </row>
    <row r="312" spans="6:6">
      <c r="F312" s="809"/>
    </row>
    <row r="313" spans="6:6">
      <c r="F313" s="809"/>
    </row>
    <row r="314" spans="6:6">
      <c r="F314" s="809"/>
    </row>
    <row r="315" spans="6:6">
      <c r="F315" s="809"/>
    </row>
    <row r="316" spans="6:6">
      <c r="F316" s="809"/>
    </row>
    <row r="317" spans="6:6">
      <c r="F317" s="809"/>
    </row>
    <row r="318" spans="6:6">
      <c r="F318" s="809"/>
    </row>
    <row r="319" spans="6:6">
      <c r="F319" s="809"/>
    </row>
    <row r="320" spans="6:6">
      <c r="F320" s="809"/>
    </row>
    <row r="321" spans="6:6">
      <c r="F321" s="809"/>
    </row>
    <row r="322" spans="6:6">
      <c r="F322" s="809"/>
    </row>
    <row r="323" spans="6:6">
      <c r="F323" s="809"/>
    </row>
    <row r="324" spans="6:6">
      <c r="F324" s="809"/>
    </row>
    <row r="325" spans="6:6">
      <c r="F325" s="809"/>
    </row>
    <row r="326" spans="6:6">
      <c r="F326" s="809"/>
    </row>
    <row r="327" spans="6:6">
      <c r="F327" s="809"/>
    </row>
    <row r="328" spans="6:6">
      <c r="F328" s="809"/>
    </row>
    <row r="329" spans="6:6">
      <c r="F329" s="809"/>
    </row>
    <row r="330" spans="6:6">
      <c r="F330" s="809"/>
    </row>
    <row r="331" spans="6:6">
      <c r="F331" s="809"/>
    </row>
    <row r="332" spans="6:6">
      <c r="F332" s="809"/>
    </row>
    <row r="333" spans="6:6">
      <c r="F333" s="809"/>
    </row>
    <row r="334" spans="6:6">
      <c r="F334" s="809"/>
    </row>
    <row r="335" spans="6:6">
      <c r="F335" s="809"/>
    </row>
    <row r="336" spans="6:6">
      <c r="F336" s="809"/>
    </row>
    <row r="337" spans="6:6">
      <c r="F337" s="809"/>
    </row>
    <row r="338" spans="6:6">
      <c r="F338" s="809"/>
    </row>
    <row r="339" spans="6:6">
      <c r="F339" s="809"/>
    </row>
    <row r="340" spans="6:6">
      <c r="F340" s="809"/>
    </row>
    <row r="341" spans="6:6">
      <c r="F341" s="809"/>
    </row>
    <row r="342" spans="6:6">
      <c r="F342" s="809"/>
    </row>
    <row r="343" spans="6:6">
      <c r="F343" s="809"/>
    </row>
    <row r="344" spans="6:6">
      <c r="F344" s="809"/>
    </row>
    <row r="345" spans="6:6">
      <c r="F345" s="809"/>
    </row>
    <row r="346" spans="6:6">
      <c r="F346" s="809"/>
    </row>
    <row r="347" spans="6:6">
      <c r="F347" s="809"/>
    </row>
    <row r="348" spans="6:6">
      <c r="F348" s="809"/>
    </row>
    <row r="349" spans="6:6">
      <c r="F349" s="809"/>
    </row>
    <row r="350" spans="6:6">
      <c r="F350" s="809"/>
    </row>
    <row r="351" spans="6:6">
      <c r="F351" s="809"/>
    </row>
    <row r="352" spans="6:6">
      <c r="F352" s="809"/>
    </row>
    <row r="353" spans="6:6">
      <c r="F353" s="809"/>
    </row>
    <row r="354" spans="6:6">
      <c r="F354" s="809"/>
    </row>
    <row r="355" spans="6:6">
      <c r="F355" s="809"/>
    </row>
    <row r="356" spans="6:6">
      <c r="F356" s="809"/>
    </row>
    <row r="357" spans="6:6">
      <c r="F357" s="809"/>
    </row>
    <row r="358" spans="6:6">
      <c r="F358" s="809"/>
    </row>
    <row r="359" spans="6:6">
      <c r="F359" s="809"/>
    </row>
    <row r="360" spans="6:6">
      <c r="F360" s="809"/>
    </row>
    <row r="361" spans="6:6">
      <c r="F361" s="809"/>
    </row>
    <row r="362" spans="6:6">
      <c r="F362" s="809"/>
    </row>
    <row r="363" spans="6:6">
      <c r="F363" s="809"/>
    </row>
    <row r="364" spans="6:6">
      <c r="F364" s="809"/>
    </row>
    <row r="365" spans="6:6">
      <c r="F365" s="809"/>
    </row>
    <row r="366" spans="6:6">
      <c r="F366" s="809"/>
    </row>
    <row r="367" spans="6:6">
      <c r="F367" s="809"/>
    </row>
    <row r="368" spans="6:6">
      <c r="F368" s="809"/>
    </row>
    <row r="369" spans="6:6">
      <c r="F369" s="809"/>
    </row>
    <row r="370" spans="6:6">
      <c r="F370" s="809"/>
    </row>
    <row r="371" spans="6:6">
      <c r="F371" s="809"/>
    </row>
    <row r="372" spans="6:6">
      <c r="F372" s="809"/>
    </row>
    <row r="373" spans="6:6">
      <c r="F373" s="809"/>
    </row>
    <row r="374" spans="6:6">
      <c r="F374" s="809"/>
    </row>
    <row r="375" spans="6:6">
      <c r="F375" s="809"/>
    </row>
    <row r="376" spans="6:6">
      <c r="F376" s="809"/>
    </row>
    <row r="377" spans="6:6">
      <c r="F377" s="809"/>
    </row>
    <row r="378" spans="6:6">
      <c r="F378" s="809"/>
    </row>
    <row r="379" spans="6:6">
      <c r="F379" s="809"/>
    </row>
    <row r="380" spans="6:6">
      <c r="F380" s="809"/>
    </row>
    <row r="381" spans="6:6">
      <c r="F381" s="809"/>
    </row>
    <row r="382" spans="6:6">
      <c r="F382" s="809"/>
    </row>
    <row r="383" spans="6:6">
      <c r="F383" s="809"/>
    </row>
    <row r="384" spans="6:6">
      <c r="F384" s="809"/>
    </row>
    <row r="385" spans="6:6">
      <c r="F385" s="809"/>
    </row>
    <row r="386" spans="6:6">
      <c r="F386" s="809"/>
    </row>
    <row r="387" spans="6:6">
      <c r="F387" s="809"/>
    </row>
    <row r="388" spans="6:6">
      <c r="F388" s="809"/>
    </row>
    <row r="389" spans="6:6">
      <c r="F389" s="809"/>
    </row>
    <row r="390" spans="6:6">
      <c r="F390" s="809"/>
    </row>
    <row r="391" spans="6:6">
      <c r="F391" s="809"/>
    </row>
    <row r="392" spans="6:6">
      <c r="F392" s="809"/>
    </row>
    <row r="393" spans="6:6">
      <c r="F393" s="809"/>
    </row>
    <row r="394" spans="6:6">
      <c r="F394" s="809"/>
    </row>
    <row r="395" spans="6:6">
      <c r="F395" s="809"/>
    </row>
    <row r="396" spans="6:6">
      <c r="F396" s="809"/>
    </row>
    <row r="397" spans="6:6">
      <c r="F397" s="809"/>
    </row>
    <row r="398" spans="6:6">
      <c r="F398" s="809"/>
    </row>
    <row r="399" spans="6:6">
      <c r="F399" s="809"/>
    </row>
    <row r="400" spans="6:6">
      <c r="F400" s="809"/>
    </row>
    <row r="401" spans="6:6">
      <c r="F401" s="809"/>
    </row>
    <row r="402" spans="6:6">
      <c r="F402" s="809"/>
    </row>
    <row r="403" spans="6:6">
      <c r="F403" s="809"/>
    </row>
    <row r="404" spans="6:6">
      <c r="F404" s="809"/>
    </row>
    <row r="405" spans="6:6">
      <c r="F405" s="809"/>
    </row>
    <row r="406" spans="6:6">
      <c r="F406" s="809"/>
    </row>
    <row r="407" spans="6:6">
      <c r="F407" s="809"/>
    </row>
    <row r="408" spans="6:6">
      <c r="F408" s="809"/>
    </row>
    <row r="409" spans="6:6">
      <c r="F409" s="809"/>
    </row>
    <row r="410" spans="6:6">
      <c r="F410" s="809"/>
    </row>
    <row r="411" spans="6:6">
      <c r="F411" s="809"/>
    </row>
    <row r="412" spans="6:6">
      <c r="F412" s="809"/>
    </row>
    <row r="413" spans="6:6">
      <c r="F413" s="809"/>
    </row>
    <row r="414" spans="6:6">
      <c r="F414" s="809"/>
    </row>
    <row r="415" spans="6:6">
      <c r="F415" s="809"/>
    </row>
    <row r="416" spans="6:6">
      <c r="F416" s="809"/>
    </row>
    <row r="417" spans="6:6">
      <c r="F417" s="809"/>
    </row>
    <row r="418" spans="6:6">
      <c r="F418" s="809"/>
    </row>
    <row r="419" spans="6:6">
      <c r="F419" s="809"/>
    </row>
    <row r="420" spans="6:6">
      <c r="F420" s="809"/>
    </row>
    <row r="421" spans="6:6">
      <c r="F421" s="809"/>
    </row>
    <row r="422" spans="6:6">
      <c r="F422" s="809"/>
    </row>
    <row r="423" spans="6:6">
      <c r="F423" s="809"/>
    </row>
    <row r="424" spans="6:6">
      <c r="F424" s="809"/>
    </row>
    <row r="425" spans="6:6">
      <c r="F425" s="809"/>
    </row>
    <row r="426" spans="6:6">
      <c r="F426" s="809"/>
    </row>
    <row r="427" spans="6:6">
      <c r="F427" s="809"/>
    </row>
    <row r="428" spans="6:6">
      <c r="F428" s="809"/>
    </row>
    <row r="429" spans="6:6">
      <c r="F429" s="809"/>
    </row>
    <row r="430" spans="6:6">
      <c r="F430" s="809"/>
    </row>
    <row r="431" spans="6:6">
      <c r="F431" s="809"/>
    </row>
    <row r="432" spans="6:6">
      <c r="F432" s="809"/>
    </row>
    <row r="433" spans="6:6">
      <c r="F433" s="809"/>
    </row>
  </sheetData>
  <mergeCells count="11">
    <mergeCell ref="U8:V9"/>
    <mergeCell ref="C8:E9"/>
    <mergeCell ref="L8:N8"/>
    <mergeCell ref="O8:Q8"/>
    <mergeCell ref="B8:B9"/>
    <mergeCell ref="F8:F9"/>
    <mergeCell ref="G8:G9"/>
    <mergeCell ref="H8:H9"/>
    <mergeCell ref="I8:I9"/>
    <mergeCell ref="J8:J9"/>
    <mergeCell ref="K8:K9"/>
  </mergeCells>
  <printOptions horizontalCentered="1"/>
  <pageMargins left="0.59055118110236204" right="0.31496062992126" top="0.55118110236220497" bottom="0.74803149606299202" header="0" footer="0.31496062992126"/>
  <pageSetup paperSize="9" scale="57" fitToHeight="0" orientation="portrait" r:id="rId1"/>
  <headerFooter alignWithMargins="0">
    <oddFooter>&amp;L&amp;10Bill Quantity
Proyek : SHOOWROM &amp; WORKSHOP
DSO CABANG BATAM KEPULAUAN RIAU&amp;C&amp;A&amp;RPage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U310"/>
  <sheetViews>
    <sheetView showGridLines="0" view="pageBreakPreview" topLeftCell="A21" zoomScale="55" zoomScaleNormal="70" workbookViewId="0">
      <selection activeCell="AC27" sqref="AC27"/>
    </sheetView>
  </sheetViews>
  <sheetFormatPr defaultColWidth="9" defaultRowHeight="14.4"/>
  <cols>
    <col min="2" max="2" width="4.6640625" style="809" customWidth="1"/>
    <col min="3" max="4" width="2.5546875" style="803" customWidth="1"/>
    <col min="5" max="5" width="88.44140625" style="803" customWidth="1"/>
    <col min="6" max="6" width="7.44140625" style="810" customWidth="1"/>
    <col min="7" max="7" width="12.88671875" style="811" customWidth="1"/>
    <col min="8" max="8" width="18" style="812" hidden="1" customWidth="1"/>
    <col min="9" max="9" width="18" style="813" hidden="1" customWidth="1"/>
    <col min="10" max="10" width="23.109375" style="813" hidden="1" customWidth="1"/>
    <col min="11" max="11" width="23.109375" style="813" customWidth="1"/>
    <col min="12" max="12" width="11.88671875" style="805" customWidth="1"/>
    <col min="13" max="13" width="23.109375" style="813" customWidth="1"/>
    <col min="14" max="14" width="17.88671875" style="813" customWidth="1"/>
    <col min="15" max="15" width="10.6640625" style="814" customWidth="1"/>
    <col min="16" max="16" width="15.5546875" style="815" customWidth="1"/>
    <col min="17" max="17" width="13.6640625" style="814" customWidth="1"/>
    <col min="19" max="19" width="14.77734375" customWidth="1"/>
    <col min="20" max="20" width="12.33203125" customWidth="1"/>
  </cols>
  <sheetData>
    <row r="1" spans="2:21">
      <c r="B1" s="816" t="str">
        <f>'I. PERSIAPAN'!B1</f>
        <v>PROGRESS MINGGUAN</v>
      </c>
      <c r="C1" s="817"/>
      <c r="D1" s="817"/>
      <c r="E1" s="817"/>
      <c r="F1" s="818"/>
      <c r="G1" s="818"/>
      <c r="H1" s="819"/>
      <c r="I1" s="820"/>
      <c r="J1" s="820"/>
      <c r="K1" s="820"/>
      <c r="L1" s="821"/>
      <c r="M1" s="820"/>
      <c r="N1" s="820"/>
    </row>
    <row r="2" spans="2:21">
      <c r="B2" s="816" t="str">
        <f>'I. PERSIAPAN'!B2</f>
        <v>PROYEK SHOWROOM &amp; WORKSHOP</v>
      </c>
      <c r="C2" s="817"/>
      <c r="D2" s="817"/>
      <c r="E2" s="817"/>
      <c r="F2" s="818"/>
      <c r="G2" s="818"/>
      <c r="H2" s="819"/>
      <c r="I2" s="820"/>
      <c r="J2" s="820"/>
      <c r="K2" s="820"/>
      <c r="L2" s="821"/>
      <c r="M2" s="820"/>
      <c r="N2" s="820"/>
    </row>
    <row r="3" spans="2:21">
      <c r="B3" s="816" t="str">
        <f>'I. PERSIAPAN'!B3</f>
        <v>DAIHATSU Cabang BATAM-KEPULAUAN RIAU</v>
      </c>
      <c r="C3" s="822"/>
      <c r="D3" s="822"/>
      <c r="E3" s="822"/>
      <c r="F3" s="823"/>
      <c r="G3" s="823"/>
      <c r="H3" s="824"/>
      <c r="I3" s="825"/>
      <c r="J3" s="825"/>
      <c r="K3" s="825"/>
      <c r="L3" s="826"/>
      <c r="M3" s="825"/>
      <c r="N3" s="825"/>
    </row>
    <row r="4" spans="2:21">
      <c r="B4" s="816" t="str">
        <f>'I. PERSIAPAN'!B4</f>
        <v xml:space="preserve">PT. ASTRA INTERNATIONAL Tbk </v>
      </c>
      <c r="C4" s="822"/>
      <c r="D4" s="822"/>
      <c r="E4" s="822"/>
      <c r="F4" s="823"/>
      <c r="G4" s="823"/>
      <c r="H4" s="824"/>
      <c r="I4" s="825"/>
      <c r="J4" s="825"/>
      <c r="K4" s="825"/>
      <c r="L4" s="826"/>
      <c r="M4" s="825"/>
      <c r="N4" s="825"/>
    </row>
    <row r="5" spans="2:21">
      <c r="B5" s="816" t="str">
        <f>'I. PERSIAPAN'!B5</f>
        <v>PERIODE : 6- 18 April2026</v>
      </c>
      <c r="C5" s="827"/>
      <c r="D5" s="827"/>
      <c r="E5" s="827"/>
      <c r="F5" s="828"/>
      <c r="G5" s="828"/>
      <c r="H5" s="829"/>
      <c r="I5" s="830"/>
      <c r="J5" s="830"/>
      <c r="K5" s="830"/>
      <c r="L5" s="831"/>
      <c r="M5" s="830"/>
      <c r="N5" s="830"/>
    </row>
    <row r="6" spans="2:21">
      <c r="B6" s="816" t="str">
        <f>'I. PERSIAPAN'!B6</f>
        <v>MINGGU KE 2 (Dua)</v>
      </c>
      <c r="C6" s="832"/>
      <c r="D6" s="832"/>
      <c r="E6" s="832"/>
      <c r="F6" s="833"/>
      <c r="G6" s="834"/>
      <c r="H6" s="835"/>
      <c r="I6" s="836"/>
      <c r="J6" s="836"/>
      <c r="K6" s="836"/>
      <c r="L6" s="837"/>
      <c r="M6" s="836"/>
      <c r="N6" s="836"/>
    </row>
    <row r="7" spans="2:21">
      <c r="B7" s="838"/>
      <c r="C7" s="838"/>
      <c r="D7" s="838"/>
      <c r="E7" s="838"/>
      <c r="F7" s="839"/>
      <c r="G7" s="840"/>
      <c r="H7" s="841"/>
      <c r="I7" s="842"/>
      <c r="J7" s="843"/>
      <c r="K7" s="843"/>
      <c r="L7" s="844"/>
      <c r="M7" s="843"/>
      <c r="N7" s="843"/>
    </row>
    <row r="8" spans="2:21">
      <c r="B8" s="2145" t="s">
        <v>58</v>
      </c>
      <c r="C8" s="2138" t="s">
        <v>11</v>
      </c>
      <c r="D8" s="2139"/>
      <c r="E8" s="2140"/>
      <c r="F8" s="2147" t="s">
        <v>59</v>
      </c>
      <c r="G8" s="2149" t="s">
        <v>60</v>
      </c>
      <c r="H8" s="335" t="s">
        <v>60</v>
      </c>
      <c r="I8" s="335" t="s">
        <v>60</v>
      </c>
      <c r="J8" s="335" t="s">
        <v>60</v>
      </c>
      <c r="K8" s="2161" t="s">
        <v>14</v>
      </c>
      <c r="L8" s="2099" t="s">
        <v>64</v>
      </c>
      <c r="M8" s="2099"/>
      <c r="N8" s="2099"/>
      <c r="O8" s="2099" t="s">
        <v>16</v>
      </c>
      <c r="P8" s="2099"/>
      <c r="Q8" s="2099"/>
      <c r="R8" s="336" t="s">
        <v>65</v>
      </c>
      <c r="S8" s="336"/>
      <c r="T8" s="989"/>
      <c r="U8" s="2153" t="s">
        <v>18</v>
      </c>
    </row>
    <row r="9" spans="2:21">
      <c r="B9" s="2158"/>
      <c r="C9" s="2155"/>
      <c r="D9" s="2156"/>
      <c r="E9" s="2157"/>
      <c r="F9" s="2159"/>
      <c r="G9" s="2160"/>
      <c r="H9" s="990"/>
      <c r="I9" s="991" t="s">
        <v>19</v>
      </c>
      <c r="J9" s="991" t="s">
        <v>19</v>
      </c>
      <c r="K9" s="2162"/>
      <c r="L9" s="340" t="s">
        <v>20</v>
      </c>
      <c r="M9" s="341" t="s">
        <v>21</v>
      </c>
      <c r="N9" s="342" t="s">
        <v>14</v>
      </c>
      <c r="O9" s="340" t="s">
        <v>20</v>
      </c>
      <c r="P9" s="343" t="s">
        <v>21</v>
      </c>
      <c r="Q9" s="343" t="s">
        <v>14</v>
      </c>
      <c r="R9" s="344" t="s">
        <v>20</v>
      </c>
      <c r="S9" s="340" t="s">
        <v>21</v>
      </c>
      <c r="T9" s="992" t="s">
        <v>14</v>
      </c>
      <c r="U9" s="2154"/>
    </row>
    <row r="10" spans="2:21">
      <c r="B10" s="852"/>
      <c r="C10" s="853"/>
      <c r="D10" s="854"/>
      <c r="E10" s="855"/>
      <c r="F10" s="856"/>
      <c r="G10" s="857"/>
      <c r="H10" s="858"/>
      <c r="I10" s="859"/>
      <c r="J10" s="860"/>
      <c r="K10" s="861"/>
      <c r="L10" s="862"/>
      <c r="M10" s="859"/>
      <c r="N10" s="859"/>
      <c r="O10" s="863"/>
      <c r="P10" s="864"/>
      <c r="Q10" s="863"/>
      <c r="R10" s="865"/>
      <c r="S10" s="865"/>
      <c r="T10" s="993"/>
      <c r="U10" s="994"/>
    </row>
    <row r="11" spans="2:21">
      <c r="B11" s="867" t="s">
        <v>37</v>
      </c>
      <c r="C11" s="868"/>
      <c r="D11" s="869"/>
      <c r="E11" s="869" t="s">
        <v>479</v>
      </c>
      <c r="F11" s="870"/>
      <c r="G11" s="871"/>
      <c r="H11" s="872"/>
      <c r="I11" s="873"/>
      <c r="J11" s="874"/>
      <c r="K11" s="875"/>
      <c r="L11" s="876"/>
      <c r="M11" s="873"/>
      <c r="N11" s="873"/>
      <c r="O11" s="877"/>
      <c r="P11" s="878"/>
      <c r="Q11" s="877"/>
      <c r="R11" s="879"/>
      <c r="S11" s="879"/>
      <c r="T11" s="995"/>
      <c r="U11" s="996"/>
    </row>
    <row r="12" spans="2:21" s="803" customFormat="1" ht="13.8">
      <c r="B12" s="867"/>
      <c r="C12" s="868"/>
      <c r="D12" s="869"/>
      <c r="E12" s="869"/>
      <c r="F12" s="870"/>
      <c r="G12" s="881"/>
      <c r="H12" s="882"/>
      <c r="I12" s="883"/>
      <c r="J12" s="884"/>
      <c r="K12" s="885"/>
      <c r="L12" s="876"/>
      <c r="M12" s="883"/>
      <c r="N12" s="883"/>
      <c r="O12" s="886"/>
      <c r="P12" s="887"/>
      <c r="Q12" s="886"/>
      <c r="R12" s="888"/>
      <c r="S12" s="888"/>
      <c r="T12" s="997"/>
      <c r="U12" s="998"/>
    </row>
    <row r="13" spans="2:21" s="804" customFormat="1" ht="13.8">
      <c r="B13" s="890"/>
      <c r="C13" s="891"/>
      <c r="D13" s="891"/>
      <c r="E13" s="892"/>
      <c r="F13" s="870"/>
      <c r="G13" s="881"/>
      <c r="H13" s="882"/>
      <c r="I13" s="883"/>
      <c r="J13" s="884"/>
      <c r="K13" s="885"/>
      <c r="L13" s="893"/>
      <c r="M13" s="894"/>
      <c r="N13" s="894"/>
      <c r="O13" s="894"/>
      <c r="P13" s="894"/>
      <c r="Q13" s="894"/>
      <c r="R13" s="894"/>
      <c r="S13" s="894"/>
      <c r="T13" s="999"/>
      <c r="U13" s="1000"/>
    </row>
    <row r="14" spans="2:21">
      <c r="B14" s="867">
        <f>B29</f>
        <v>1</v>
      </c>
      <c r="C14" s="889"/>
      <c r="D14" s="891"/>
      <c r="E14" s="895" t="s">
        <v>35</v>
      </c>
      <c r="F14" s="870"/>
      <c r="G14" s="887"/>
      <c r="H14" s="896"/>
      <c r="I14" s="873"/>
      <c r="J14" s="874"/>
      <c r="K14" s="875"/>
      <c r="L14" s="897"/>
      <c r="M14" s="898"/>
      <c r="N14" s="898"/>
      <c r="O14" s="877"/>
      <c r="P14" s="878"/>
      <c r="Q14" s="877"/>
      <c r="R14" s="879"/>
      <c r="S14" s="879"/>
      <c r="T14" s="995"/>
      <c r="U14" s="996"/>
    </row>
    <row r="15" spans="2:21">
      <c r="B15" s="899"/>
      <c r="C15" s="889"/>
      <c r="D15" s="891"/>
      <c r="E15" s="891"/>
      <c r="F15" s="870"/>
      <c r="G15" s="887"/>
      <c r="H15" s="896"/>
      <c r="I15" s="873"/>
      <c r="J15" s="874"/>
      <c r="K15" s="875"/>
      <c r="L15" s="897"/>
      <c r="M15" s="898"/>
      <c r="N15" s="898"/>
      <c r="O15" s="877"/>
      <c r="P15" s="878"/>
      <c r="Q15" s="877"/>
      <c r="R15" s="879"/>
      <c r="S15" s="879"/>
      <c r="T15" s="995"/>
      <c r="U15" s="996"/>
    </row>
    <row r="16" spans="2:21">
      <c r="B16" s="900" t="s">
        <v>32</v>
      </c>
      <c r="C16" s="889"/>
      <c r="D16" s="891"/>
      <c r="E16" s="901" t="str">
        <f>E31</f>
        <v>PEKERJAAN PASANGAN BATU BATA &amp; PLESTERAN</v>
      </c>
      <c r="F16" s="870"/>
      <c r="G16" s="871"/>
      <c r="H16" s="872"/>
      <c r="I16" s="873"/>
      <c r="J16" s="874">
        <f>$J$39</f>
        <v>8729370</v>
      </c>
      <c r="K16" s="374">
        <f>J16/'REKAP TOTAL'!F44</f>
        <v>7.1792949283006632E-4</v>
      </c>
      <c r="L16" s="897"/>
      <c r="M16" s="898"/>
      <c r="N16" s="898"/>
      <c r="O16" s="877"/>
      <c r="P16" s="878"/>
      <c r="Q16" s="877"/>
      <c r="R16" s="879"/>
      <c r="S16" s="879"/>
      <c r="T16" s="995"/>
      <c r="U16" s="996"/>
    </row>
    <row r="17" spans="2:21">
      <c r="B17" s="900" t="s">
        <v>34</v>
      </c>
      <c r="C17" s="889"/>
      <c r="D17" s="891"/>
      <c r="E17" s="891" t="str">
        <f>E41</f>
        <v>PEKERJAAN DINDING PARTISI GYPSUM</v>
      </c>
      <c r="F17" s="870"/>
      <c r="G17" s="887"/>
      <c r="H17" s="896"/>
      <c r="I17" s="873"/>
      <c r="J17" s="874">
        <f>$J$47</f>
        <v>6213990</v>
      </c>
      <c r="K17" s="374">
        <f>J17/'REKAP TOTAL'!F44</f>
        <v>5.1105711971781507E-4</v>
      </c>
      <c r="L17" s="897"/>
      <c r="M17" s="898"/>
      <c r="N17" s="898"/>
      <c r="O17" s="877"/>
      <c r="P17" s="878"/>
      <c r="Q17" s="877"/>
      <c r="R17" s="879"/>
      <c r="S17" s="879"/>
      <c r="T17" s="995"/>
      <c r="U17" s="996"/>
    </row>
    <row r="18" spans="2:21">
      <c r="B18" s="900" t="s">
        <v>34</v>
      </c>
      <c r="C18" s="889"/>
      <c r="D18" s="891"/>
      <c r="E18" s="891" t="str">
        <f>E49</f>
        <v>PEKERJAAN KOSEN, PINTU &amp; JENDELA</v>
      </c>
      <c r="F18" s="870"/>
      <c r="G18" s="887"/>
      <c r="H18" s="896"/>
      <c r="I18" s="873"/>
      <c r="J18" s="874">
        <f>$J$65</f>
        <v>13700000</v>
      </c>
      <c r="K18" s="374">
        <f>J18/'REKAP TOTAL'!F44</f>
        <v>1.1267289680437313E-3</v>
      </c>
      <c r="L18" s="897"/>
      <c r="M18" s="898"/>
      <c r="N18" s="898"/>
      <c r="O18" s="877"/>
      <c r="P18" s="878"/>
      <c r="Q18" s="877"/>
      <c r="R18" s="879"/>
      <c r="S18" s="879"/>
      <c r="T18" s="995"/>
      <c r="U18" s="996"/>
    </row>
    <row r="19" spans="2:21">
      <c r="B19" s="1001" t="s">
        <v>24</v>
      </c>
      <c r="C19" s="1002"/>
      <c r="D19" s="1003"/>
      <c r="E19" s="891" t="str">
        <f>E67</f>
        <v>PEKERJAAN PLAFOND</v>
      </c>
      <c r="F19" s="870"/>
      <c r="G19" s="871"/>
      <c r="H19" s="872"/>
      <c r="I19" s="873"/>
      <c r="J19" s="874">
        <f>$J$77</f>
        <v>21189425</v>
      </c>
      <c r="K19" s="374">
        <f>J19/'REKAP TOTAL'!F44</f>
        <v>1.742681676181755E-3</v>
      </c>
      <c r="L19" s="897"/>
      <c r="M19" s="898"/>
      <c r="N19" s="898"/>
      <c r="O19" s="877"/>
      <c r="P19" s="878"/>
      <c r="Q19" s="877"/>
      <c r="R19" s="879"/>
      <c r="S19" s="879"/>
      <c r="T19" s="995"/>
      <c r="U19" s="996"/>
    </row>
    <row r="20" spans="2:21" ht="15.75" customHeight="1">
      <c r="B20" s="1001" t="s">
        <v>25</v>
      </c>
      <c r="C20" s="1003"/>
      <c r="D20" s="1003"/>
      <c r="E20" s="891" t="str">
        <f>E79</f>
        <v>PEKERJAAN PENGECATAN</v>
      </c>
      <c r="F20" s="870"/>
      <c r="G20" s="871"/>
      <c r="H20" s="872"/>
      <c r="I20" s="873"/>
      <c r="J20" s="874">
        <f>$J$96</f>
        <v>13594171.5</v>
      </c>
      <c r="K20" s="374">
        <f>J20/'REKAP TOTAL'!F44</f>
        <v>1.1180253157375552E-3</v>
      </c>
      <c r="L20" s="897"/>
      <c r="M20" s="898"/>
      <c r="N20" s="898"/>
      <c r="O20" s="877"/>
      <c r="P20" s="878"/>
      <c r="Q20" s="877"/>
      <c r="R20" s="879"/>
      <c r="S20" s="879"/>
      <c r="T20" s="995"/>
      <c r="U20" s="996"/>
    </row>
    <row r="21" spans="2:21" ht="15.75" customHeight="1">
      <c r="B21" s="1001" t="s">
        <v>26</v>
      </c>
      <c r="C21" s="1003"/>
      <c r="D21" s="1003"/>
      <c r="E21" s="891" t="str">
        <f>E98</f>
        <v>PEKERJAAN SANITAIR</v>
      </c>
      <c r="F21" s="870"/>
      <c r="G21" s="871"/>
      <c r="H21" s="872"/>
      <c r="I21" s="873"/>
      <c r="J21" s="874">
        <f>$J$116</f>
        <v>71880934</v>
      </c>
      <c r="K21" s="374">
        <f>J21/'REKAP TOTAL'!F44</f>
        <v>5.9117029626160273E-3</v>
      </c>
      <c r="L21" s="897"/>
      <c r="M21" s="898"/>
      <c r="N21" s="898"/>
      <c r="O21" s="877"/>
      <c r="P21" s="878"/>
      <c r="Q21" s="877"/>
      <c r="R21" s="879"/>
      <c r="S21" s="879"/>
      <c r="T21" s="995"/>
      <c r="U21" s="996"/>
    </row>
    <row r="22" spans="2:21" ht="15.75" customHeight="1">
      <c r="B22" s="1001"/>
      <c r="C22" s="1003"/>
      <c r="D22" s="1003"/>
      <c r="E22" s="891"/>
      <c r="F22" s="870"/>
      <c r="G22" s="871"/>
      <c r="H22" s="872"/>
      <c r="I22" s="873"/>
      <c r="J22" s="874"/>
      <c r="K22" s="875"/>
      <c r="L22" s="897"/>
      <c r="M22" s="898"/>
      <c r="N22" s="898"/>
      <c r="O22" s="877"/>
      <c r="P22" s="878"/>
      <c r="Q22" s="877"/>
      <c r="R22" s="879"/>
      <c r="S22" s="879"/>
      <c r="T22" s="995"/>
      <c r="U22" s="996"/>
    </row>
    <row r="23" spans="2:21">
      <c r="B23" s="1001"/>
      <c r="C23" s="1003"/>
      <c r="D23" s="1003"/>
      <c r="E23" s="891"/>
      <c r="F23" s="870"/>
      <c r="G23" s="871"/>
      <c r="H23" s="872"/>
      <c r="I23" s="873"/>
      <c r="J23" s="874"/>
      <c r="K23" s="875"/>
      <c r="L23" s="897"/>
      <c r="M23" s="898"/>
      <c r="N23" s="898"/>
      <c r="O23" s="877"/>
      <c r="P23" s="878"/>
      <c r="Q23" s="877"/>
      <c r="R23" s="879"/>
      <c r="S23" s="879"/>
      <c r="T23" s="995"/>
      <c r="U23" s="996"/>
    </row>
    <row r="24" spans="2:21">
      <c r="B24" s="902"/>
      <c r="C24" s="903"/>
      <c r="D24" s="903"/>
      <c r="E24" s="904"/>
      <c r="F24" s="905"/>
      <c r="G24" s="906"/>
      <c r="H24" s="907"/>
      <c r="I24" s="908"/>
      <c r="J24" s="909"/>
      <c r="K24" s="910"/>
      <c r="L24" s="911"/>
      <c r="M24" s="1004"/>
      <c r="N24" s="1004"/>
      <c r="O24" s="1005"/>
      <c r="P24" s="1006"/>
      <c r="Q24" s="1005"/>
      <c r="R24" s="1007"/>
      <c r="S24" s="1007"/>
      <c r="T24" s="1008"/>
      <c r="U24" s="1009"/>
    </row>
    <row r="25" spans="2:21">
      <c r="B25" s="914"/>
      <c r="C25" s="915"/>
      <c r="D25" s="916"/>
      <c r="E25" s="917" t="s">
        <v>175</v>
      </c>
      <c r="F25" s="918"/>
      <c r="G25" s="919"/>
      <c r="H25" s="920"/>
      <c r="I25" s="921"/>
      <c r="J25" s="922">
        <f>SUM(J14:J22)</f>
        <v>135307890.5</v>
      </c>
      <c r="K25" s="392">
        <f>J25/'REKAP TOTAL'!F44</f>
        <v>1.1128125535126951E-2</v>
      </c>
      <c r="L25" s="923"/>
      <c r="M25" s="1010"/>
      <c r="N25" s="1010"/>
      <c r="O25" s="1011"/>
      <c r="P25" s="1012"/>
      <c r="Q25" s="1011"/>
      <c r="R25" s="1013"/>
      <c r="S25" s="1013"/>
      <c r="T25" s="1014"/>
      <c r="U25" s="1015"/>
    </row>
    <row r="26" spans="2:21">
      <c r="B26" s="926"/>
      <c r="C26" s="854"/>
      <c r="D26" s="854"/>
      <c r="E26" s="927"/>
      <c r="F26" s="856"/>
      <c r="G26" s="857"/>
      <c r="H26" s="858"/>
      <c r="I26" s="859"/>
      <c r="J26" s="928"/>
      <c r="K26" s="929"/>
      <c r="L26" s="930"/>
      <c r="M26" s="1016"/>
      <c r="N26" s="1016"/>
      <c r="O26" s="863"/>
      <c r="P26" s="864"/>
      <c r="Q26" s="863"/>
      <c r="R26" s="865"/>
      <c r="S26" s="865"/>
      <c r="T26" s="993"/>
      <c r="U26" s="994"/>
    </row>
    <row r="27" spans="2:21">
      <c r="B27" s="890"/>
      <c r="C27" s="891"/>
      <c r="D27" s="891"/>
      <c r="E27" s="892"/>
      <c r="F27" s="870"/>
      <c r="G27" s="871"/>
      <c r="H27" s="872"/>
      <c r="I27" s="873"/>
      <c r="J27" s="874"/>
      <c r="K27" s="875"/>
      <c r="L27" s="897"/>
      <c r="M27" s="898"/>
      <c r="N27" s="898"/>
      <c r="O27" s="877"/>
      <c r="P27" s="878"/>
      <c r="Q27" s="877"/>
      <c r="R27" s="879"/>
      <c r="S27" s="879"/>
      <c r="T27" s="995"/>
      <c r="U27" s="996"/>
    </row>
    <row r="28" spans="2:21" s="803" customFormat="1" ht="13.8">
      <c r="B28" s="899"/>
      <c r="C28" s="889"/>
      <c r="D28" s="891"/>
      <c r="E28" s="891"/>
      <c r="F28" s="870"/>
      <c r="G28" s="881"/>
      <c r="H28" s="882"/>
      <c r="I28" s="883"/>
      <c r="J28" s="884"/>
      <c r="K28" s="885"/>
      <c r="L28" s="935"/>
      <c r="M28" s="888"/>
      <c r="N28" s="888"/>
      <c r="O28" s="888"/>
      <c r="P28" s="888"/>
      <c r="Q28" s="888"/>
      <c r="R28" s="888"/>
      <c r="S28" s="888"/>
      <c r="T28" s="997"/>
      <c r="U28" s="998"/>
    </row>
    <row r="29" spans="2:21">
      <c r="B29" s="867">
        <v>1</v>
      </c>
      <c r="C29" s="868"/>
      <c r="D29" s="869"/>
      <c r="E29" s="936" t="s">
        <v>35</v>
      </c>
      <c r="F29" s="870"/>
      <c r="G29" s="871"/>
      <c r="H29" s="872"/>
      <c r="I29" s="873"/>
      <c r="J29" s="874"/>
      <c r="K29" s="875"/>
      <c r="L29" s="897"/>
      <c r="M29" s="898"/>
      <c r="N29" s="898"/>
      <c r="O29" s="877"/>
      <c r="P29" s="878"/>
      <c r="Q29" s="877"/>
      <c r="R29" s="879"/>
      <c r="S29" s="879"/>
      <c r="T29" s="995"/>
      <c r="U29" s="996"/>
    </row>
    <row r="30" spans="2:21" ht="19.5" customHeight="1">
      <c r="B30" s="867"/>
      <c r="C30" s="868"/>
      <c r="D30" s="869"/>
      <c r="E30" s="936"/>
      <c r="F30" s="870"/>
      <c r="G30" s="937"/>
      <c r="H30" s="938"/>
      <c r="I30" s="873"/>
      <c r="J30" s="874"/>
      <c r="K30" s="875"/>
      <c r="L30" s="897"/>
      <c r="M30" s="898"/>
      <c r="N30" s="898"/>
      <c r="O30" s="877"/>
      <c r="P30" s="878"/>
      <c r="Q30" s="877"/>
      <c r="R30" s="879"/>
      <c r="S30" s="879"/>
      <c r="T30" s="995"/>
      <c r="U30" s="996"/>
    </row>
    <row r="31" spans="2:21" s="807" customFormat="1" ht="13.8">
      <c r="B31" s="1017" t="s">
        <v>32</v>
      </c>
      <c r="C31" s="1018"/>
      <c r="D31" s="1019"/>
      <c r="E31" s="1019" t="s">
        <v>303</v>
      </c>
      <c r="F31" s="944"/>
      <c r="G31" s="945"/>
      <c r="H31" s="1020"/>
      <c r="I31" s="1021"/>
      <c r="J31" s="1022"/>
      <c r="K31" s="1023"/>
      <c r="L31" s="954"/>
      <c r="M31" s="955"/>
      <c r="N31" s="955"/>
      <c r="O31" s="955"/>
      <c r="P31" s="955"/>
      <c r="Q31" s="955"/>
      <c r="R31" s="955"/>
      <c r="S31" s="955"/>
      <c r="T31" s="1024"/>
      <c r="U31" s="1025"/>
    </row>
    <row r="32" spans="2:21" s="807" customFormat="1" ht="13.8">
      <c r="B32" s="1017"/>
      <c r="C32" s="1018"/>
      <c r="D32" s="1019"/>
      <c r="E32" s="1019"/>
      <c r="F32" s="944"/>
      <c r="G32" s="945"/>
      <c r="H32" s="1020"/>
      <c r="I32" s="1021"/>
      <c r="J32" s="1022"/>
      <c r="K32" s="1023"/>
      <c r="L32" s="954"/>
      <c r="M32" s="955"/>
      <c r="N32" s="955"/>
      <c r="O32" s="955"/>
      <c r="P32" s="955"/>
      <c r="Q32" s="955"/>
      <c r="R32" s="955"/>
      <c r="S32" s="955"/>
      <c r="T32" s="1024"/>
      <c r="U32" s="1025"/>
    </row>
    <row r="33" spans="2:21" s="807" customFormat="1" ht="27.6">
      <c r="B33" s="1026"/>
      <c r="C33" s="1027"/>
      <c r="D33" s="942">
        <v>1</v>
      </c>
      <c r="E33" s="1028" t="s">
        <v>304</v>
      </c>
      <c r="F33" s="944"/>
      <c r="G33" s="945"/>
      <c r="H33" s="1020"/>
      <c r="I33" s="1021"/>
      <c r="J33" s="1022"/>
      <c r="K33" s="1023"/>
      <c r="L33" s="954"/>
      <c r="M33" s="955"/>
      <c r="N33" s="955"/>
      <c r="O33" s="955"/>
      <c r="P33" s="955"/>
      <c r="Q33" s="955"/>
      <c r="R33" s="955"/>
      <c r="S33" s="955"/>
      <c r="T33" s="1024"/>
      <c r="U33" s="1025"/>
    </row>
    <row r="34" spans="2:21" s="807" customFormat="1" ht="16.2">
      <c r="B34" s="1029"/>
      <c r="C34" s="1027"/>
      <c r="D34" s="965" t="s">
        <v>188</v>
      </c>
      <c r="E34" s="941" t="s">
        <v>480</v>
      </c>
      <c r="F34" s="944" t="s">
        <v>220</v>
      </c>
      <c r="G34" s="945">
        <v>13.1625</v>
      </c>
      <c r="H34" s="946">
        <v>13.1625</v>
      </c>
      <c r="I34" s="953">
        <v>282000</v>
      </c>
      <c r="J34" s="948">
        <f t="shared" ref="J34" si="0">$H34*I34</f>
        <v>3711825</v>
      </c>
      <c r="K34" s="374">
        <f>J34/'REKAP TOTAL'!F44</f>
        <v>3.0527158772327909E-4</v>
      </c>
      <c r="L34" s="954"/>
      <c r="M34" s="955"/>
      <c r="N34" s="955"/>
      <c r="O34" s="955"/>
      <c r="P34" s="955"/>
      <c r="Q34" s="955"/>
      <c r="R34" s="955"/>
      <c r="S34" s="955"/>
      <c r="T34" s="1024"/>
      <c r="U34" s="1025"/>
    </row>
    <row r="35" spans="2:21" s="807" customFormat="1" ht="13.8">
      <c r="B35" s="957"/>
      <c r="C35" s="941"/>
      <c r="D35" s="965"/>
      <c r="E35" s="941"/>
      <c r="F35" s="944"/>
      <c r="G35" s="945"/>
      <c r="H35" s="1020"/>
      <c r="I35" s="1021"/>
      <c r="J35" s="1022"/>
      <c r="K35" s="1023"/>
      <c r="L35" s="954"/>
      <c r="M35" s="955"/>
      <c r="N35" s="955"/>
      <c r="O35" s="955"/>
      <c r="P35" s="955"/>
      <c r="Q35" s="955"/>
      <c r="R35" s="955"/>
      <c r="S35" s="955"/>
      <c r="T35" s="1024"/>
      <c r="U35" s="1025"/>
    </row>
    <row r="36" spans="2:21" s="807" customFormat="1" ht="13.8">
      <c r="B36" s="940"/>
      <c r="C36" s="941"/>
      <c r="D36" s="942">
        <v>2</v>
      </c>
      <c r="E36" s="959" t="s">
        <v>305</v>
      </c>
      <c r="F36" s="944"/>
      <c r="G36" s="945"/>
      <c r="H36" s="1020"/>
      <c r="I36" s="1021"/>
      <c r="J36" s="1022"/>
      <c r="K36" s="1023"/>
      <c r="L36" s="954"/>
      <c r="M36" s="955"/>
      <c r="N36" s="955"/>
      <c r="O36" s="955"/>
      <c r="P36" s="955"/>
      <c r="Q36" s="955"/>
      <c r="R36" s="955"/>
      <c r="S36" s="955"/>
      <c r="T36" s="1024"/>
      <c r="U36" s="1025"/>
    </row>
    <row r="37" spans="2:21" s="807" customFormat="1" ht="16.2">
      <c r="B37" s="957"/>
      <c r="C37" s="941"/>
      <c r="D37" s="965" t="s">
        <v>188</v>
      </c>
      <c r="E37" s="941" t="s">
        <v>480</v>
      </c>
      <c r="F37" s="944" t="s">
        <v>220</v>
      </c>
      <c r="G37" s="945">
        <v>26.324999999999999</v>
      </c>
      <c r="H37" s="946">
        <v>26.324999999999999</v>
      </c>
      <c r="I37" s="953">
        <v>190600</v>
      </c>
      <c r="J37" s="948">
        <f t="shared" ref="J37" si="1">$H37*I37</f>
        <v>5017545</v>
      </c>
      <c r="K37" s="374">
        <f>J37/'REKAP TOTAL'!F44</f>
        <v>4.1265790510678718E-4</v>
      </c>
      <c r="L37" s="954"/>
      <c r="M37" s="955"/>
      <c r="N37" s="955"/>
      <c r="O37" s="955"/>
      <c r="P37" s="955"/>
      <c r="Q37" s="955"/>
      <c r="R37" s="955"/>
      <c r="S37" s="955"/>
      <c r="T37" s="1024"/>
      <c r="U37" s="1025"/>
    </row>
    <row r="38" spans="2:21" s="807" customFormat="1" ht="13.8">
      <c r="B38" s="1030"/>
      <c r="C38" s="1031"/>
      <c r="D38" s="1031"/>
      <c r="E38" s="1031"/>
      <c r="F38" s="1032"/>
      <c r="G38" s="1033"/>
      <c r="H38" s="1034"/>
      <c r="I38" s="1035"/>
      <c r="J38" s="1036"/>
      <c r="K38" s="1037"/>
      <c r="L38" s="1038"/>
      <c r="M38" s="1039"/>
      <c r="N38" s="1039"/>
      <c r="O38" s="1039"/>
      <c r="P38" s="1039"/>
      <c r="Q38" s="1039"/>
      <c r="R38" s="1039"/>
      <c r="S38" s="1039"/>
      <c r="T38" s="1040"/>
      <c r="U38" s="1041"/>
    </row>
    <row r="39" spans="2:21" s="807" customFormat="1" ht="13.8">
      <c r="B39" s="978"/>
      <c r="C39" s="979"/>
      <c r="D39" s="979"/>
      <c r="E39" s="980" t="s">
        <v>306</v>
      </c>
      <c r="F39" s="981"/>
      <c r="G39" s="982"/>
      <c r="H39" s="983"/>
      <c r="I39" s="984"/>
      <c r="J39" s="985">
        <f>SUM(J34:J38)</f>
        <v>8729370</v>
      </c>
      <c r="K39" s="392">
        <f>J39/'REKAP TOTAL'!F44</f>
        <v>7.1792949283006632E-4</v>
      </c>
      <c r="L39" s="986"/>
      <c r="M39" s="987"/>
      <c r="N39" s="987"/>
      <c r="O39" s="987"/>
      <c r="P39" s="987"/>
      <c r="Q39" s="987"/>
      <c r="R39" s="987"/>
      <c r="S39" s="987"/>
      <c r="T39" s="1042"/>
      <c r="U39" s="1043"/>
    </row>
    <row r="40" spans="2:21" s="807" customFormat="1" ht="13.8">
      <c r="B40" s="1044"/>
      <c r="C40" s="1045"/>
      <c r="D40" s="1046"/>
      <c r="E40" s="1046"/>
      <c r="F40" s="1047"/>
      <c r="G40" s="1048"/>
      <c r="H40" s="1049"/>
      <c r="I40" s="1050"/>
      <c r="J40" s="1051"/>
      <c r="K40" s="1052"/>
      <c r="L40" s="1053"/>
      <c r="M40" s="1054"/>
      <c r="N40" s="1054"/>
      <c r="O40" s="1054"/>
      <c r="P40" s="1054"/>
      <c r="Q40" s="1054"/>
      <c r="R40" s="1054"/>
      <c r="S40" s="1054"/>
      <c r="T40" s="1055"/>
      <c r="U40" s="1056"/>
    </row>
    <row r="41" spans="2:21" s="807" customFormat="1" ht="13.8">
      <c r="B41" s="1017" t="s">
        <v>34</v>
      </c>
      <c r="C41" s="1018"/>
      <c r="D41" s="1019"/>
      <c r="E41" s="1019" t="s">
        <v>481</v>
      </c>
      <c r="F41" s="944"/>
      <c r="G41" s="945"/>
      <c r="H41" s="1020"/>
      <c r="I41" s="1021"/>
      <c r="J41" s="1022"/>
      <c r="K41" s="1023"/>
      <c r="L41" s="954"/>
      <c r="M41" s="955"/>
      <c r="N41" s="955"/>
      <c r="O41" s="955"/>
      <c r="P41" s="955"/>
      <c r="Q41" s="955"/>
      <c r="R41" s="955"/>
      <c r="S41" s="955"/>
      <c r="T41" s="1024"/>
      <c r="U41" s="1025"/>
    </row>
    <row r="42" spans="2:21" s="807" customFormat="1" ht="13.8">
      <c r="B42" s="1017"/>
      <c r="C42" s="1018"/>
      <c r="D42" s="1019"/>
      <c r="E42" s="1019"/>
      <c r="F42" s="944"/>
      <c r="G42" s="945"/>
      <c r="H42" s="1020"/>
      <c r="I42" s="1021"/>
      <c r="J42" s="1022"/>
      <c r="K42" s="1023"/>
      <c r="L42" s="954"/>
      <c r="M42" s="955"/>
      <c r="N42" s="955"/>
      <c r="O42" s="955"/>
      <c r="P42" s="955"/>
      <c r="Q42" s="955"/>
      <c r="R42" s="955"/>
      <c r="S42" s="955"/>
      <c r="T42" s="1024"/>
      <c r="U42" s="1025"/>
    </row>
    <row r="43" spans="2:21" s="807" customFormat="1" ht="13.8">
      <c r="B43" s="1057">
        <v>1</v>
      </c>
      <c r="C43" s="1058"/>
      <c r="D43" s="952"/>
      <c r="E43" s="1059" t="s">
        <v>482</v>
      </c>
      <c r="F43" s="1060"/>
      <c r="G43" s="1061"/>
      <c r="H43" s="1062"/>
      <c r="I43" s="1063"/>
      <c r="J43" s="1064"/>
      <c r="K43" s="1065"/>
      <c r="L43" s="954"/>
      <c r="M43" s="955"/>
      <c r="N43" s="955"/>
      <c r="O43" s="955"/>
      <c r="P43" s="955"/>
      <c r="Q43" s="955"/>
      <c r="R43" s="955"/>
      <c r="S43" s="955"/>
      <c r="T43" s="1024"/>
      <c r="U43" s="1025"/>
    </row>
    <row r="44" spans="2:21" s="807" customFormat="1" ht="16.2">
      <c r="B44" s="1026"/>
      <c r="C44" s="1027"/>
      <c r="D44" s="941"/>
      <c r="E44" s="2042" t="s">
        <v>483</v>
      </c>
      <c r="F44" s="944" t="s">
        <v>220</v>
      </c>
      <c r="G44" s="945">
        <v>7.65</v>
      </c>
      <c r="H44" s="946">
        <v>7.65</v>
      </c>
      <c r="I44" s="953">
        <v>402200</v>
      </c>
      <c r="J44" s="948">
        <f t="shared" ref="J44" si="2">$H44*I44</f>
        <v>3076830</v>
      </c>
      <c r="K44" s="374">
        <f>J44/'REKAP TOTAL'!F44</f>
        <v>2.5304770005445213E-4</v>
      </c>
      <c r="L44" s="954"/>
      <c r="M44" s="955"/>
      <c r="N44" s="955"/>
      <c r="O44" s="955"/>
      <c r="P44" s="955"/>
      <c r="Q44" s="955"/>
      <c r="R44" s="955"/>
      <c r="S44" s="955"/>
      <c r="T44" s="1024"/>
      <c r="U44" s="1025"/>
    </row>
    <row r="45" spans="2:21" s="807" customFormat="1" ht="16.2">
      <c r="B45" s="1026"/>
      <c r="C45" s="1027"/>
      <c r="D45" s="941"/>
      <c r="E45" s="2042" t="s">
        <v>484</v>
      </c>
      <c r="F45" s="944" t="s">
        <v>220</v>
      </c>
      <c r="G45" s="945">
        <v>7.8</v>
      </c>
      <c r="H45" s="946">
        <v>7.8</v>
      </c>
      <c r="I45" s="953">
        <v>402200</v>
      </c>
      <c r="J45" s="948">
        <f t="shared" ref="J45" si="3">$H45*I45</f>
        <v>3137160</v>
      </c>
      <c r="K45" s="374">
        <f>J45/'REKAP TOTAL'!F44</f>
        <v>2.5800941966336294E-4</v>
      </c>
      <c r="L45" s="954"/>
      <c r="M45" s="955"/>
      <c r="N45" s="955"/>
      <c r="O45" s="955"/>
      <c r="P45" s="955"/>
      <c r="Q45" s="955"/>
      <c r="R45" s="955"/>
      <c r="S45" s="955"/>
      <c r="T45" s="1024"/>
      <c r="U45" s="1025"/>
    </row>
    <row r="46" spans="2:21" s="807" customFormat="1" ht="13.8">
      <c r="B46" s="1067"/>
      <c r="C46" s="1068"/>
      <c r="D46" s="1031"/>
      <c r="E46" s="1031"/>
      <c r="F46" s="1032"/>
      <c r="G46" s="1033"/>
      <c r="H46" s="1034"/>
      <c r="I46" s="1035"/>
      <c r="J46" s="1036"/>
      <c r="K46" s="1037"/>
      <c r="L46" s="1038"/>
      <c r="M46" s="1039"/>
      <c r="N46" s="1039"/>
      <c r="O46" s="1039"/>
      <c r="P46" s="1039"/>
      <c r="Q46" s="1039"/>
      <c r="R46" s="1039"/>
      <c r="S46" s="1039"/>
      <c r="T46" s="1040"/>
      <c r="U46" s="1041"/>
    </row>
    <row r="47" spans="2:21" s="807" customFormat="1" ht="13.8">
      <c r="B47" s="1069"/>
      <c r="C47" s="979"/>
      <c r="D47" s="979"/>
      <c r="E47" s="980" t="s">
        <v>485</v>
      </c>
      <c r="F47" s="981"/>
      <c r="G47" s="982"/>
      <c r="H47" s="983"/>
      <c r="I47" s="984"/>
      <c r="J47" s="985">
        <f>SUM(J43:J46)</f>
        <v>6213990</v>
      </c>
      <c r="K47" s="1070">
        <f>J47/'REKAP TOTAL'!F44</f>
        <v>5.1105711971781507E-4</v>
      </c>
      <c r="L47" s="986"/>
      <c r="M47" s="987"/>
      <c r="N47" s="987"/>
      <c r="O47" s="987"/>
      <c r="P47" s="987"/>
      <c r="Q47" s="987"/>
      <c r="R47" s="987"/>
      <c r="S47" s="987"/>
      <c r="T47" s="1042"/>
      <c r="U47" s="1043"/>
    </row>
    <row r="48" spans="2:21">
      <c r="B48" s="1071"/>
      <c r="C48" s="1072"/>
      <c r="D48" s="1073"/>
      <c r="E48" s="1073"/>
      <c r="F48" s="856"/>
      <c r="G48" s="857"/>
      <c r="H48" s="858"/>
      <c r="I48" s="859"/>
      <c r="J48" s="860"/>
      <c r="K48" s="861"/>
      <c r="L48" s="930"/>
      <c r="M48" s="1016"/>
      <c r="N48" s="1016"/>
      <c r="O48" s="863"/>
      <c r="P48" s="864"/>
      <c r="Q48" s="863"/>
      <c r="R48" s="865"/>
      <c r="S48" s="865"/>
      <c r="T48" s="993"/>
      <c r="U48" s="994"/>
    </row>
    <row r="49" spans="2:21">
      <c r="B49" s="867" t="s">
        <v>34</v>
      </c>
      <c r="C49" s="868"/>
      <c r="D49" s="869"/>
      <c r="E49" s="1019" t="s">
        <v>329</v>
      </c>
      <c r="F49" s="870"/>
      <c r="G49" s="871"/>
      <c r="H49" s="872"/>
      <c r="I49" s="873"/>
      <c r="J49" s="874"/>
      <c r="K49" s="875"/>
      <c r="L49" s="897"/>
      <c r="M49" s="898"/>
      <c r="N49" s="898"/>
      <c r="O49" s="877"/>
      <c r="P49" s="878"/>
      <c r="Q49" s="877"/>
      <c r="R49" s="879"/>
      <c r="S49" s="879"/>
      <c r="T49" s="995"/>
      <c r="U49" s="996"/>
    </row>
    <row r="50" spans="2:21">
      <c r="B50" s="939"/>
      <c r="C50" s="869"/>
      <c r="D50" s="869"/>
      <c r="E50" s="869"/>
      <c r="F50" s="870"/>
      <c r="G50" s="871"/>
      <c r="H50" s="872"/>
      <c r="I50" s="873"/>
      <c r="J50" s="874"/>
      <c r="K50" s="875"/>
      <c r="L50" s="897"/>
      <c r="M50" s="898"/>
      <c r="N50" s="898"/>
      <c r="O50" s="877"/>
      <c r="P50" s="878"/>
      <c r="Q50" s="877"/>
      <c r="R50" s="879"/>
      <c r="S50" s="879"/>
      <c r="T50" s="995"/>
      <c r="U50" s="996"/>
    </row>
    <row r="51" spans="2:21" s="807" customFormat="1" ht="17.25" customHeight="1">
      <c r="B51" s="940">
        <v>1</v>
      </c>
      <c r="C51" s="941"/>
      <c r="D51" s="941"/>
      <c r="E51" s="952" t="s">
        <v>486</v>
      </c>
      <c r="F51" s="944" t="s">
        <v>135</v>
      </c>
      <c r="G51" s="945">
        <v>1</v>
      </c>
      <c r="H51" s="946">
        <v>1</v>
      </c>
      <c r="I51" s="947">
        <v>6997200</v>
      </c>
      <c r="J51" s="948">
        <f>$H51*I51</f>
        <v>6997200</v>
      </c>
      <c r="K51" s="374">
        <f>J51/'REKAP TOTAL'!F44</f>
        <v>5.7547065220405825E-4</v>
      </c>
      <c r="L51" s="954"/>
      <c r="M51" s="955"/>
      <c r="N51" s="955"/>
      <c r="O51" s="955"/>
      <c r="P51" s="955"/>
      <c r="Q51" s="955"/>
      <c r="R51" s="955"/>
      <c r="S51" s="955"/>
      <c r="T51" s="1024"/>
      <c r="U51" s="1025"/>
    </row>
    <row r="52" spans="2:21" s="807" customFormat="1" ht="13.8">
      <c r="B52" s="940"/>
      <c r="C52" s="941"/>
      <c r="D52" s="941"/>
      <c r="E52" s="2037" t="s">
        <v>331</v>
      </c>
      <c r="F52" s="944"/>
      <c r="G52" s="945"/>
      <c r="H52" s="1020"/>
      <c r="I52" s="1021"/>
      <c r="J52" s="1022"/>
      <c r="K52" s="1023"/>
      <c r="L52" s="954"/>
      <c r="M52" s="955"/>
      <c r="N52" s="955"/>
      <c r="O52" s="955"/>
      <c r="P52" s="955"/>
      <c r="Q52" s="955"/>
      <c r="R52" s="955"/>
      <c r="S52" s="955"/>
      <c r="T52" s="1024"/>
      <c r="U52" s="1025"/>
    </row>
    <row r="53" spans="2:21" s="807" customFormat="1" ht="13.8">
      <c r="B53" s="940"/>
      <c r="C53" s="941"/>
      <c r="D53" s="941"/>
      <c r="E53" s="2037" t="s">
        <v>487</v>
      </c>
      <c r="F53" s="944"/>
      <c r="G53" s="945"/>
      <c r="H53" s="1020"/>
      <c r="I53" s="1021"/>
      <c r="J53" s="1022"/>
      <c r="K53" s="1023"/>
      <c r="L53" s="954"/>
      <c r="M53" s="955"/>
      <c r="N53" s="955"/>
      <c r="O53" s="955"/>
      <c r="P53" s="955"/>
      <c r="Q53" s="955"/>
      <c r="R53" s="955"/>
      <c r="S53" s="955"/>
      <c r="T53" s="1024"/>
      <c r="U53" s="1025"/>
    </row>
    <row r="54" spans="2:21" s="807" customFormat="1" ht="13.8">
      <c r="B54" s="940"/>
      <c r="C54" s="941"/>
      <c r="D54" s="941"/>
      <c r="E54" s="2037" t="s">
        <v>488</v>
      </c>
      <c r="F54" s="944"/>
      <c r="G54" s="945"/>
      <c r="H54" s="1020"/>
      <c r="I54" s="1021"/>
      <c r="J54" s="1022"/>
      <c r="K54" s="1023"/>
      <c r="L54" s="954"/>
      <c r="M54" s="955"/>
      <c r="N54" s="955"/>
      <c r="O54" s="955"/>
      <c r="P54" s="955"/>
      <c r="Q54" s="955"/>
      <c r="R54" s="955"/>
      <c r="S54" s="955"/>
      <c r="T54" s="1024"/>
      <c r="U54" s="1025"/>
    </row>
    <row r="55" spans="2:21" s="807" customFormat="1" ht="13.8">
      <c r="B55" s="940"/>
      <c r="C55" s="941"/>
      <c r="D55" s="941"/>
      <c r="E55" s="2037" t="s">
        <v>489</v>
      </c>
      <c r="F55" s="944"/>
      <c r="G55" s="945"/>
      <c r="H55" s="1020"/>
      <c r="I55" s="1021"/>
      <c r="J55" s="1022"/>
      <c r="K55" s="1023"/>
      <c r="L55" s="954"/>
      <c r="M55" s="955"/>
      <c r="N55" s="955"/>
      <c r="O55" s="955"/>
      <c r="P55" s="955"/>
      <c r="Q55" s="955"/>
      <c r="R55" s="955"/>
      <c r="S55" s="955"/>
      <c r="T55" s="1024"/>
      <c r="U55" s="1025"/>
    </row>
    <row r="56" spans="2:21" s="807" customFormat="1" ht="13.8">
      <c r="B56" s="940"/>
      <c r="C56" s="941"/>
      <c r="D56" s="941"/>
      <c r="E56" s="941" t="s">
        <v>490</v>
      </c>
      <c r="F56" s="944"/>
      <c r="G56" s="945"/>
      <c r="H56" s="1020"/>
      <c r="I56" s="1021"/>
      <c r="J56" s="1022"/>
      <c r="K56" s="1023"/>
      <c r="L56" s="954"/>
      <c r="M56" s="955"/>
      <c r="N56" s="955"/>
      <c r="O56" s="955"/>
      <c r="P56" s="955"/>
      <c r="Q56" s="955"/>
      <c r="R56" s="955"/>
      <c r="S56" s="955"/>
      <c r="T56" s="1024"/>
      <c r="U56" s="1025"/>
    </row>
    <row r="57" spans="2:21" s="807" customFormat="1" ht="13.8">
      <c r="B57" s="940"/>
      <c r="C57" s="941"/>
      <c r="D57" s="941"/>
      <c r="E57" s="941" t="s">
        <v>491</v>
      </c>
      <c r="F57" s="944"/>
      <c r="G57" s="945"/>
      <c r="H57" s="1020"/>
      <c r="I57" s="1021"/>
      <c r="J57" s="1022"/>
      <c r="K57" s="1023"/>
      <c r="L57" s="954"/>
      <c r="M57" s="955"/>
      <c r="N57" s="955"/>
      <c r="O57" s="955"/>
      <c r="P57" s="955"/>
      <c r="Q57" s="955"/>
      <c r="R57" s="955"/>
      <c r="S57" s="955"/>
      <c r="T57" s="1024"/>
      <c r="U57" s="1025"/>
    </row>
    <row r="58" spans="2:21" s="807" customFormat="1" ht="13.8">
      <c r="B58" s="940"/>
      <c r="C58" s="941"/>
      <c r="D58" s="941"/>
      <c r="E58" s="941" t="s">
        <v>492</v>
      </c>
      <c r="F58" s="944"/>
      <c r="G58" s="945"/>
      <c r="H58" s="1020"/>
      <c r="I58" s="1021"/>
      <c r="J58" s="1022"/>
      <c r="K58" s="1023"/>
      <c r="L58" s="954"/>
      <c r="M58" s="955"/>
      <c r="N58" s="955"/>
      <c r="O58" s="955"/>
      <c r="P58" s="955"/>
      <c r="Q58" s="955"/>
      <c r="R58" s="955"/>
      <c r="S58" s="955"/>
      <c r="T58" s="1024"/>
      <c r="U58" s="1025"/>
    </row>
    <row r="59" spans="2:21" s="807" customFormat="1" ht="13.8">
      <c r="B59" s="940"/>
      <c r="C59" s="941"/>
      <c r="D59" s="941"/>
      <c r="E59" s="941"/>
      <c r="F59" s="944"/>
      <c r="G59" s="945"/>
      <c r="H59" s="1020"/>
      <c r="I59" s="1021"/>
      <c r="J59" s="1022"/>
      <c r="K59" s="1023"/>
      <c r="L59" s="954"/>
      <c r="M59" s="955"/>
      <c r="N59" s="955"/>
      <c r="O59" s="955"/>
      <c r="P59" s="955"/>
      <c r="Q59" s="955"/>
      <c r="R59" s="955"/>
      <c r="S59" s="955"/>
      <c r="T59" s="1024"/>
      <c r="U59" s="1025"/>
    </row>
    <row r="60" spans="2:21" s="807" customFormat="1" ht="17.25" customHeight="1">
      <c r="B60" s="940">
        <v>2</v>
      </c>
      <c r="C60" s="941"/>
      <c r="D60" s="941"/>
      <c r="E60" s="952" t="s">
        <v>493</v>
      </c>
      <c r="F60" s="944" t="s">
        <v>135</v>
      </c>
      <c r="G60" s="945">
        <v>1</v>
      </c>
      <c r="H60" s="946">
        <v>1</v>
      </c>
      <c r="I60" s="947">
        <v>6702800</v>
      </c>
      <c r="J60" s="948">
        <f>$H60*I60</f>
        <v>6702800</v>
      </c>
      <c r="K60" s="374">
        <f>J60/'REKAP TOTAL'!F44</f>
        <v>5.5125831583967321E-4</v>
      </c>
      <c r="L60" s="954"/>
      <c r="M60" s="955"/>
      <c r="N60" s="955"/>
      <c r="O60" s="955"/>
      <c r="P60" s="955"/>
      <c r="Q60" s="955"/>
      <c r="R60" s="955"/>
      <c r="S60" s="955"/>
      <c r="T60" s="1024"/>
      <c r="U60" s="1025"/>
    </row>
    <row r="61" spans="2:21" s="807" customFormat="1" ht="13.8">
      <c r="B61" s="940"/>
      <c r="C61" s="941"/>
      <c r="D61" s="941"/>
      <c r="E61" s="2037" t="s">
        <v>331</v>
      </c>
      <c r="F61" s="944"/>
      <c r="G61" s="945"/>
      <c r="H61" s="1020"/>
      <c r="I61" s="1021"/>
      <c r="J61" s="1022"/>
      <c r="K61" s="1023"/>
      <c r="L61" s="954"/>
      <c r="M61" s="955"/>
      <c r="N61" s="955"/>
      <c r="O61" s="955"/>
      <c r="P61" s="955"/>
      <c r="Q61" s="955"/>
      <c r="R61" s="955"/>
      <c r="S61" s="955"/>
      <c r="T61" s="1024"/>
      <c r="U61" s="1025"/>
    </row>
    <row r="62" spans="2:21" s="807" customFormat="1" ht="13.8">
      <c r="B62" s="940"/>
      <c r="C62" s="941"/>
      <c r="D62" s="941"/>
      <c r="E62" s="2037" t="s">
        <v>494</v>
      </c>
      <c r="F62" s="944"/>
      <c r="G62" s="945"/>
      <c r="H62" s="1020"/>
      <c r="I62" s="1021"/>
      <c r="J62" s="1022"/>
      <c r="K62" s="1023"/>
      <c r="L62" s="954"/>
      <c r="M62" s="955"/>
      <c r="N62" s="955"/>
      <c r="O62" s="955"/>
      <c r="P62" s="955"/>
      <c r="Q62" s="955"/>
      <c r="R62" s="955"/>
      <c r="S62" s="955"/>
      <c r="T62" s="1024"/>
      <c r="U62" s="1025"/>
    </row>
    <row r="63" spans="2:21" s="807" customFormat="1" ht="13.8">
      <c r="B63" s="940"/>
      <c r="C63" s="941"/>
      <c r="D63" s="941"/>
      <c r="E63" s="2037" t="s">
        <v>495</v>
      </c>
      <c r="F63" s="944"/>
      <c r="G63" s="945"/>
      <c r="H63" s="1020"/>
      <c r="I63" s="1021"/>
      <c r="J63" s="1022"/>
      <c r="K63" s="1023"/>
      <c r="L63" s="954"/>
      <c r="M63" s="955"/>
      <c r="N63" s="955"/>
      <c r="O63" s="955"/>
      <c r="P63" s="955"/>
      <c r="Q63" s="955"/>
      <c r="R63" s="955"/>
      <c r="S63" s="955"/>
      <c r="T63" s="1024"/>
      <c r="U63" s="1025"/>
    </row>
    <row r="64" spans="2:21">
      <c r="B64" s="1074"/>
      <c r="C64" s="1075"/>
      <c r="D64" s="904"/>
      <c r="E64" s="904"/>
      <c r="F64" s="905"/>
      <c r="G64" s="906"/>
      <c r="H64" s="1076"/>
      <c r="I64" s="908"/>
      <c r="J64" s="909"/>
      <c r="K64" s="910"/>
      <c r="L64" s="911"/>
      <c r="M64" s="1004"/>
      <c r="N64" s="1004"/>
      <c r="O64" s="1005"/>
      <c r="P64" s="1006"/>
      <c r="Q64" s="1005"/>
      <c r="R64" s="1007"/>
      <c r="S64" s="1007"/>
      <c r="T64" s="1008"/>
      <c r="U64" s="1009"/>
    </row>
    <row r="65" spans="2:21">
      <c r="B65" s="1077"/>
      <c r="C65" s="1078"/>
      <c r="D65" s="1078"/>
      <c r="E65" s="1079" t="s">
        <v>496</v>
      </c>
      <c r="F65" s="918"/>
      <c r="G65" s="919"/>
      <c r="H65" s="920"/>
      <c r="I65" s="1080"/>
      <c r="J65" s="922">
        <f>SUM(J49:J64)</f>
        <v>13700000</v>
      </c>
      <c r="K65" s="1070">
        <f>J65/'REKAP TOTAL'!F44</f>
        <v>1.1267289680437313E-3</v>
      </c>
      <c r="L65" s="923"/>
      <c r="M65" s="1010"/>
      <c r="N65" s="1010"/>
      <c r="O65" s="1011"/>
      <c r="P65" s="1012"/>
      <c r="Q65" s="1011"/>
      <c r="R65" s="1013"/>
      <c r="S65" s="1013"/>
      <c r="T65" s="1014"/>
      <c r="U65" s="1015"/>
    </row>
    <row r="66" spans="2:21">
      <c r="B66" s="926"/>
      <c r="C66" s="854"/>
      <c r="D66" s="854"/>
      <c r="E66" s="1081"/>
      <c r="F66" s="856"/>
      <c r="G66" s="857"/>
      <c r="H66" s="858"/>
      <c r="I66" s="859"/>
      <c r="J66" s="860"/>
      <c r="K66" s="861"/>
      <c r="L66" s="930"/>
      <c r="M66" s="1016"/>
      <c r="N66" s="1016"/>
      <c r="O66" s="863"/>
      <c r="P66" s="864"/>
      <c r="Q66" s="863"/>
      <c r="R66" s="865"/>
      <c r="S66" s="865"/>
      <c r="T66" s="993"/>
      <c r="U66" s="994"/>
    </row>
    <row r="67" spans="2:21" s="807" customFormat="1" ht="13.8">
      <c r="B67" s="1017" t="s">
        <v>24</v>
      </c>
      <c r="C67" s="1082"/>
      <c r="D67" s="1019"/>
      <c r="E67" s="1019" t="s">
        <v>364</v>
      </c>
      <c r="F67" s="944"/>
      <c r="G67" s="945"/>
      <c r="H67" s="1020"/>
      <c r="I67" s="1021"/>
      <c r="J67" s="1022"/>
      <c r="K67" s="1023"/>
      <c r="L67" s="954"/>
      <c r="M67" s="955"/>
      <c r="N67" s="955"/>
      <c r="O67" s="955"/>
      <c r="P67" s="955"/>
      <c r="Q67" s="955"/>
      <c r="R67" s="955"/>
      <c r="S67" s="955"/>
      <c r="T67" s="1024"/>
      <c r="U67" s="1025"/>
    </row>
    <row r="68" spans="2:21" s="807" customFormat="1" ht="13.8">
      <c r="B68" s="1026"/>
      <c r="C68" s="1083"/>
      <c r="D68" s="941"/>
      <c r="E68" s="941"/>
      <c r="F68" s="944"/>
      <c r="G68" s="945"/>
      <c r="H68" s="1020"/>
      <c r="I68" s="1021"/>
      <c r="J68" s="1022"/>
      <c r="K68" s="1023"/>
      <c r="L68" s="954"/>
      <c r="M68" s="955"/>
      <c r="N68" s="955"/>
      <c r="O68" s="955"/>
      <c r="P68" s="955"/>
      <c r="Q68" s="955"/>
      <c r="R68" s="955"/>
      <c r="S68" s="955"/>
      <c r="T68" s="1024"/>
      <c r="U68" s="1025"/>
    </row>
    <row r="69" spans="2:21" s="807" customFormat="1" ht="13.8">
      <c r="B69" s="1026">
        <v>1</v>
      </c>
      <c r="C69" s="1027"/>
      <c r="D69" s="941"/>
      <c r="E69" s="1084" t="s">
        <v>365</v>
      </c>
      <c r="F69" s="944"/>
      <c r="G69" s="1085"/>
      <c r="H69" s="1086"/>
      <c r="I69" s="953"/>
      <c r="J69" s="1022"/>
      <c r="K69" s="1023"/>
      <c r="L69" s="954"/>
      <c r="M69" s="955"/>
      <c r="N69" s="955"/>
      <c r="O69" s="955"/>
      <c r="P69" s="955"/>
      <c r="Q69" s="955"/>
      <c r="R69" s="955"/>
      <c r="S69" s="955"/>
      <c r="T69" s="1024"/>
      <c r="U69" s="1025"/>
    </row>
    <row r="70" spans="2:21" s="807" customFormat="1" ht="13.8">
      <c r="B70" s="1026"/>
      <c r="C70" s="1027"/>
      <c r="D70" s="941"/>
      <c r="E70" s="1084" t="s">
        <v>366</v>
      </c>
      <c r="F70" s="944"/>
      <c r="G70" s="1085"/>
      <c r="H70" s="1086"/>
      <c r="I70" s="1021"/>
      <c r="J70" s="1022"/>
      <c r="K70" s="1023"/>
      <c r="L70" s="954"/>
      <c r="M70" s="955"/>
      <c r="N70" s="955"/>
      <c r="O70" s="955"/>
      <c r="P70" s="955"/>
      <c r="Q70" s="955"/>
      <c r="R70" s="955"/>
      <c r="S70" s="955"/>
      <c r="T70" s="1024"/>
      <c r="U70" s="1025"/>
    </row>
    <row r="71" spans="2:21" s="807" customFormat="1" ht="16.2">
      <c r="B71" s="1026"/>
      <c r="C71" s="1027"/>
      <c r="D71" s="941"/>
      <c r="E71" s="2042" t="s">
        <v>483</v>
      </c>
      <c r="F71" s="944" t="s">
        <v>220</v>
      </c>
      <c r="G71" s="1087">
        <v>28</v>
      </c>
      <c r="H71" s="946">
        <v>28</v>
      </c>
      <c r="I71" s="1021">
        <v>186900</v>
      </c>
      <c r="J71" s="948">
        <f>$H71*I71</f>
        <v>5233200</v>
      </c>
      <c r="K71" s="374">
        <f>J71/'REKAP TOTAL'!F44</f>
        <v>4.303940171946318E-4</v>
      </c>
      <c r="L71" s="954"/>
      <c r="M71" s="955"/>
      <c r="N71" s="955"/>
      <c r="O71" s="955"/>
      <c r="P71" s="955"/>
      <c r="Q71" s="955"/>
      <c r="R71" s="955"/>
      <c r="S71" s="955"/>
      <c r="T71" s="1024"/>
      <c r="U71" s="1025"/>
    </row>
    <row r="72" spans="2:21" s="807" customFormat="1" ht="16.2">
      <c r="B72" s="1026"/>
      <c r="C72" s="1027"/>
      <c r="D72" s="941"/>
      <c r="E72" s="2042" t="s">
        <v>484</v>
      </c>
      <c r="F72" s="944" t="s">
        <v>220</v>
      </c>
      <c r="G72" s="1087">
        <v>77.05</v>
      </c>
      <c r="H72" s="946">
        <v>77.05</v>
      </c>
      <c r="I72" s="1021">
        <v>186900</v>
      </c>
      <c r="J72" s="948">
        <f>$H72*I72</f>
        <v>14400645</v>
      </c>
      <c r="K72" s="374">
        <f>J72/'REKAP TOTAL'!F44</f>
        <v>1.1843521080302278E-3</v>
      </c>
      <c r="L72" s="954"/>
      <c r="M72" s="955"/>
      <c r="N72" s="955"/>
      <c r="O72" s="955"/>
      <c r="P72" s="955"/>
      <c r="Q72" s="955"/>
      <c r="R72" s="955"/>
      <c r="S72" s="955"/>
      <c r="T72" s="1024"/>
      <c r="U72" s="1025"/>
    </row>
    <row r="73" spans="2:21" s="807" customFormat="1" ht="13.8">
      <c r="B73" s="1026">
        <v>2</v>
      </c>
      <c r="C73" s="1027"/>
      <c r="D73" s="941"/>
      <c r="E73" s="941" t="s">
        <v>371</v>
      </c>
      <c r="F73" s="944"/>
      <c r="G73" s="945"/>
      <c r="H73" s="1020"/>
      <c r="I73" s="953"/>
      <c r="J73" s="1022"/>
      <c r="K73" s="1023"/>
      <c r="L73" s="954"/>
      <c r="M73" s="955"/>
      <c r="N73" s="955"/>
      <c r="O73" s="955"/>
      <c r="P73" s="955"/>
      <c r="Q73" s="955"/>
      <c r="R73" s="955"/>
      <c r="S73" s="955"/>
      <c r="T73" s="1024"/>
      <c r="U73" s="1025"/>
    </row>
    <row r="74" spans="2:21" s="807" customFormat="1" ht="13.8">
      <c r="B74" s="1026"/>
      <c r="C74" s="1027"/>
      <c r="D74" s="941"/>
      <c r="E74" s="2042" t="s">
        <v>497</v>
      </c>
      <c r="F74" s="944" t="s">
        <v>88</v>
      </c>
      <c r="G74" s="1087">
        <v>21.5</v>
      </c>
      <c r="H74" s="946">
        <v>21.5</v>
      </c>
      <c r="I74" s="1021">
        <v>26000</v>
      </c>
      <c r="J74" s="1022">
        <f>$H74*I74</f>
        <v>559000</v>
      </c>
      <c r="K74" s="374">
        <f>J74/'REKAP TOTAL'!F44</f>
        <v>4.5973831615798972E-5</v>
      </c>
      <c r="L74" s="954"/>
      <c r="M74" s="955"/>
      <c r="N74" s="955"/>
      <c r="O74" s="955"/>
      <c r="P74" s="955"/>
      <c r="Q74" s="955"/>
      <c r="R74" s="955"/>
      <c r="S74" s="955"/>
      <c r="T74" s="1024"/>
      <c r="U74" s="1025"/>
    </row>
    <row r="75" spans="2:21" s="807" customFormat="1" ht="13.8">
      <c r="B75" s="1026"/>
      <c r="C75" s="1027"/>
      <c r="D75" s="941"/>
      <c r="E75" s="2042" t="s">
        <v>498</v>
      </c>
      <c r="F75" s="944" t="s">
        <v>88</v>
      </c>
      <c r="G75" s="1087">
        <v>38.33</v>
      </c>
      <c r="H75" s="946">
        <v>38.33</v>
      </c>
      <c r="I75" s="1021">
        <v>26000</v>
      </c>
      <c r="J75" s="1022">
        <f>$H75*I75</f>
        <v>996580</v>
      </c>
      <c r="K75" s="374">
        <f>J75/'REKAP TOTAL'!F44</f>
        <v>8.1961719341096492E-5</v>
      </c>
      <c r="L75" s="954"/>
      <c r="M75" s="955"/>
      <c r="N75" s="955"/>
      <c r="O75" s="955"/>
      <c r="P75" s="955"/>
      <c r="Q75" s="955"/>
      <c r="R75" s="955"/>
      <c r="S75" s="955"/>
      <c r="T75" s="1024"/>
      <c r="U75" s="1025"/>
    </row>
    <row r="76" spans="2:21" s="807" customFormat="1" ht="13.8">
      <c r="B76" s="1026"/>
      <c r="C76" s="1083"/>
      <c r="D76" s="941"/>
      <c r="E76" s="941"/>
      <c r="F76" s="944"/>
      <c r="G76" s="945"/>
      <c r="H76" s="1020"/>
      <c r="I76" s="1021"/>
      <c r="J76" s="1022"/>
      <c r="K76" s="1023"/>
      <c r="L76" s="954"/>
      <c r="M76" s="955"/>
      <c r="N76" s="955"/>
      <c r="O76" s="955"/>
      <c r="P76" s="955"/>
      <c r="Q76" s="955"/>
      <c r="R76" s="955"/>
      <c r="S76" s="955"/>
      <c r="T76" s="1024"/>
      <c r="U76" s="1025"/>
    </row>
    <row r="77" spans="2:21" s="807" customFormat="1" ht="13.8">
      <c r="B77" s="1017"/>
      <c r="C77" s="1019"/>
      <c r="D77" s="1019"/>
      <c r="E77" s="1088" t="s">
        <v>373</v>
      </c>
      <c r="F77" s="944"/>
      <c r="G77" s="945"/>
      <c r="H77" s="1020"/>
      <c r="I77" s="1089"/>
      <c r="J77" s="1090">
        <f>SUM(J70:J76)</f>
        <v>21189425</v>
      </c>
      <c r="K77" s="374">
        <f>J77/'REKAP TOTAL'!F44</f>
        <v>1.742681676181755E-3</v>
      </c>
      <c r="L77" s="954"/>
      <c r="M77" s="955"/>
      <c r="N77" s="955"/>
      <c r="O77" s="955"/>
      <c r="P77" s="955"/>
      <c r="Q77" s="955"/>
      <c r="R77" s="955"/>
      <c r="S77" s="955"/>
      <c r="T77" s="1024"/>
      <c r="U77" s="1025"/>
    </row>
    <row r="78" spans="2:21">
      <c r="B78" s="1091"/>
      <c r="C78" s="1092"/>
      <c r="D78" s="1093"/>
      <c r="E78" s="1094"/>
      <c r="F78" s="905"/>
      <c r="G78" s="906"/>
      <c r="H78" s="907"/>
      <c r="I78" s="908"/>
      <c r="J78" s="909"/>
      <c r="K78" s="910"/>
      <c r="L78" s="911"/>
      <c r="M78" s="1004"/>
      <c r="N78" s="1004"/>
      <c r="O78" s="1005"/>
      <c r="P78" s="1006"/>
      <c r="Q78" s="1005"/>
      <c r="R78" s="1007"/>
      <c r="S78" s="1007"/>
      <c r="T78" s="1008"/>
      <c r="U78" s="1009"/>
    </row>
    <row r="79" spans="2:21">
      <c r="B79" s="1095" t="s">
        <v>25</v>
      </c>
      <c r="C79" s="1096"/>
      <c r="D79" s="1079"/>
      <c r="E79" s="1078" t="s">
        <v>374</v>
      </c>
      <c r="F79" s="918"/>
      <c r="G79" s="919"/>
      <c r="H79" s="920"/>
      <c r="I79" s="921"/>
      <c r="J79" s="1097"/>
      <c r="K79" s="1098"/>
      <c r="L79" s="923"/>
      <c r="M79" s="1010"/>
      <c r="N79" s="1010"/>
      <c r="O79" s="1011"/>
      <c r="P79" s="1012"/>
      <c r="Q79" s="1011"/>
      <c r="R79" s="1013"/>
      <c r="S79" s="1013"/>
      <c r="T79" s="1014"/>
      <c r="U79" s="1015"/>
    </row>
    <row r="80" spans="2:21">
      <c r="B80" s="1071"/>
      <c r="C80" s="1099"/>
      <c r="D80" s="1100"/>
      <c r="E80" s="1073"/>
      <c r="F80" s="856"/>
      <c r="G80" s="857"/>
      <c r="H80" s="858"/>
      <c r="I80" s="859"/>
      <c r="J80" s="860"/>
      <c r="K80" s="861"/>
      <c r="L80" s="930"/>
      <c r="M80" s="1016"/>
      <c r="N80" s="1016"/>
      <c r="O80" s="863"/>
      <c r="P80" s="864"/>
      <c r="Q80" s="863"/>
      <c r="R80" s="865"/>
      <c r="S80" s="865"/>
      <c r="T80" s="993"/>
      <c r="U80" s="994"/>
    </row>
    <row r="81" spans="2:21" s="807" customFormat="1" ht="27.6">
      <c r="B81" s="1026">
        <v>1</v>
      </c>
      <c r="C81" s="1027"/>
      <c r="D81" s="941"/>
      <c r="E81" s="943" t="s">
        <v>499</v>
      </c>
      <c r="F81" s="944"/>
      <c r="G81" s="945"/>
      <c r="H81" s="1020"/>
      <c r="I81" s="953"/>
      <c r="J81" s="1022"/>
      <c r="K81" s="1023">
        <f ca="1">SUM(K81:K94)</f>
        <v>0</v>
      </c>
      <c r="L81" s="954"/>
      <c r="M81" s="955"/>
      <c r="N81" s="955"/>
      <c r="O81" s="955"/>
      <c r="P81" s="955"/>
      <c r="Q81" s="955"/>
      <c r="R81" s="955"/>
      <c r="S81" s="955"/>
      <c r="T81" s="1024"/>
      <c r="U81" s="1025"/>
    </row>
    <row r="82" spans="2:21" s="807" customFormat="1" ht="16.2">
      <c r="B82" s="1026"/>
      <c r="C82" s="1027"/>
      <c r="D82" s="941"/>
      <c r="E82" s="2042" t="s">
        <v>484</v>
      </c>
      <c r="F82" s="944" t="s">
        <v>220</v>
      </c>
      <c r="G82" s="945">
        <v>74.802000000000007</v>
      </c>
      <c r="H82" s="946">
        <v>74.802000000000007</v>
      </c>
      <c r="I82" s="953">
        <v>41700</v>
      </c>
      <c r="J82" s="1022">
        <f>$H82*I82</f>
        <v>3119243.4</v>
      </c>
      <c r="K82" s="374">
        <f>J82/'REKAP TOTAL'!F44</f>
        <v>2.5653590490213284E-4</v>
      </c>
      <c r="L82" s="954"/>
      <c r="M82" s="955"/>
      <c r="N82" s="955"/>
      <c r="O82" s="955"/>
      <c r="P82" s="955"/>
      <c r="Q82" s="955"/>
      <c r="R82" s="955"/>
      <c r="S82" s="955"/>
      <c r="T82" s="1024"/>
      <c r="U82" s="1025"/>
    </row>
    <row r="83" spans="2:21" s="807" customFormat="1" ht="27.6">
      <c r="B83" s="1026">
        <v>2</v>
      </c>
      <c r="C83" s="1027"/>
      <c r="D83" s="941"/>
      <c r="E83" s="943" t="s">
        <v>382</v>
      </c>
      <c r="F83" s="944"/>
      <c r="G83" s="945"/>
      <c r="H83" s="1020"/>
      <c r="I83" s="953"/>
      <c r="J83" s="1022"/>
      <c r="K83" s="1023"/>
      <c r="L83" s="954"/>
      <c r="M83" s="955"/>
      <c r="N83" s="955"/>
      <c r="O83" s="955"/>
      <c r="P83" s="955"/>
      <c r="Q83" s="955"/>
      <c r="R83" s="955"/>
      <c r="S83" s="955"/>
      <c r="T83" s="1024"/>
      <c r="U83" s="1025"/>
    </row>
    <row r="84" spans="2:21" s="807" customFormat="1" ht="16.2">
      <c r="B84" s="1026"/>
      <c r="C84" s="1027"/>
      <c r="D84" s="941"/>
      <c r="E84" s="2041" t="s">
        <v>500</v>
      </c>
      <c r="F84" s="944" t="s">
        <v>220</v>
      </c>
      <c r="G84" s="945">
        <v>117.7722</v>
      </c>
      <c r="H84" s="1102">
        <v>117.7722</v>
      </c>
      <c r="I84" s="947">
        <v>31500</v>
      </c>
      <c r="J84" s="1022">
        <f t="shared" ref="J84:J85" si="4">$H84*I84</f>
        <v>3709824.3</v>
      </c>
      <c r="K84" s="374">
        <f>J84/'REKAP TOTAL'!F44</f>
        <v>3.0510704417244949E-4</v>
      </c>
      <c r="L84" s="954"/>
      <c r="M84" s="955"/>
      <c r="N84" s="955"/>
      <c r="O84" s="955"/>
      <c r="P84" s="955"/>
      <c r="Q84" s="955"/>
      <c r="R84" s="955"/>
      <c r="S84" s="955"/>
      <c r="T84" s="1024"/>
      <c r="U84" s="1025"/>
    </row>
    <row r="85" spans="2:21" s="807" customFormat="1" ht="16.2">
      <c r="B85" s="1026"/>
      <c r="C85" s="1027"/>
      <c r="D85" s="941"/>
      <c r="E85" s="2041" t="s">
        <v>501</v>
      </c>
      <c r="F85" s="944" t="s">
        <v>220</v>
      </c>
      <c r="G85" s="945">
        <v>77.095200000000006</v>
      </c>
      <c r="H85" s="1102">
        <v>77.095200000000006</v>
      </c>
      <c r="I85" s="947">
        <v>31500</v>
      </c>
      <c r="J85" s="1022">
        <f t="shared" si="4"/>
        <v>2428498.7999999998</v>
      </c>
      <c r="K85" s="374">
        <f>J85/'REKAP TOTAL'!F44</f>
        <v>1.9972700341747737E-4</v>
      </c>
      <c r="L85" s="954"/>
      <c r="M85" s="955"/>
      <c r="N85" s="955"/>
      <c r="O85" s="955"/>
      <c r="P85" s="955"/>
      <c r="Q85" s="955"/>
      <c r="R85" s="955"/>
      <c r="S85" s="955"/>
      <c r="T85" s="1024"/>
      <c r="U85" s="1025"/>
    </row>
    <row r="86" spans="2:21" s="807" customFormat="1" ht="13.8">
      <c r="B86" s="1026">
        <v>3</v>
      </c>
      <c r="C86" s="1027"/>
      <c r="D86" s="941"/>
      <c r="E86" s="943" t="s">
        <v>438</v>
      </c>
      <c r="F86" s="944"/>
      <c r="G86" s="945"/>
      <c r="H86" s="1020"/>
      <c r="I86" s="953"/>
      <c r="J86" s="1022"/>
      <c r="K86" s="1023"/>
      <c r="L86" s="954"/>
      <c r="M86" s="955"/>
      <c r="N86" s="955"/>
      <c r="O86" s="955"/>
      <c r="P86" s="955"/>
      <c r="Q86" s="955"/>
      <c r="R86" s="955"/>
      <c r="S86" s="955"/>
      <c r="T86" s="1024"/>
      <c r="U86" s="1025"/>
    </row>
    <row r="87" spans="2:21" s="807" customFormat="1" ht="16.2">
      <c r="B87" s="1026"/>
      <c r="C87" s="1027"/>
      <c r="D87" s="941"/>
      <c r="E87" s="2042" t="s">
        <v>502</v>
      </c>
      <c r="F87" s="944" t="s">
        <v>220</v>
      </c>
      <c r="G87" s="945">
        <v>28</v>
      </c>
      <c r="H87" s="1102">
        <v>28</v>
      </c>
      <c r="I87" s="953">
        <v>31500</v>
      </c>
      <c r="J87" s="1022">
        <f t="shared" ref="J87:J88" si="5">$H87*I87</f>
        <v>882000</v>
      </c>
      <c r="K87" s="374">
        <f>J87/'REKAP TOTAL'!F44</f>
        <v>7.2538317504713224E-5</v>
      </c>
      <c r="L87" s="954"/>
      <c r="M87" s="955"/>
      <c r="N87" s="955"/>
      <c r="O87" s="955"/>
      <c r="P87" s="955"/>
      <c r="Q87" s="955"/>
      <c r="R87" s="955"/>
      <c r="S87" s="955"/>
      <c r="T87" s="1024"/>
      <c r="U87" s="1025"/>
    </row>
    <row r="88" spans="2:21" s="807" customFormat="1" ht="16.2">
      <c r="B88" s="1026"/>
      <c r="C88" s="1027"/>
      <c r="D88" s="941"/>
      <c r="E88" s="2042" t="s">
        <v>484</v>
      </c>
      <c r="F88" s="944" t="s">
        <v>220</v>
      </c>
      <c r="G88" s="1103">
        <v>77.05</v>
      </c>
      <c r="H88" s="946">
        <v>77.05</v>
      </c>
      <c r="I88" s="1104">
        <v>31500</v>
      </c>
      <c r="J88" s="1022">
        <f t="shared" si="5"/>
        <v>2427075</v>
      </c>
      <c r="K88" s="374">
        <f>J88/'REKAP TOTAL'!F44</f>
        <v>1.9960990584779121E-4</v>
      </c>
      <c r="L88" s="954"/>
      <c r="M88" s="955"/>
      <c r="N88" s="955"/>
      <c r="O88" s="955"/>
      <c r="P88" s="955"/>
      <c r="Q88" s="955"/>
      <c r="R88" s="955"/>
      <c r="S88" s="955"/>
      <c r="T88" s="1024"/>
      <c r="U88" s="1025"/>
    </row>
    <row r="89" spans="2:21" s="807" customFormat="1" ht="27.6">
      <c r="B89" s="1026">
        <v>4</v>
      </c>
      <c r="C89" s="1027"/>
      <c r="D89" s="941"/>
      <c r="E89" s="943" t="s">
        <v>380</v>
      </c>
      <c r="F89" s="944"/>
      <c r="G89" s="945"/>
      <c r="H89" s="1020"/>
      <c r="I89" s="953"/>
      <c r="J89" s="1022"/>
      <c r="K89" s="1023"/>
      <c r="L89" s="954"/>
      <c r="M89" s="955"/>
      <c r="N89" s="955"/>
      <c r="O89" s="955"/>
      <c r="P89" s="955"/>
      <c r="Q89" s="955"/>
      <c r="R89" s="955"/>
      <c r="S89" s="955"/>
      <c r="T89" s="1024"/>
      <c r="U89" s="1025"/>
    </row>
    <row r="90" spans="2:21" s="807" customFormat="1" ht="16.2">
      <c r="B90" s="1026"/>
      <c r="C90" s="1027"/>
      <c r="D90" s="941"/>
      <c r="E90" s="2042" t="s">
        <v>503</v>
      </c>
      <c r="F90" s="944" t="s">
        <v>220</v>
      </c>
      <c r="G90" s="1103">
        <v>4.76</v>
      </c>
      <c r="H90" s="1102">
        <v>4.76</v>
      </c>
      <c r="I90" s="953">
        <v>31500</v>
      </c>
      <c r="J90" s="1022">
        <f t="shared" ref="J90:J91" si="6">$H90*I90</f>
        <v>149940</v>
      </c>
      <c r="K90" s="374">
        <f>J90/'REKAP TOTAL'!F44</f>
        <v>1.2331513975801248E-5</v>
      </c>
      <c r="L90" s="954"/>
      <c r="M90" s="955"/>
      <c r="N90" s="955"/>
      <c r="O90" s="955"/>
      <c r="P90" s="955"/>
      <c r="Q90" s="955"/>
      <c r="R90" s="955"/>
      <c r="S90" s="955"/>
      <c r="T90" s="1024"/>
      <c r="U90" s="1025"/>
    </row>
    <row r="91" spans="2:21" s="807" customFormat="1" ht="16.2">
      <c r="B91" s="1026"/>
      <c r="C91" s="1027"/>
      <c r="D91" s="941"/>
      <c r="E91" s="2042" t="s">
        <v>504</v>
      </c>
      <c r="F91" s="944" t="s">
        <v>220</v>
      </c>
      <c r="G91" s="1103">
        <v>4.76</v>
      </c>
      <c r="H91" s="946">
        <v>4.76</v>
      </c>
      <c r="I91" s="1104">
        <v>31500</v>
      </c>
      <c r="J91" s="1022">
        <f t="shared" si="6"/>
        <v>149940</v>
      </c>
      <c r="K91" s="374">
        <f>J91/'REKAP TOTAL'!F44</f>
        <v>1.2331513975801248E-5</v>
      </c>
      <c r="L91" s="954"/>
      <c r="M91" s="955"/>
      <c r="N91" s="955"/>
      <c r="O91" s="955"/>
      <c r="P91" s="955"/>
      <c r="Q91" s="955"/>
      <c r="R91" s="955"/>
      <c r="S91" s="955"/>
      <c r="T91" s="1024"/>
      <c r="U91" s="1025"/>
    </row>
    <row r="92" spans="2:21" s="807" customFormat="1" ht="27.6">
      <c r="B92" s="1026">
        <v>5</v>
      </c>
      <c r="C92" s="1027"/>
      <c r="D92" s="941"/>
      <c r="E92" s="943" t="s">
        <v>505</v>
      </c>
      <c r="F92" s="944"/>
      <c r="G92" s="945"/>
      <c r="H92" s="1020"/>
      <c r="I92" s="1104"/>
      <c r="J92" s="1022"/>
      <c r="K92" s="1023"/>
      <c r="L92" s="954"/>
      <c r="M92" s="955"/>
      <c r="N92" s="955"/>
      <c r="O92" s="955"/>
      <c r="P92" s="955"/>
      <c r="Q92" s="955"/>
      <c r="R92" s="955"/>
      <c r="S92" s="955"/>
      <c r="T92" s="1024"/>
      <c r="U92" s="1025"/>
    </row>
    <row r="93" spans="2:21" s="807" customFormat="1" ht="16.2">
      <c r="B93" s="1026"/>
      <c r="C93" s="1027"/>
      <c r="D93" s="941"/>
      <c r="E93" s="2042" t="s">
        <v>506</v>
      </c>
      <c r="F93" s="944" t="s">
        <v>220</v>
      </c>
      <c r="G93" s="1103">
        <v>15.3</v>
      </c>
      <c r="H93" s="946">
        <v>15.3</v>
      </c>
      <c r="I93" s="1104">
        <v>31500</v>
      </c>
      <c r="J93" s="1022">
        <f t="shared" ref="J93:J94" si="7">$H93*I93</f>
        <v>481950</v>
      </c>
      <c r="K93" s="374">
        <f>J93/'REKAP TOTAL'!F44</f>
        <v>3.963700920793258E-5</v>
      </c>
      <c r="L93" s="954"/>
      <c r="M93" s="955"/>
      <c r="N93" s="955"/>
      <c r="O93" s="955"/>
      <c r="P93" s="955"/>
      <c r="Q93" s="955"/>
      <c r="R93" s="955"/>
      <c r="S93" s="955"/>
      <c r="T93" s="1024"/>
      <c r="U93" s="1025"/>
    </row>
    <row r="94" spans="2:21" s="807" customFormat="1" ht="16.2">
      <c r="B94" s="1026"/>
      <c r="C94" s="1027"/>
      <c r="D94" s="941"/>
      <c r="E94" s="2042" t="s">
        <v>484</v>
      </c>
      <c r="F94" s="944" t="s">
        <v>220</v>
      </c>
      <c r="G94" s="1103">
        <v>7.8</v>
      </c>
      <c r="H94" s="946">
        <v>7.8</v>
      </c>
      <c r="I94" s="1104">
        <v>31500</v>
      </c>
      <c r="J94" s="1022">
        <f t="shared" si="7"/>
        <v>245700</v>
      </c>
      <c r="K94" s="374">
        <f>J94/'REKAP TOTAL'!F44</f>
        <v>2.0207102733455825E-5</v>
      </c>
      <c r="L94" s="954"/>
      <c r="M94" s="955"/>
      <c r="N94" s="955"/>
      <c r="O94" s="955"/>
      <c r="P94" s="955"/>
      <c r="Q94" s="955"/>
      <c r="R94" s="955"/>
      <c r="S94" s="955"/>
      <c r="T94" s="1024"/>
      <c r="U94" s="1025"/>
    </row>
    <row r="95" spans="2:21">
      <c r="B95" s="1074"/>
      <c r="C95" s="1075"/>
      <c r="D95" s="904"/>
      <c r="E95" s="1105"/>
      <c r="F95" s="905"/>
      <c r="G95" s="906"/>
      <c r="H95" s="907"/>
      <c r="I95" s="908"/>
      <c r="J95" s="909"/>
      <c r="K95" s="910"/>
      <c r="L95" s="911"/>
      <c r="M95" s="1004"/>
      <c r="N95" s="1004"/>
      <c r="O95" s="1005"/>
      <c r="P95" s="1006"/>
      <c r="Q95" s="1005"/>
      <c r="R95" s="1007"/>
      <c r="S95" s="1007"/>
      <c r="T95" s="1008"/>
      <c r="U95" s="1009"/>
    </row>
    <row r="96" spans="2:21">
      <c r="B96" s="1077"/>
      <c r="C96" s="1078"/>
      <c r="D96" s="1078"/>
      <c r="E96" s="1079" t="s">
        <v>384</v>
      </c>
      <c r="F96" s="918"/>
      <c r="G96" s="919"/>
      <c r="H96" s="920"/>
      <c r="I96" s="1080"/>
      <c r="J96" s="922">
        <f>SUM(J80:J95)</f>
        <v>13594171.5</v>
      </c>
      <c r="K96" s="1070">
        <f>J96/'REKAP TOTAL'!F44</f>
        <v>1.1180253157375552E-3</v>
      </c>
      <c r="L96" s="923"/>
      <c r="M96" s="1010"/>
      <c r="N96" s="1010"/>
      <c r="O96" s="1011"/>
      <c r="P96" s="1012"/>
      <c r="Q96" s="1011"/>
      <c r="R96" s="1013"/>
      <c r="S96" s="1013"/>
      <c r="T96" s="1014"/>
      <c r="U96" s="1015"/>
    </row>
    <row r="97" spans="2:21">
      <c r="B97" s="926"/>
      <c r="C97" s="1081"/>
      <c r="D97" s="1081"/>
      <c r="E97" s="1081"/>
      <c r="F97" s="856"/>
      <c r="G97" s="857"/>
      <c r="H97" s="858"/>
      <c r="I97" s="859"/>
      <c r="J97" s="860"/>
      <c r="K97" s="861"/>
      <c r="L97" s="930"/>
      <c r="M97" s="1016"/>
      <c r="N97" s="1016"/>
      <c r="O97" s="863"/>
      <c r="P97" s="864"/>
      <c r="Q97" s="863"/>
      <c r="R97" s="865"/>
      <c r="S97" s="865"/>
      <c r="T97" s="993"/>
      <c r="U97" s="994"/>
    </row>
    <row r="98" spans="2:21" s="807" customFormat="1" ht="13.8">
      <c r="B98" s="1017" t="s">
        <v>26</v>
      </c>
      <c r="C98" s="1082"/>
      <c r="D98" s="1019"/>
      <c r="E98" s="1019" t="s">
        <v>385</v>
      </c>
      <c r="F98" s="944"/>
      <c r="G98" s="945"/>
      <c r="H98" s="1020"/>
      <c r="I98" s="1021"/>
      <c r="J98" s="1022"/>
      <c r="K98" s="1023"/>
      <c r="L98" s="954"/>
      <c r="M98" s="955"/>
      <c r="N98" s="955"/>
      <c r="O98" s="955"/>
      <c r="P98" s="955"/>
      <c r="Q98" s="955"/>
      <c r="R98" s="955"/>
      <c r="S98" s="955"/>
      <c r="T98" s="1024"/>
      <c r="U98" s="1025"/>
    </row>
    <row r="99" spans="2:21" s="807" customFormat="1" ht="13.8">
      <c r="B99" s="1026"/>
      <c r="C99" s="1083"/>
      <c r="D99" s="941"/>
      <c r="E99" s="941"/>
      <c r="F99" s="944"/>
      <c r="G99" s="945"/>
      <c r="H99" s="1020"/>
      <c r="I99" s="1021"/>
      <c r="J99" s="1022"/>
      <c r="K99" s="1023"/>
      <c r="L99" s="954"/>
      <c r="M99" s="955"/>
      <c r="N99" s="955"/>
      <c r="O99" s="955"/>
      <c r="P99" s="955"/>
      <c r="Q99" s="955"/>
      <c r="R99" s="955"/>
      <c r="S99" s="955"/>
      <c r="T99" s="1024"/>
      <c r="U99" s="1025"/>
    </row>
    <row r="100" spans="2:21" s="807" customFormat="1" ht="13.8">
      <c r="B100" s="1026"/>
      <c r="C100" s="1027"/>
      <c r="D100" s="941"/>
      <c r="E100" s="1106" t="s">
        <v>507</v>
      </c>
      <c r="F100" s="944"/>
      <c r="G100" s="945"/>
      <c r="H100" s="1020"/>
      <c r="I100" s="1021"/>
      <c r="J100" s="1022"/>
      <c r="K100" s="1023"/>
      <c r="L100" s="954"/>
      <c r="M100" s="955"/>
      <c r="N100" s="955"/>
      <c r="O100" s="955"/>
      <c r="P100" s="955"/>
      <c r="Q100" s="955"/>
      <c r="R100" s="955"/>
      <c r="S100" s="955"/>
      <c r="T100" s="1024"/>
      <c r="U100" s="1025"/>
    </row>
    <row r="101" spans="2:21" s="807" customFormat="1" ht="13.8">
      <c r="B101" s="1107">
        <v>1</v>
      </c>
      <c r="C101" s="1108"/>
      <c r="D101" s="1109"/>
      <c r="E101" s="1110" t="s">
        <v>508</v>
      </c>
      <c r="F101" s="1111" t="s">
        <v>135</v>
      </c>
      <c r="G101" s="1112">
        <v>1</v>
      </c>
      <c r="H101" s="946">
        <v>1</v>
      </c>
      <c r="I101" s="1113">
        <v>1292000</v>
      </c>
      <c r="J101" s="1022">
        <f>$H101*I101</f>
        <v>1292000</v>
      </c>
      <c r="K101" s="374">
        <f>J101/'REKAP TOTAL'!F44</f>
        <v>1.0625794355565701E-4</v>
      </c>
      <c r="L101" s="954"/>
      <c r="M101" s="955"/>
      <c r="N101" s="955"/>
      <c r="O101" s="955"/>
      <c r="P101" s="955"/>
      <c r="Q101" s="955"/>
      <c r="R101" s="955"/>
      <c r="S101" s="955"/>
      <c r="T101" s="1024"/>
      <c r="U101" s="1025"/>
    </row>
    <row r="102" spans="2:21" s="807" customFormat="1" ht="13.8">
      <c r="B102" s="1107">
        <v>2</v>
      </c>
      <c r="C102" s="1108"/>
      <c r="D102" s="1109"/>
      <c r="E102" s="1110" t="s">
        <v>509</v>
      </c>
      <c r="F102" s="1111" t="s">
        <v>135</v>
      </c>
      <c r="G102" s="1112">
        <v>1</v>
      </c>
      <c r="H102" s="946">
        <v>1</v>
      </c>
      <c r="I102" s="1113">
        <v>639200</v>
      </c>
      <c r="J102" s="1022">
        <f t="shared" ref="J102:J114" si="8">$H102*I102</f>
        <v>639200</v>
      </c>
      <c r="K102" s="374">
        <f>J102/'REKAP TOTAL'!F44</f>
        <v>5.2569719443325048E-5</v>
      </c>
      <c r="L102" s="954"/>
      <c r="M102" s="955"/>
      <c r="N102" s="955"/>
      <c r="O102" s="955"/>
      <c r="P102" s="955"/>
      <c r="Q102" s="955"/>
      <c r="R102" s="955"/>
      <c r="S102" s="955"/>
      <c r="T102" s="1024"/>
      <c r="U102" s="1025"/>
    </row>
    <row r="103" spans="2:21" s="807" customFormat="1" ht="27.6">
      <c r="B103" s="1107">
        <v>3</v>
      </c>
      <c r="C103" s="1108"/>
      <c r="D103" s="1109"/>
      <c r="E103" s="1110" t="s">
        <v>510</v>
      </c>
      <c r="F103" s="1111" t="s">
        <v>135</v>
      </c>
      <c r="G103" s="1112">
        <v>1</v>
      </c>
      <c r="H103" s="946">
        <v>1</v>
      </c>
      <c r="I103" s="1113">
        <v>1788300</v>
      </c>
      <c r="J103" s="1022">
        <f t="shared" si="8"/>
        <v>1788300</v>
      </c>
      <c r="K103" s="374">
        <f>J103/'REKAP TOTAL'!F44</f>
        <v>1.4707513967537262E-4</v>
      </c>
      <c r="L103" s="954"/>
      <c r="M103" s="955"/>
      <c r="N103" s="955"/>
      <c r="O103" s="955"/>
      <c r="P103" s="955"/>
      <c r="Q103" s="955"/>
      <c r="R103" s="955"/>
      <c r="S103" s="955"/>
      <c r="T103" s="1024"/>
      <c r="U103" s="1025"/>
    </row>
    <row r="104" spans="2:21" s="806" customFormat="1" ht="31.5" customHeight="1">
      <c r="B104" s="1107">
        <v>4</v>
      </c>
      <c r="C104" s="1108"/>
      <c r="D104" s="1109"/>
      <c r="E104" s="1110" t="s">
        <v>511</v>
      </c>
      <c r="F104" s="1111" t="s">
        <v>135</v>
      </c>
      <c r="G104" s="1112">
        <v>1</v>
      </c>
      <c r="H104" s="946">
        <v>1</v>
      </c>
      <c r="I104" s="1113">
        <v>11900000</v>
      </c>
      <c r="J104" s="1022">
        <f t="shared" si="8"/>
        <v>11900000</v>
      </c>
      <c r="K104" s="374">
        <f>J104/'REKAP TOTAL'!F44</f>
        <v>9.7869158538105142E-4</v>
      </c>
      <c r="L104" s="949"/>
      <c r="M104" s="950"/>
      <c r="N104" s="950"/>
      <c r="O104" s="950"/>
      <c r="P104" s="950"/>
      <c r="Q104" s="950"/>
      <c r="R104" s="950"/>
      <c r="S104" s="950"/>
      <c r="T104" s="1114"/>
      <c r="U104" s="1115"/>
    </row>
    <row r="105" spans="2:21" s="806" customFormat="1" ht="32.25" customHeight="1">
      <c r="B105" s="1107">
        <v>5</v>
      </c>
      <c r="C105" s="1108"/>
      <c r="D105" s="1109"/>
      <c r="E105" s="1110" t="s">
        <v>512</v>
      </c>
      <c r="F105" s="1111" t="s">
        <v>135</v>
      </c>
      <c r="G105" s="1112">
        <v>1</v>
      </c>
      <c r="H105" s="946">
        <v>1</v>
      </c>
      <c r="I105" s="1113">
        <v>8925000</v>
      </c>
      <c r="J105" s="1022">
        <f t="shared" si="8"/>
        <v>8925000</v>
      </c>
      <c r="K105" s="374">
        <f>J105/'REKAP TOTAL'!F44</f>
        <v>7.3401868903578851E-4</v>
      </c>
      <c r="L105" s="949"/>
      <c r="M105" s="950"/>
      <c r="N105" s="950"/>
      <c r="O105" s="950"/>
      <c r="P105" s="950"/>
      <c r="Q105" s="950"/>
      <c r="R105" s="950"/>
      <c r="S105" s="950"/>
      <c r="T105" s="1114"/>
      <c r="U105" s="1115"/>
    </row>
    <row r="106" spans="2:21" s="806" customFormat="1" ht="29.25" customHeight="1">
      <c r="B106" s="1107">
        <v>6</v>
      </c>
      <c r="C106" s="1108"/>
      <c r="D106" s="1109"/>
      <c r="E106" s="1116" t="s">
        <v>513</v>
      </c>
      <c r="F106" s="1111" t="s">
        <v>103</v>
      </c>
      <c r="G106" s="1112">
        <v>1.53</v>
      </c>
      <c r="H106" s="946">
        <v>1.53</v>
      </c>
      <c r="I106" s="1113">
        <v>253900</v>
      </c>
      <c r="J106" s="1022">
        <f t="shared" si="8"/>
        <v>388467</v>
      </c>
      <c r="K106" s="374">
        <f>J106/'REKAP TOTAL'!F44</f>
        <v>3.1948687739346293E-5</v>
      </c>
      <c r="L106" s="949"/>
      <c r="M106" s="950"/>
      <c r="N106" s="950"/>
      <c r="O106" s="950"/>
      <c r="P106" s="950"/>
      <c r="Q106" s="950"/>
      <c r="R106" s="950"/>
      <c r="S106" s="950"/>
      <c r="T106" s="1114"/>
      <c r="U106" s="1115"/>
    </row>
    <row r="107" spans="2:21" s="807" customFormat="1" ht="13.8">
      <c r="B107" s="1026"/>
      <c r="C107" s="1083"/>
      <c r="D107" s="941"/>
      <c r="E107" s="941"/>
      <c r="F107" s="944"/>
      <c r="G107" s="945"/>
      <c r="H107" s="1020"/>
      <c r="I107" s="1021"/>
      <c r="J107" s="1022">
        <f t="shared" si="8"/>
        <v>0</v>
      </c>
      <c r="K107" s="374">
        <f>J107/'REKAP TOTAL'!F44</f>
        <v>0</v>
      </c>
      <c r="L107" s="954"/>
      <c r="M107" s="955"/>
      <c r="N107" s="955"/>
      <c r="O107" s="955"/>
      <c r="P107" s="955"/>
      <c r="Q107" s="955"/>
      <c r="R107" s="955"/>
      <c r="S107" s="955"/>
      <c r="T107" s="1024"/>
      <c r="U107" s="1025"/>
    </row>
    <row r="108" spans="2:21" s="807" customFormat="1" ht="13.8">
      <c r="B108" s="1026"/>
      <c r="C108" s="1027"/>
      <c r="D108" s="941"/>
      <c r="E108" s="1106" t="s">
        <v>514</v>
      </c>
      <c r="F108" s="944"/>
      <c r="G108" s="945"/>
      <c r="H108" s="1020"/>
      <c r="I108" s="1021"/>
      <c r="J108" s="1022">
        <f t="shared" si="8"/>
        <v>0</v>
      </c>
      <c r="K108" s="374"/>
      <c r="L108" s="954"/>
      <c r="M108" s="955"/>
      <c r="N108" s="955"/>
      <c r="O108" s="955"/>
      <c r="P108" s="955"/>
      <c r="Q108" s="955"/>
      <c r="R108" s="955"/>
      <c r="S108" s="955"/>
      <c r="T108" s="1024"/>
      <c r="U108" s="1025"/>
    </row>
    <row r="109" spans="2:21" s="807" customFormat="1" ht="13.8">
      <c r="B109" s="1107">
        <v>1</v>
      </c>
      <c r="C109" s="1108"/>
      <c r="D109" s="1109"/>
      <c r="E109" s="1110" t="s">
        <v>515</v>
      </c>
      <c r="F109" s="1111" t="s">
        <v>135</v>
      </c>
      <c r="G109" s="1112">
        <v>1</v>
      </c>
      <c r="H109" s="946">
        <v>1</v>
      </c>
      <c r="I109" s="1113">
        <v>1292000</v>
      </c>
      <c r="J109" s="1022">
        <f t="shared" si="8"/>
        <v>1292000</v>
      </c>
      <c r="K109" s="374">
        <f>J109/'REKAP TOTAL'!F44</f>
        <v>1.0625794355565701E-4</v>
      </c>
      <c r="L109" s="954"/>
      <c r="M109" s="955"/>
      <c r="N109" s="955"/>
      <c r="O109" s="955"/>
      <c r="P109" s="955"/>
      <c r="Q109" s="955"/>
      <c r="R109" s="955"/>
      <c r="S109" s="955"/>
      <c r="T109" s="1024"/>
      <c r="U109" s="1025"/>
    </row>
    <row r="110" spans="2:21" s="807" customFormat="1" ht="13.8">
      <c r="B110" s="1107">
        <v>2</v>
      </c>
      <c r="C110" s="1108"/>
      <c r="D110" s="1109"/>
      <c r="E110" s="1110" t="s">
        <v>509</v>
      </c>
      <c r="F110" s="1111" t="s">
        <v>135</v>
      </c>
      <c r="G110" s="1112">
        <v>1</v>
      </c>
      <c r="H110" s="946">
        <v>1</v>
      </c>
      <c r="I110" s="1113">
        <v>639200</v>
      </c>
      <c r="J110" s="1022">
        <f t="shared" si="8"/>
        <v>639200</v>
      </c>
      <c r="K110" s="374">
        <f>J110/'REKAP TOTAL'!F44</f>
        <v>5.2569719443325048E-5</v>
      </c>
      <c r="L110" s="954"/>
      <c r="M110" s="955"/>
      <c r="N110" s="955"/>
      <c r="O110" s="955"/>
      <c r="P110" s="955"/>
      <c r="Q110" s="955"/>
      <c r="R110" s="955"/>
      <c r="S110" s="955"/>
      <c r="T110" s="1024"/>
      <c r="U110" s="1025"/>
    </row>
    <row r="111" spans="2:21" s="807" customFormat="1" ht="27.6">
      <c r="B111" s="1107">
        <v>3</v>
      </c>
      <c r="C111" s="1108"/>
      <c r="D111" s="1109"/>
      <c r="E111" s="1110" t="s">
        <v>516</v>
      </c>
      <c r="F111" s="1111" t="s">
        <v>135</v>
      </c>
      <c r="G111" s="1112">
        <v>1</v>
      </c>
      <c r="H111" s="946">
        <v>1</v>
      </c>
      <c r="I111" s="1113">
        <v>1788300</v>
      </c>
      <c r="J111" s="1022">
        <f t="shared" si="8"/>
        <v>1788300</v>
      </c>
      <c r="K111" s="374">
        <f>J111/'REKAP TOTAL'!F44</f>
        <v>1.4707513967537262E-4</v>
      </c>
      <c r="L111" s="954"/>
      <c r="M111" s="955"/>
      <c r="N111" s="955"/>
      <c r="O111" s="955"/>
      <c r="P111" s="955"/>
      <c r="Q111" s="955"/>
      <c r="R111" s="955"/>
      <c r="S111" s="955"/>
      <c r="T111" s="1024"/>
      <c r="U111" s="1025"/>
    </row>
    <row r="112" spans="2:21" s="806" customFormat="1" ht="31.5" customHeight="1">
      <c r="B112" s="1107">
        <v>4</v>
      </c>
      <c r="C112" s="1108"/>
      <c r="D112" s="1109"/>
      <c r="E112" s="1110" t="s">
        <v>517</v>
      </c>
      <c r="F112" s="1111" t="s">
        <v>135</v>
      </c>
      <c r="G112" s="1112">
        <v>1</v>
      </c>
      <c r="H112" s="946">
        <v>1</v>
      </c>
      <c r="I112" s="1113">
        <v>23800000</v>
      </c>
      <c r="J112" s="1022">
        <f t="shared" si="8"/>
        <v>23800000</v>
      </c>
      <c r="K112" s="374">
        <f>J112/'REKAP TOTAL'!F44</f>
        <v>1.9573831707621028E-3</v>
      </c>
      <c r="L112" s="949"/>
      <c r="M112" s="950"/>
      <c r="N112" s="950"/>
      <c r="O112" s="950"/>
      <c r="P112" s="950"/>
      <c r="Q112" s="950"/>
      <c r="R112" s="950"/>
      <c r="S112" s="950"/>
      <c r="T112" s="1114"/>
      <c r="U112" s="1115"/>
    </row>
    <row r="113" spans="2:21" s="806" customFormat="1" ht="32.25" customHeight="1">
      <c r="B113" s="1107">
        <v>5</v>
      </c>
      <c r="C113" s="1108"/>
      <c r="D113" s="1109"/>
      <c r="E113" s="1110" t="s">
        <v>518</v>
      </c>
      <c r="F113" s="1111" t="s">
        <v>135</v>
      </c>
      <c r="G113" s="1112">
        <v>1</v>
      </c>
      <c r="H113" s="946">
        <v>1</v>
      </c>
      <c r="I113" s="1113">
        <v>19040000</v>
      </c>
      <c r="J113" s="1022">
        <f t="shared" si="8"/>
        <v>19040000</v>
      </c>
      <c r="K113" s="374">
        <f>J113/'REKAP TOTAL'!F44</f>
        <v>1.5659065366096822E-3</v>
      </c>
      <c r="L113" s="949"/>
      <c r="M113" s="950"/>
      <c r="N113" s="950"/>
      <c r="O113" s="950"/>
      <c r="P113" s="950"/>
      <c r="Q113" s="950"/>
      <c r="R113" s="950"/>
      <c r="S113" s="950"/>
      <c r="T113" s="1114"/>
      <c r="U113" s="1115"/>
    </row>
    <row r="114" spans="2:21" s="806" customFormat="1" ht="29.25" customHeight="1">
      <c r="B114" s="1107">
        <v>6</v>
      </c>
      <c r="C114" s="1108"/>
      <c r="D114" s="1109"/>
      <c r="E114" s="1116" t="s">
        <v>513</v>
      </c>
      <c r="F114" s="1111" t="s">
        <v>103</v>
      </c>
      <c r="G114" s="1112">
        <v>1.53</v>
      </c>
      <c r="H114" s="946">
        <v>1.53</v>
      </c>
      <c r="I114" s="1113">
        <v>253900</v>
      </c>
      <c r="J114" s="1022">
        <f t="shared" si="8"/>
        <v>388467</v>
      </c>
      <c r="K114" s="374">
        <f>J114/'REKAP TOTAL'!F44</f>
        <v>3.1948687739346293E-5</v>
      </c>
      <c r="L114" s="949"/>
      <c r="M114" s="950"/>
      <c r="N114" s="950"/>
      <c r="O114" s="950"/>
      <c r="P114" s="950"/>
      <c r="Q114" s="950"/>
      <c r="R114" s="950"/>
      <c r="S114" s="950"/>
      <c r="T114" s="1114"/>
      <c r="U114" s="1115"/>
    </row>
    <row r="115" spans="2:21" s="807" customFormat="1" ht="13.8">
      <c r="B115" s="1117"/>
      <c r="C115" s="1118"/>
      <c r="D115" s="1119"/>
      <c r="E115" s="1120"/>
      <c r="F115" s="1032"/>
      <c r="G115" s="1121"/>
      <c r="H115" s="1034"/>
      <c r="I115" s="1122"/>
      <c r="J115" s="1123"/>
      <c r="K115" s="1124"/>
      <c r="L115" s="1038"/>
      <c r="M115" s="1039"/>
      <c r="N115" s="1039"/>
      <c r="O115" s="1039"/>
      <c r="P115" s="1039"/>
      <c r="Q115" s="1039"/>
      <c r="R115" s="1039"/>
      <c r="S115" s="1039"/>
      <c r="T115" s="1040"/>
      <c r="U115" s="1041"/>
    </row>
    <row r="116" spans="2:21" s="807" customFormat="1" ht="17.25" customHeight="1">
      <c r="B116" s="1069"/>
      <c r="C116" s="980"/>
      <c r="D116" s="980"/>
      <c r="E116" s="980" t="s">
        <v>393</v>
      </c>
      <c r="F116" s="981"/>
      <c r="G116" s="982"/>
      <c r="H116" s="983"/>
      <c r="I116" s="984"/>
      <c r="J116" s="985">
        <f>SUM(J99:J115)</f>
        <v>71880934</v>
      </c>
      <c r="K116" s="1070">
        <f>J116/'REKAP TOTAL'!F44</f>
        <v>5.9117029626160273E-3</v>
      </c>
      <c r="L116" s="986"/>
      <c r="M116" s="987"/>
      <c r="N116" s="987"/>
      <c r="O116" s="987"/>
      <c r="P116" s="987"/>
      <c r="Q116" s="987"/>
      <c r="R116" s="987"/>
      <c r="S116" s="987"/>
      <c r="T116" s="1042"/>
      <c r="U116" s="1043"/>
    </row>
    <row r="117" spans="2:21">
      <c r="F117" s="809"/>
    </row>
    <row r="118" spans="2:21">
      <c r="F118" s="809"/>
    </row>
    <row r="119" spans="2:21">
      <c r="F119" s="809"/>
    </row>
    <row r="120" spans="2:21">
      <c r="F120" s="809"/>
    </row>
    <row r="121" spans="2:21">
      <c r="F121" s="809"/>
    </row>
    <row r="122" spans="2:21">
      <c r="F122" s="809"/>
    </row>
    <row r="123" spans="2:21">
      <c r="F123" s="809"/>
    </row>
    <row r="124" spans="2:21">
      <c r="F124" s="809"/>
    </row>
    <row r="125" spans="2:21">
      <c r="F125" s="809"/>
    </row>
    <row r="126" spans="2:21">
      <c r="F126" s="809"/>
    </row>
    <row r="127" spans="2:21">
      <c r="F127" s="809"/>
    </row>
    <row r="128" spans="2:21">
      <c r="F128" s="809"/>
    </row>
    <row r="129" spans="6:6">
      <c r="F129" s="809"/>
    </row>
    <row r="130" spans="6:6">
      <c r="F130" s="809"/>
    </row>
    <row r="131" spans="6:6">
      <c r="F131" s="809"/>
    </row>
    <row r="132" spans="6:6">
      <c r="F132" s="809"/>
    </row>
    <row r="133" spans="6:6">
      <c r="F133" s="809"/>
    </row>
    <row r="134" spans="6:6">
      <c r="F134" s="809"/>
    </row>
    <row r="135" spans="6:6">
      <c r="F135" s="809"/>
    </row>
    <row r="136" spans="6:6">
      <c r="F136" s="809"/>
    </row>
    <row r="137" spans="6:6">
      <c r="F137" s="809"/>
    </row>
    <row r="138" spans="6:6">
      <c r="F138" s="809"/>
    </row>
    <row r="139" spans="6:6">
      <c r="F139" s="809"/>
    </row>
    <row r="140" spans="6:6">
      <c r="F140" s="809"/>
    </row>
    <row r="141" spans="6:6">
      <c r="F141" s="809"/>
    </row>
    <row r="142" spans="6:6">
      <c r="F142" s="809"/>
    </row>
    <row r="143" spans="6:6">
      <c r="F143" s="809"/>
    </row>
    <row r="144" spans="6:6">
      <c r="F144" s="809"/>
    </row>
    <row r="145" spans="6:6">
      <c r="F145" s="809"/>
    </row>
    <row r="146" spans="6:6">
      <c r="F146" s="809"/>
    </row>
    <row r="147" spans="6:6">
      <c r="F147" s="809"/>
    </row>
    <row r="148" spans="6:6">
      <c r="F148" s="809"/>
    </row>
    <row r="149" spans="6:6">
      <c r="F149" s="809"/>
    </row>
    <row r="150" spans="6:6">
      <c r="F150" s="809"/>
    </row>
    <row r="151" spans="6:6">
      <c r="F151" s="809"/>
    </row>
    <row r="152" spans="6:6">
      <c r="F152" s="809"/>
    </row>
    <row r="153" spans="6:6">
      <c r="F153" s="809"/>
    </row>
    <row r="154" spans="6:6">
      <c r="F154" s="809"/>
    </row>
    <row r="155" spans="6:6">
      <c r="F155" s="809"/>
    </row>
    <row r="156" spans="6:6">
      <c r="F156" s="809"/>
    </row>
    <row r="157" spans="6:6">
      <c r="F157" s="809"/>
    </row>
    <row r="158" spans="6:6">
      <c r="F158" s="809"/>
    </row>
    <row r="159" spans="6:6">
      <c r="F159" s="809"/>
    </row>
    <row r="160" spans="6:6">
      <c r="F160" s="809"/>
    </row>
    <row r="161" spans="6:6">
      <c r="F161" s="809"/>
    </row>
    <row r="162" spans="6:6">
      <c r="F162" s="809"/>
    </row>
    <row r="163" spans="6:6">
      <c r="F163" s="809"/>
    </row>
    <row r="164" spans="6:6">
      <c r="F164" s="809"/>
    </row>
    <row r="165" spans="6:6">
      <c r="F165" s="809"/>
    </row>
    <row r="166" spans="6:6">
      <c r="F166" s="809"/>
    </row>
    <row r="167" spans="6:6">
      <c r="F167" s="809"/>
    </row>
    <row r="168" spans="6:6">
      <c r="F168" s="809"/>
    </row>
    <row r="169" spans="6:6">
      <c r="F169" s="809"/>
    </row>
    <row r="170" spans="6:6">
      <c r="F170" s="809"/>
    </row>
    <row r="171" spans="6:6">
      <c r="F171" s="809"/>
    </row>
    <row r="172" spans="6:6">
      <c r="F172" s="809"/>
    </row>
    <row r="173" spans="6:6">
      <c r="F173" s="809"/>
    </row>
    <row r="174" spans="6:6">
      <c r="F174" s="809"/>
    </row>
    <row r="175" spans="6:6">
      <c r="F175" s="809"/>
    </row>
    <row r="176" spans="6:6">
      <c r="F176" s="809"/>
    </row>
    <row r="177" spans="6:6">
      <c r="F177" s="809"/>
    </row>
    <row r="178" spans="6:6">
      <c r="F178" s="809"/>
    </row>
    <row r="179" spans="6:6">
      <c r="F179" s="809"/>
    </row>
    <row r="180" spans="6:6">
      <c r="F180" s="809"/>
    </row>
    <row r="181" spans="6:6">
      <c r="F181" s="809"/>
    </row>
    <row r="182" spans="6:6">
      <c r="F182" s="809"/>
    </row>
    <row r="183" spans="6:6">
      <c r="F183" s="809"/>
    </row>
    <row r="184" spans="6:6">
      <c r="F184" s="809"/>
    </row>
    <row r="185" spans="6:6">
      <c r="F185" s="809"/>
    </row>
    <row r="186" spans="6:6">
      <c r="F186" s="809"/>
    </row>
    <row r="187" spans="6:6">
      <c r="F187" s="809"/>
    </row>
    <row r="188" spans="6:6">
      <c r="F188" s="809"/>
    </row>
    <row r="189" spans="6:6">
      <c r="F189" s="809"/>
    </row>
    <row r="190" spans="6:6">
      <c r="F190" s="809"/>
    </row>
    <row r="191" spans="6:6">
      <c r="F191" s="809"/>
    </row>
    <row r="192" spans="6:6">
      <c r="F192" s="809"/>
    </row>
    <row r="193" spans="6:6">
      <c r="F193" s="809"/>
    </row>
    <row r="194" spans="6:6">
      <c r="F194" s="809"/>
    </row>
    <row r="195" spans="6:6">
      <c r="F195" s="809"/>
    </row>
    <row r="196" spans="6:6">
      <c r="F196" s="809"/>
    </row>
    <row r="197" spans="6:6">
      <c r="F197" s="809"/>
    </row>
    <row r="198" spans="6:6">
      <c r="F198" s="809"/>
    </row>
    <row r="199" spans="6:6">
      <c r="F199" s="809"/>
    </row>
    <row r="200" spans="6:6">
      <c r="F200" s="809"/>
    </row>
    <row r="201" spans="6:6">
      <c r="F201" s="809"/>
    </row>
    <row r="202" spans="6:6">
      <c r="F202" s="809"/>
    </row>
    <row r="203" spans="6:6">
      <c r="F203" s="809"/>
    </row>
    <row r="204" spans="6:6">
      <c r="F204" s="809"/>
    </row>
    <row r="205" spans="6:6">
      <c r="F205" s="809"/>
    </row>
    <row r="206" spans="6:6">
      <c r="F206" s="809"/>
    </row>
    <row r="207" spans="6:6">
      <c r="F207" s="809"/>
    </row>
    <row r="208" spans="6:6">
      <c r="F208" s="809"/>
    </row>
    <row r="209" spans="6:6">
      <c r="F209" s="809"/>
    </row>
    <row r="210" spans="6:6">
      <c r="F210" s="809"/>
    </row>
    <row r="211" spans="6:6">
      <c r="F211" s="809"/>
    </row>
    <row r="212" spans="6:6">
      <c r="F212" s="809"/>
    </row>
    <row r="213" spans="6:6">
      <c r="F213" s="809"/>
    </row>
    <row r="214" spans="6:6">
      <c r="F214" s="809"/>
    </row>
    <row r="215" spans="6:6">
      <c r="F215" s="809"/>
    </row>
    <row r="216" spans="6:6">
      <c r="F216" s="809"/>
    </row>
    <row r="217" spans="6:6">
      <c r="F217" s="809"/>
    </row>
    <row r="218" spans="6:6">
      <c r="F218" s="809"/>
    </row>
    <row r="219" spans="6:6">
      <c r="F219" s="809"/>
    </row>
    <row r="220" spans="6:6">
      <c r="F220" s="809"/>
    </row>
    <row r="221" spans="6:6">
      <c r="F221" s="809"/>
    </row>
    <row r="222" spans="6:6">
      <c r="F222" s="809"/>
    </row>
    <row r="223" spans="6:6">
      <c r="F223" s="809"/>
    </row>
    <row r="224" spans="6:6">
      <c r="F224" s="809"/>
    </row>
    <row r="225" spans="6:6">
      <c r="F225" s="809"/>
    </row>
    <row r="226" spans="6:6">
      <c r="F226" s="809"/>
    </row>
    <row r="227" spans="6:6">
      <c r="F227" s="809"/>
    </row>
    <row r="228" spans="6:6">
      <c r="F228" s="809"/>
    </row>
    <row r="229" spans="6:6">
      <c r="F229" s="809"/>
    </row>
    <row r="230" spans="6:6">
      <c r="F230" s="809"/>
    </row>
    <row r="231" spans="6:6">
      <c r="F231" s="809"/>
    </row>
    <row r="232" spans="6:6">
      <c r="F232" s="809"/>
    </row>
    <row r="233" spans="6:6">
      <c r="F233" s="809"/>
    </row>
    <row r="234" spans="6:6">
      <c r="F234" s="809"/>
    </row>
    <row r="235" spans="6:6">
      <c r="F235" s="809"/>
    </row>
    <row r="236" spans="6:6">
      <c r="F236" s="809"/>
    </row>
    <row r="237" spans="6:6">
      <c r="F237" s="809"/>
    </row>
    <row r="238" spans="6:6">
      <c r="F238" s="809"/>
    </row>
    <row r="239" spans="6:6">
      <c r="F239" s="809"/>
    </row>
    <row r="240" spans="6:6">
      <c r="F240" s="809"/>
    </row>
    <row r="241" spans="6:6">
      <c r="F241" s="809"/>
    </row>
    <row r="242" spans="6:6">
      <c r="F242" s="809"/>
    </row>
    <row r="243" spans="6:6">
      <c r="F243" s="809"/>
    </row>
    <row r="244" spans="6:6">
      <c r="F244" s="809"/>
    </row>
    <row r="245" spans="6:6">
      <c r="F245" s="809"/>
    </row>
    <row r="246" spans="6:6">
      <c r="F246" s="809"/>
    </row>
    <row r="247" spans="6:6">
      <c r="F247" s="809"/>
    </row>
    <row r="248" spans="6:6">
      <c r="F248" s="809"/>
    </row>
    <row r="249" spans="6:6">
      <c r="F249" s="809"/>
    </row>
    <row r="250" spans="6:6">
      <c r="F250" s="809"/>
    </row>
    <row r="251" spans="6:6">
      <c r="F251" s="809"/>
    </row>
    <row r="252" spans="6:6">
      <c r="F252" s="809"/>
    </row>
    <row r="253" spans="6:6">
      <c r="F253" s="809"/>
    </row>
    <row r="254" spans="6:6">
      <c r="F254" s="809"/>
    </row>
    <row r="255" spans="6:6">
      <c r="F255" s="809"/>
    </row>
    <row r="256" spans="6:6">
      <c r="F256" s="809"/>
    </row>
    <row r="257" spans="6:6">
      <c r="F257" s="809"/>
    </row>
    <row r="258" spans="6:6">
      <c r="F258" s="809"/>
    </row>
    <row r="259" spans="6:6">
      <c r="F259" s="809"/>
    </row>
    <row r="260" spans="6:6">
      <c r="F260" s="809"/>
    </row>
    <row r="261" spans="6:6">
      <c r="F261" s="809"/>
    </row>
    <row r="262" spans="6:6">
      <c r="F262" s="809"/>
    </row>
    <row r="263" spans="6:6">
      <c r="F263" s="809"/>
    </row>
    <row r="264" spans="6:6">
      <c r="F264" s="809"/>
    </row>
    <row r="265" spans="6:6">
      <c r="F265" s="809"/>
    </row>
    <row r="266" spans="6:6">
      <c r="F266" s="809"/>
    </row>
    <row r="267" spans="6:6">
      <c r="F267" s="809"/>
    </row>
    <row r="268" spans="6:6">
      <c r="F268" s="809"/>
    </row>
    <row r="269" spans="6:6">
      <c r="F269" s="809"/>
    </row>
    <row r="270" spans="6:6">
      <c r="F270" s="809"/>
    </row>
    <row r="271" spans="6:6">
      <c r="F271" s="809"/>
    </row>
    <row r="272" spans="6:6">
      <c r="F272" s="809"/>
    </row>
    <row r="273" spans="6:6">
      <c r="F273" s="809"/>
    </row>
    <row r="274" spans="6:6">
      <c r="F274" s="809"/>
    </row>
    <row r="275" spans="6:6">
      <c r="F275" s="809"/>
    </row>
    <row r="276" spans="6:6">
      <c r="F276" s="809"/>
    </row>
    <row r="277" spans="6:6">
      <c r="F277" s="809"/>
    </row>
    <row r="278" spans="6:6">
      <c r="F278" s="809"/>
    </row>
    <row r="279" spans="6:6">
      <c r="F279" s="809"/>
    </row>
    <row r="280" spans="6:6">
      <c r="F280" s="809"/>
    </row>
    <row r="281" spans="6:6">
      <c r="F281" s="809"/>
    </row>
    <row r="282" spans="6:6">
      <c r="F282" s="809"/>
    </row>
    <row r="283" spans="6:6">
      <c r="F283" s="809"/>
    </row>
    <row r="284" spans="6:6">
      <c r="F284" s="809"/>
    </row>
    <row r="285" spans="6:6">
      <c r="F285" s="809"/>
    </row>
    <row r="286" spans="6:6">
      <c r="F286" s="809"/>
    </row>
    <row r="287" spans="6:6">
      <c r="F287" s="809"/>
    </row>
    <row r="288" spans="6:6">
      <c r="F288" s="809"/>
    </row>
    <row r="289" spans="6:6">
      <c r="F289" s="809"/>
    </row>
    <row r="290" spans="6:6">
      <c r="F290" s="809"/>
    </row>
    <row r="291" spans="6:6">
      <c r="F291" s="809"/>
    </row>
    <row r="292" spans="6:6">
      <c r="F292" s="809"/>
    </row>
    <row r="293" spans="6:6">
      <c r="F293" s="809"/>
    </row>
    <row r="294" spans="6:6">
      <c r="F294" s="809"/>
    </row>
    <row r="295" spans="6:6">
      <c r="F295" s="809"/>
    </row>
    <row r="296" spans="6:6">
      <c r="F296" s="809"/>
    </row>
    <row r="297" spans="6:6">
      <c r="F297" s="809"/>
    </row>
    <row r="298" spans="6:6">
      <c r="F298" s="809"/>
    </row>
    <row r="299" spans="6:6">
      <c r="F299" s="809"/>
    </row>
    <row r="300" spans="6:6">
      <c r="F300" s="809"/>
    </row>
    <row r="301" spans="6:6">
      <c r="F301" s="809"/>
    </row>
    <row r="302" spans="6:6">
      <c r="F302" s="809"/>
    </row>
    <row r="303" spans="6:6">
      <c r="F303" s="809"/>
    </row>
    <row r="304" spans="6:6">
      <c r="F304" s="809"/>
    </row>
    <row r="305" spans="6:6">
      <c r="F305" s="809"/>
    </row>
    <row r="306" spans="6:6">
      <c r="F306" s="809"/>
    </row>
    <row r="307" spans="6:6">
      <c r="F307" s="809"/>
    </row>
    <row r="308" spans="6:6">
      <c r="F308" s="809"/>
    </row>
    <row r="309" spans="6:6">
      <c r="F309" s="809"/>
    </row>
    <row r="310" spans="6:6">
      <c r="F310" s="809"/>
    </row>
  </sheetData>
  <mergeCells count="8">
    <mergeCell ref="U8:U9"/>
    <mergeCell ref="C8:E9"/>
    <mergeCell ref="L8:N8"/>
    <mergeCell ref="O8:Q8"/>
    <mergeCell ref="B8:B9"/>
    <mergeCell ref="F8:F9"/>
    <mergeCell ref="G8:G9"/>
    <mergeCell ref="K8:K9"/>
  </mergeCells>
  <printOptions horizontalCentered="1"/>
  <pageMargins left="0.59055118110236204" right="0.31496062992126" top="0.55118110236220497" bottom="0.74803149606299202" header="0" footer="0.31496062992126"/>
  <pageSetup paperSize="9" scale="32" fitToHeight="0" orientation="portrait" r:id="rId1"/>
  <headerFooter alignWithMargins="0">
    <oddFooter>&amp;L&amp;10Bill Quantity
Proyek : SHOOWROM &amp; WORKSHOP
DSO CABANG BATAM KEPULAUAN RIAU&amp;C                                              &amp;A&amp;RPage &amp;P of &amp;N</oddFooter>
  </headerFooter>
  <rowBreaks count="2" manualBreakCount="2">
    <brk id="27" max="16383" man="1"/>
    <brk id="96" max="21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36"/>
  <sheetViews>
    <sheetView showGridLines="0" view="pageBreakPreview" zoomScale="70" zoomScaleNormal="70" workbookViewId="0">
      <pane ySplit="9" topLeftCell="A27" activePane="bottomLeft" state="frozen"/>
      <selection pane="bottomLeft" activeCell="D39" sqref="D39"/>
    </sheetView>
  </sheetViews>
  <sheetFormatPr defaultColWidth="9" defaultRowHeight="14.4"/>
  <cols>
    <col min="1" max="1" width="4.6640625" style="809" customWidth="1"/>
    <col min="2" max="3" width="2.5546875" style="803" customWidth="1"/>
    <col min="4" max="4" width="66.44140625" style="803" customWidth="1"/>
    <col min="5" max="5" width="7.44140625" style="810" customWidth="1"/>
    <col min="6" max="6" width="12.88671875" style="811" customWidth="1"/>
    <col min="7" max="7" width="18" style="812" hidden="1" customWidth="1"/>
    <col min="8" max="8" width="18" style="813" hidden="1" customWidth="1"/>
    <col min="9" max="9" width="23.109375" style="813" hidden="1" customWidth="1"/>
    <col min="10" max="10" width="23.109375" style="813" customWidth="1"/>
    <col min="11" max="11" width="11.88671875" style="805" customWidth="1"/>
    <col min="12" max="13" width="23.109375" style="813" customWidth="1"/>
    <col min="14" max="14" width="10.6640625" style="814" customWidth="1"/>
    <col min="15" max="15" width="15.5546875" style="815" customWidth="1"/>
    <col min="16" max="16" width="13.6640625" style="814" customWidth="1"/>
    <col min="18" max="18" width="14" customWidth="1"/>
    <col min="19" max="19" width="12.33203125" customWidth="1"/>
  </cols>
  <sheetData>
    <row r="1" spans="1:20">
      <c r="A1" s="816" t="str">
        <f>'I. PERSIAPAN'!B1</f>
        <v>PROGRESS MINGGUAN</v>
      </c>
      <c r="B1" s="817"/>
      <c r="C1" s="817"/>
      <c r="D1" s="817"/>
      <c r="E1" s="818"/>
      <c r="F1" s="818"/>
      <c r="G1" s="819"/>
      <c r="H1" s="820"/>
      <c r="I1" s="820"/>
      <c r="J1" s="820"/>
      <c r="K1" s="821"/>
      <c r="L1" s="820"/>
      <c r="M1" s="820"/>
    </row>
    <row r="2" spans="1:20">
      <c r="A2" s="816" t="str">
        <f>'I. PERSIAPAN'!B2</f>
        <v>PROYEK SHOWROOM &amp; WORKSHOP</v>
      </c>
      <c r="B2" s="822"/>
      <c r="C2" s="822"/>
      <c r="D2" s="822"/>
      <c r="E2" s="823"/>
      <c r="F2" s="823"/>
      <c r="G2" s="824"/>
      <c r="H2" s="825"/>
      <c r="I2" s="825"/>
      <c r="J2" s="825"/>
      <c r="K2" s="826"/>
      <c r="L2" s="825"/>
      <c r="M2" s="825"/>
    </row>
    <row r="3" spans="1:20">
      <c r="A3" s="816" t="str">
        <f>'I. PERSIAPAN'!B3</f>
        <v>DAIHATSU Cabang BATAM-KEPULAUAN RIAU</v>
      </c>
      <c r="B3" s="827"/>
      <c r="C3" s="827"/>
      <c r="D3" s="827"/>
      <c r="E3" s="828"/>
      <c r="F3" s="828"/>
      <c r="G3" s="829"/>
      <c r="H3" s="830"/>
      <c r="I3" s="830"/>
      <c r="J3" s="830"/>
      <c r="K3" s="831"/>
      <c r="L3" s="830"/>
      <c r="M3" s="830"/>
    </row>
    <row r="4" spans="1:20">
      <c r="A4" s="816" t="str">
        <f>'I. PERSIAPAN'!B4</f>
        <v xml:space="preserve">PT. ASTRA INTERNATIONAL Tbk </v>
      </c>
      <c r="B4" s="832"/>
      <c r="C4" s="832"/>
      <c r="D4" s="832"/>
      <c r="E4" s="833"/>
      <c r="F4" s="834"/>
      <c r="G4" s="835"/>
      <c r="H4" s="836"/>
      <c r="I4" s="836"/>
      <c r="J4" s="836"/>
      <c r="K4" s="837"/>
      <c r="L4" s="836"/>
      <c r="M4" s="836"/>
    </row>
    <row r="5" spans="1:20">
      <c r="A5" s="816" t="str">
        <f>'I. PERSIAPAN'!B5</f>
        <v>PERIODE : 6- 18 April2026</v>
      </c>
      <c r="B5" s="832"/>
      <c r="C5" s="832"/>
      <c r="D5" s="832"/>
      <c r="E5" s="833"/>
      <c r="F5" s="834"/>
      <c r="G5" s="835"/>
      <c r="H5" s="836"/>
      <c r="I5" s="836"/>
      <c r="J5" s="836"/>
      <c r="K5" s="837"/>
      <c r="L5" s="836"/>
      <c r="M5" s="836"/>
    </row>
    <row r="6" spans="1:20">
      <c r="A6" s="816" t="str">
        <f>'I. PERSIAPAN'!B6</f>
        <v>MINGGU KE 2 (Dua)</v>
      </c>
      <c r="B6" s="832"/>
      <c r="C6" s="832"/>
      <c r="D6" s="832"/>
      <c r="E6" s="833"/>
      <c r="F6" s="834"/>
      <c r="G6" s="835"/>
      <c r="H6" s="836"/>
      <c r="I6" s="836"/>
      <c r="J6" s="836"/>
      <c r="K6" s="837"/>
      <c r="L6" s="836"/>
      <c r="M6" s="836"/>
    </row>
    <row r="7" spans="1:20">
      <c r="A7" s="838"/>
      <c r="B7" s="838"/>
      <c r="C7" s="838"/>
      <c r="D7" s="838"/>
      <c r="E7" s="839"/>
      <c r="F7" s="840"/>
      <c r="G7" s="841"/>
      <c r="H7" s="842"/>
      <c r="I7" s="843"/>
      <c r="J7" s="843"/>
      <c r="K7" s="844"/>
      <c r="L7" s="843"/>
      <c r="M7" s="843"/>
    </row>
    <row r="8" spans="1:20" s="802" customFormat="1">
      <c r="A8" s="2145" t="s">
        <v>58</v>
      </c>
      <c r="B8" s="2138" t="s">
        <v>11</v>
      </c>
      <c r="C8" s="2139"/>
      <c r="D8" s="2140"/>
      <c r="E8" s="2147" t="s">
        <v>59</v>
      </c>
      <c r="F8" s="2149" t="s">
        <v>60</v>
      </c>
      <c r="G8" s="845"/>
      <c r="H8" s="846"/>
      <c r="I8" s="847"/>
      <c r="J8" s="2165" t="s">
        <v>14</v>
      </c>
      <c r="K8" s="2117" t="s">
        <v>64</v>
      </c>
      <c r="L8" s="2099"/>
      <c r="M8" s="2099"/>
      <c r="N8" s="2099" t="s">
        <v>16</v>
      </c>
      <c r="O8" s="2099"/>
      <c r="P8" s="2099"/>
      <c r="Q8" s="336" t="s">
        <v>65</v>
      </c>
      <c r="R8" s="336"/>
      <c r="S8" s="848"/>
      <c r="T8" s="2163" t="s">
        <v>18</v>
      </c>
    </row>
    <row r="9" spans="1:20" s="802" customFormat="1">
      <c r="A9" s="2158"/>
      <c r="B9" s="2155"/>
      <c r="C9" s="2156"/>
      <c r="D9" s="2157"/>
      <c r="E9" s="2159"/>
      <c r="F9" s="2160"/>
      <c r="G9" s="339" t="s">
        <v>60</v>
      </c>
      <c r="H9" s="339" t="s">
        <v>60</v>
      </c>
      <c r="I9" s="849" t="s">
        <v>60</v>
      </c>
      <c r="J9" s="2166"/>
      <c r="K9" s="850" t="s">
        <v>20</v>
      </c>
      <c r="L9" s="341" t="s">
        <v>21</v>
      </c>
      <c r="M9" s="342" t="s">
        <v>14</v>
      </c>
      <c r="N9" s="340" t="s">
        <v>20</v>
      </c>
      <c r="O9" s="343" t="s">
        <v>21</v>
      </c>
      <c r="P9" s="343" t="s">
        <v>14</v>
      </c>
      <c r="Q9" s="344" t="s">
        <v>20</v>
      </c>
      <c r="R9" s="340" t="s">
        <v>21</v>
      </c>
      <c r="S9" s="851" t="s">
        <v>14</v>
      </c>
      <c r="T9" s="2164"/>
    </row>
    <row r="10" spans="1:20">
      <c r="A10" s="852"/>
      <c r="B10" s="853"/>
      <c r="C10" s="854"/>
      <c r="D10" s="855"/>
      <c r="E10" s="856"/>
      <c r="F10" s="857"/>
      <c r="G10" s="858"/>
      <c r="H10" s="859"/>
      <c r="I10" s="860"/>
      <c r="J10" s="861"/>
      <c r="K10" s="862"/>
      <c r="L10" s="859"/>
      <c r="M10" s="859"/>
      <c r="N10" s="863"/>
      <c r="O10" s="864"/>
      <c r="P10" s="863"/>
      <c r="Q10" s="865"/>
      <c r="R10" s="865"/>
      <c r="S10" s="865"/>
      <c r="T10" s="866"/>
    </row>
    <row r="11" spans="1:20">
      <c r="A11" s="867" t="s">
        <v>37</v>
      </c>
      <c r="B11" s="868"/>
      <c r="C11" s="869"/>
      <c r="D11" s="869" t="s">
        <v>519</v>
      </c>
      <c r="E11" s="870"/>
      <c r="F11" s="871"/>
      <c r="G11" s="872"/>
      <c r="H11" s="873"/>
      <c r="I11" s="874"/>
      <c r="J11" s="875"/>
      <c r="K11" s="876"/>
      <c r="L11" s="873"/>
      <c r="M11" s="873"/>
      <c r="N11" s="877"/>
      <c r="O11" s="878"/>
      <c r="P11" s="877"/>
      <c r="Q11" s="879"/>
      <c r="R11" s="879"/>
      <c r="S11" s="879"/>
      <c r="T11" s="880"/>
    </row>
    <row r="12" spans="1:20" s="803" customFormat="1" ht="13.8">
      <c r="A12" s="867"/>
      <c r="B12" s="868"/>
      <c r="C12" s="869"/>
      <c r="D12" s="869"/>
      <c r="E12" s="870"/>
      <c r="F12" s="881"/>
      <c r="G12" s="882"/>
      <c r="H12" s="883"/>
      <c r="I12" s="884"/>
      <c r="J12" s="885"/>
      <c r="K12" s="876"/>
      <c r="L12" s="883"/>
      <c r="M12" s="883"/>
      <c r="N12" s="886"/>
      <c r="O12" s="887"/>
      <c r="P12" s="886"/>
      <c r="Q12" s="888"/>
      <c r="R12" s="888"/>
      <c r="S12" s="888"/>
      <c r="T12" s="889"/>
    </row>
    <row r="13" spans="1:20" s="804" customFormat="1" ht="13.8">
      <c r="A13" s="890"/>
      <c r="B13" s="891"/>
      <c r="C13" s="891"/>
      <c r="D13" s="892"/>
      <c r="E13" s="870"/>
      <c r="F13" s="881"/>
      <c r="G13" s="882"/>
      <c r="H13" s="883"/>
      <c r="I13" s="884"/>
      <c r="J13" s="885"/>
      <c r="K13" s="893"/>
      <c r="L13" s="894"/>
      <c r="M13" s="894"/>
      <c r="N13" s="894"/>
      <c r="O13" s="894"/>
      <c r="P13" s="894"/>
      <c r="Q13" s="894"/>
      <c r="R13" s="894"/>
      <c r="S13" s="894"/>
      <c r="T13" s="868"/>
    </row>
    <row r="14" spans="1:20">
      <c r="A14" s="867" t="str">
        <f>A22</f>
        <v>A</v>
      </c>
      <c r="B14" s="889"/>
      <c r="C14" s="891"/>
      <c r="D14" s="895" t="s">
        <v>519</v>
      </c>
      <c r="E14" s="870"/>
      <c r="F14" s="887"/>
      <c r="G14" s="896"/>
      <c r="H14" s="873"/>
      <c r="I14" s="874"/>
      <c r="J14" s="875"/>
      <c r="K14" s="897"/>
      <c r="L14" s="898"/>
      <c r="M14" s="898"/>
      <c r="N14" s="877"/>
      <c r="O14" s="878"/>
      <c r="P14" s="877"/>
      <c r="Q14" s="879"/>
      <c r="R14" s="879"/>
      <c r="S14" s="879"/>
      <c r="T14" s="880"/>
    </row>
    <row r="15" spans="1:20">
      <c r="A15" s="899"/>
      <c r="B15" s="889"/>
      <c r="C15" s="891"/>
      <c r="D15" s="891"/>
      <c r="E15" s="870"/>
      <c r="F15" s="887"/>
      <c r="G15" s="896"/>
      <c r="H15" s="873"/>
      <c r="I15" s="874"/>
      <c r="J15" s="875"/>
      <c r="K15" s="897"/>
      <c r="L15" s="898"/>
      <c r="M15" s="898"/>
      <c r="N15" s="877"/>
      <c r="O15" s="878"/>
      <c r="P15" s="877"/>
      <c r="Q15" s="879"/>
      <c r="R15" s="879"/>
      <c r="S15" s="879"/>
      <c r="T15" s="880"/>
    </row>
    <row r="16" spans="1:20">
      <c r="A16" s="900" t="s">
        <v>32</v>
      </c>
      <c r="B16" s="889"/>
      <c r="C16" s="891"/>
      <c r="D16" s="901" t="str">
        <f>D22</f>
        <v>PEKERJAAN PEMBONGKARAN &amp; PERBAIKAN</v>
      </c>
      <c r="E16" s="870"/>
      <c r="F16" s="871"/>
      <c r="G16" s="872"/>
      <c r="H16" s="873"/>
      <c r="I16" s="874">
        <f>$I$36</f>
        <v>43917400</v>
      </c>
      <c r="J16" s="374">
        <f>I16/'REKAP TOTAL'!F44</f>
        <v>3.6118983051944358E-3</v>
      </c>
      <c r="K16" s="897"/>
      <c r="L16" s="898"/>
      <c r="M16" s="898"/>
      <c r="N16" s="877"/>
      <c r="O16" s="878"/>
      <c r="P16" s="877"/>
      <c r="Q16" s="879"/>
      <c r="R16" s="879"/>
      <c r="S16" s="879"/>
      <c r="T16" s="880"/>
    </row>
    <row r="17" spans="1:20" s="805" customFormat="1" ht="13.8">
      <c r="A17" s="902"/>
      <c r="B17" s="903"/>
      <c r="C17" s="903"/>
      <c r="D17" s="904"/>
      <c r="E17" s="905"/>
      <c r="F17" s="906"/>
      <c r="G17" s="907"/>
      <c r="H17" s="908"/>
      <c r="I17" s="909"/>
      <c r="J17" s="910"/>
      <c r="K17" s="911"/>
      <c r="L17" s="912"/>
      <c r="M17" s="912"/>
      <c r="N17" s="912"/>
      <c r="O17" s="912"/>
      <c r="P17" s="912"/>
      <c r="Q17" s="912"/>
      <c r="R17" s="912"/>
      <c r="S17" s="912"/>
      <c r="T17" s="913"/>
    </row>
    <row r="18" spans="1:20" s="805" customFormat="1" ht="13.8">
      <c r="A18" s="914"/>
      <c r="B18" s="915"/>
      <c r="C18" s="916"/>
      <c r="D18" s="917" t="s">
        <v>175</v>
      </c>
      <c r="E18" s="918"/>
      <c r="F18" s="919"/>
      <c r="G18" s="920"/>
      <c r="H18" s="921"/>
      <c r="I18" s="922">
        <f>SUM(I14:I16)</f>
        <v>43917400</v>
      </c>
      <c r="J18" s="392">
        <f>I18/'REKAP TOTAL'!F44</f>
        <v>3.6118983051944358E-3</v>
      </c>
      <c r="K18" s="923"/>
      <c r="L18" s="924"/>
      <c r="M18" s="924"/>
      <c r="N18" s="924"/>
      <c r="O18" s="924"/>
      <c r="P18" s="924"/>
      <c r="Q18" s="924"/>
      <c r="R18" s="924"/>
      <c r="S18" s="924"/>
      <c r="T18" s="925"/>
    </row>
    <row r="19" spans="1:20" s="805" customFormat="1" ht="13.8">
      <c r="A19" s="926"/>
      <c r="B19" s="854"/>
      <c r="C19" s="854"/>
      <c r="D19" s="927"/>
      <c r="E19" s="856"/>
      <c r="F19" s="857"/>
      <c r="G19" s="858"/>
      <c r="H19" s="859"/>
      <c r="I19" s="928"/>
      <c r="J19" s="929"/>
      <c r="K19" s="930"/>
      <c r="L19" s="931"/>
      <c r="M19" s="931"/>
      <c r="N19" s="931"/>
      <c r="O19" s="931"/>
      <c r="P19" s="931"/>
      <c r="Q19" s="931"/>
      <c r="R19" s="931"/>
      <c r="S19" s="931"/>
      <c r="T19" s="932"/>
    </row>
    <row r="20" spans="1:20" s="805" customFormat="1" ht="13.8">
      <c r="A20" s="890"/>
      <c r="B20" s="891"/>
      <c r="C20" s="891"/>
      <c r="D20" s="892"/>
      <c r="E20" s="870"/>
      <c r="F20" s="871"/>
      <c r="G20" s="872"/>
      <c r="H20" s="873"/>
      <c r="I20" s="874"/>
      <c r="J20" s="875"/>
      <c r="K20" s="897"/>
      <c r="L20" s="933"/>
      <c r="M20" s="933"/>
      <c r="N20" s="933"/>
      <c r="O20" s="933"/>
      <c r="P20" s="933"/>
      <c r="Q20" s="933"/>
      <c r="R20" s="933"/>
      <c r="S20" s="933"/>
      <c r="T20" s="934"/>
    </row>
    <row r="21" spans="1:20" s="803" customFormat="1" ht="13.8">
      <c r="A21" s="899"/>
      <c r="B21" s="889"/>
      <c r="C21" s="891"/>
      <c r="D21" s="891"/>
      <c r="E21" s="870"/>
      <c r="F21" s="881"/>
      <c r="G21" s="882"/>
      <c r="H21" s="883"/>
      <c r="I21" s="884"/>
      <c r="J21" s="885"/>
      <c r="K21" s="935"/>
      <c r="L21" s="888"/>
      <c r="M21" s="888"/>
      <c r="N21" s="888"/>
      <c r="O21" s="888"/>
      <c r="P21" s="888"/>
      <c r="Q21" s="888"/>
      <c r="R21" s="888"/>
      <c r="S21" s="888"/>
      <c r="T21" s="889"/>
    </row>
    <row r="22" spans="1:20" s="805" customFormat="1" ht="13.8">
      <c r="A22" s="867" t="s">
        <v>32</v>
      </c>
      <c r="B22" s="868"/>
      <c r="C22" s="869"/>
      <c r="D22" s="936" t="s">
        <v>520</v>
      </c>
      <c r="E22" s="870"/>
      <c r="F22" s="871"/>
      <c r="G22" s="872"/>
      <c r="H22" s="873"/>
      <c r="I22" s="874"/>
      <c r="J22" s="875"/>
      <c r="K22" s="897"/>
      <c r="L22" s="933"/>
      <c r="M22" s="933"/>
      <c r="N22" s="933"/>
      <c r="O22" s="933"/>
      <c r="P22" s="933"/>
      <c r="Q22" s="933"/>
      <c r="R22" s="933"/>
      <c r="S22" s="933"/>
      <c r="T22" s="934"/>
    </row>
    <row r="23" spans="1:20" s="805" customFormat="1" ht="19.5" customHeight="1">
      <c r="A23" s="867"/>
      <c r="B23" s="868"/>
      <c r="C23" s="869"/>
      <c r="D23" s="936"/>
      <c r="E23" s="870"/>
      <c r="F23" s="937"/>
      <c r="G23" s="938"/>
      <c r="H23" s="873"/>
      <c r="I23" s="874"/>
      <c r="J23" s="875"/>
      <c r="K23" s="897"/>
      <c r="L23" s="933"/>
      <c r="M23" s="933"/>
      <c r="N23" s="933"/>
      <c r="O23" s="933"/>
      <c r="P23" s="933"/>
      <c r="Q23" s="933"/>
      <c r="R23" s="933"/>
      <c r="S23" s="933"/>
      <c r="T23" s="934"/>
    </row>
    <row r="24" spans="1:20" s="805" customFormat="1" ht="19.5" customHeight="1">
      <c r="A24" s="939"/>
      <c r="B24" s="869"/>
      <c r="C24" s="869"/>
      <c r="D24" s="869" t="s">
        <v>521</v>
      </c>
      <c r="E24" s="870"/>
      <c r="F24" s="937"/>
      <c r="G24" s="938"/>
      <c r="H24" s="873"/>
      <c r="I24" s="874"/>
      <c r="J24" s="875"/>
      <c r="K24" s="897"/>
      <c r="L24" s="933"/>
      <c r="M24" s="933"/>
      <c r="N24" s="933"/>
      <c r="O24" s="933"/>
      <c r="P24" s="933"/>
      <c r="Q24" s="933"/>
      <c r="R24" s="933"/>
      <c r="S24" s="933"/>
      <c r="T24" s="934"/>
    </row>
    <row r="25" spans="1:20" s="806" customFormat="1" ht="41.4">
      <c r="A25" s="940"/>
      <c r="B25" s="941"/>
      <c r="C25" s="942">
        <v>1</v>
      </c>
      <c r="D25" s="943" t="s">
        <v>522</v>
      </c>
      <c r="E25" s="944" t="s">
        <v>103</v>
      </c>
      <c r="F25" s="945">
        <v>18</v>
      </c>
      <c r="G25" s="946">
        <v>18</v>
      </c>
      <c r="H25" s="947">
        <v>173300</v>
      </c>
      <c r="I25" s="948">
        <f t="shared" ref="I25:I33" si="0">$G25*H25</f>
        <v>3119400</v>
      </c>
      <c r="J25" s="374">
        <f>I25/'REKAP TOTAL'!F44</f>
        <v>2.565487841544245E-4</v>
      </c>
      <c r="K25" s="949"/>
      <c r="L25" s="950"/>
      <c r="M25" s="950"/>
      <c r="N25" s="950"/>
      <c r="O25" s="950"/>
      <c r="P25" s="950"/>
      <c r="Q25" s="950"/>
      <c r="R25" s="950"/>
      <c r="S25" s="950"/>
      <c r="T25" s="951"/>
    </row>
    <row r="26" spans="1:20" s="807" customFormat="1" ht="27.6">
      <c r="A26" s="940"/>
      <c r="B26" s="941"/>
      <c r="C26" s="942">
        <v>2</v>
      </c>
      <c r="D26" s="952" t="s">
        <v>523</v>
      </c>
      <c r="E26" s="944" t="s">
        <v>103</v>
      </c>
      <c r="F26" s="945">
        <v>20</v>
      </c>
      <c r="G26" s="946">
        <v>20</v>
      </c>
      <c r="H26" s="953">
        <v>143200</v>
      </c>
      <c r="I26" s="948">
        <f t="shared" si="0"/>
        <v>2864000</v>
      </c>
      <c r="J26" s="374">
        <f>I26/'REKAP TOTAL'!F44</f>
        <v>2.3554392441439757E-4</v>
      </c>
      <c r="K26" s="954"/>
      <c r="L26" s="955"/>
      <c r="M26" s="955"/>
      <c r="N26" s="955"/>
      <c r="O26" s="955"/>
      <c r="P26" s="955"/>
      <c r="Q26" s="955"/>
      <c r="R26" s="955"/>
      <c r="S26" s="955"/>
      <c r="T26" s="956"/>
    </row>
    <row r="27" spans="1:20" s="807" customFormat="1" ht="27.6">
      <c r="A27" s="957"/>
      <c r="B27" s="941"/>
      <c r="C27" s="942">
        <v>3</v>
      </c>
      <c r="D27" s="952" t="s">
        <v>524</v>
      </c>
      <c r="E27" s="944" t="s">
        <v>103</v>
      </c>
      <c r="F27" s="945">
        <v>15</v>
      </c>
      <c r="G27" s="946">
        <v>15</v>
      </c>
      <c r="H27" s="953">
        <v>146400</v>
      </c>
      <c r="I27" s="948">
        <f t="shared" si="0"/>
        <v>2196000</v>
      </c>
      <c r="J27" s="374">
        <f>I27/'REKAP TOTAL'!F44</f>
        <v>1.8060560684846966E-4</v>
      </c>
      <c r="K27" s="954"/>
      <c r="L27" s="955"/>
      <c r="M27" s="955"/>
      <c r="N27" s="955"/>
      <c r="O27" s="955"/>
      <c r="P27" s="955"/>
      <c r="Q27" s="955"/>
      <c r="R27" s="955"/>
      <c r="S27" s="955"/>
      <c r="T27" s="956"/>
    </row>
    <row r="28" spans="1:20" s="806" customFormat="1" ht="54" customHeight="1">
      <c r="A28" s="957"/>
      <c r="B28" s="941"/>
      <c r="C28" s="942">
        <v>4</v>
      </c>
      <c r="D28" s="943" t="s">
        <v>525</v>
      </c>
      <c r="E28" s="944" t="s">
        <v>103</v>
      </c>
      <c r="F28" s="945">
        <v>20</v>
      </c>
      <c r="G28" s="946">
        <v>20</v>
      </c>
      <c r="H28" s="947">
        <v>435000</v>
      </c>
      <c r="I28" s="948">
        <f t="shared" si="0"/>
        <v>8700000</v>
      </c>
      <c r="J28" s="374">
        <f>I28/'REKAP TOTAL'!F44</f>
        <v>7.1551401620295358E-4</v>
      </c>
      <c r="K28" s="949"/>
      <c r="L28" s="950"/>
      <c r="M28" s="950"/>
      <c r="N28" s="950"/>
      <c r="O28" s="950"/>
      <c r="P28" s="950"/>
      <c r="Q28" s="950"/>
      <c r="R28" s="950"/>
      <c r="S28" s="950"/>
      <c r="T28" s="951"/>
    </row>
    <row r="29" spans="1:20" s="806" customFormat="1" ht="48.75" customHeight="1">
      <c r="A29" s="957"/>
      <c r="B29" s="941"/>
      <c r="C29" s="942">
        <v>5</v>
      </c>
      <c r="D29" s="952" t="s">
        <v>526</v>
      </c>
      <c r="E29" s="944" t="s">
        <v>179</v>
      </c>
      <c r="F29" s="945">
        <v>15</v>
      </c>
      <c r="G29" s="946">
        <v>15</v>
      </c>
      <c r="H29" s="947">
        <v>1130500</v>
      </c>
      <c r="I29" s="948">
        <f t="shared" si="0"/>
        <v>16957500</v>
      </c>
      <c r="J29" s="374">
        <f>I29/'REKAP TOTAL'!F44</f>
        <v>1.3946355091679983E-3</v>
      </c>
      <c r="K29" s="949"/>
      <c r="L29" s="950"/>
      <c r="M29" s="950"/>
      <c r="N29" s="950"/>
      <c r="O29" s="950"/>
      <c r="P29" s="950"/>
      <c r="Q29" s="950"/>
      <c r="R29" s="950"/>
      <c r="S29" s="950"/>
      <c r="T29" s="951"/>
    </row>
    <row r="30" spans="1:20" s="807" customFormat="1" ht="13.8">
      <c r="A30" s="957"/>
      <c r="B30" s="941"/>
      <c r="C30" s="942">
        <v>6</v>
      </c>
      <c r="D30" s="941" t="s">
        <v>527</v>
      </c>
      <c r="E30" s="944" t="s">
        <v>70</v>
      </c>
      <c r="F30" s="945">
        <v>1</v>
      </c>
      <c r="G30" s="946">
        <v>1</v>
      </c>
      <c r="H30" s="953">
        <v>2636000</v>
      </c>
      <c r="I30" s="948">
        <f t="shared" si="0"/>
        <v>2636000</v>
      </c>
      <c r="J30" s="374">
        <f>I30/'REKAP TOTAL'!F44</f>
        <v>2.167925226104581E-4</v>
      </c>
      <c r="K30" s="954"/>
      <c r="L30" s="955"/>
      <c r="M30" s="955"/>
      <c r="N30" s="955"/>
      <c r="O30" s="955"/>
      <c r="P30" s="955"/>
      <c r="Q30" s="955"/>
      <c r="R30" s="955"/>
      <c r="S30" s="955"/>
      <c r="T30" s="956"/>
    </row>
    <row r="31" spans="1:20" s="807" customFormat="1" ht="27.6">
      <c r="A31" s="957"/>
      <c r="B31" s="941"/>
      <c r="C31" s="942">
        <v>7</v>
      </c>
      <c r="D31" s="952" t="s">
        <v>528</v>
      </c>
      <c r="E31" s="944" t="s">
        <v>70</v>
      </c>
      <c r="F31" s="945">
        <v>1</v>
      </c>
      <c r="G31" s="946">
        <v>1</v>
      </c>
      <c r="H31" s="947">
        <v>4355400</v>
      </c>
      <c r="I31" s="948">
        <f t="shared" si="0"/>
        <v>4355400</v>
      </c>
      <c r="J31" s="374">
        <f>I31/'REKAP TOTAL'!F44</f>
        <v>3.5820112024946484E-4</v>
      </c>
      <c r="K31" s="954"/>
      <c r="L31" s="955"/>
      <c r="M31" s="955"/>
      <c r="N31" s="955"/>
      <c r="O31" s="955"/>
      <c r="P31" s="955"/>
      <c r="Q31" s="955"/>
      <c r="R31" s="955"/>
      <c r="S31" s="955"/>
      <c r="T31" s="956"/>
    </row>
    <row r="32" spans="1:20" s="807" customFormat="1" ht="27.6">
      <c r="A32" s="940"/>
      <c r="B32" s="941"/>
      <c r="C32" s="942">
        <v>8</v>
      </c>
      <c r="D32" s="952" t="s">
        <v>529</v>
      </c>
      <c r="E32" s="944" t="s">
        <v>70</v>
      </c>
      <c r="F32" s="945">
        <v>1</v>
      </c>
      <c r="G32" s="946">
        <v>1</v>
      </c>
      <c r="H32" s="947">
        <v>1694100</v>
      </c>
      <c r="I32" s="948">
        <f t="shared" si="0"/>
        <v>1694100</v>
      </c>
      <c r="J32" s="374">
        <f>I32/'REKAP TOTAL'!F44</f>
        <v>1.3932784998269237E-4</v>
      </c>
      <c r="K32" s="954"/>
      <c r="L32" s="955"/>
      <c r="M32" s="955"/>
      <c r="N32" s="955"/>
      <c r="O32" s="955"/>
      <c r="P32" s="955"/>
      <c r="Q32" s="955"/>
      <c r="R32" s="955"/>
      <c r="S32" s="955"/>
      <c r="T32" s="956"/>
    </row>
    <row r="33" spans="1:20" s="808" customFormat="1" ht="35.25" customHeight="1">
      <c r="A33" s="958"/>
      <c r="B33" s="959"/>
      <c r="C33" s="959">
        <v>9</v>
      </c>
      <c r="D33" s="960" t="s">
        <v>530</v>
      </c>
      <c r="E33" s="961" t="s">
        <v>179</v>
      </c>
      <c r="F33" s="962">
        <v>50</v>
      </c>
      <c r="G33" s="963">
        <v>50</v>
      </c>
      <c r="H33" s="964">
        <v>27900</v>
      </c>
      <c r="I33" s="948">
        <f t="shared" si="0"/>
        <v>1395000</v>
      </c>
      <c r="J33" s="374">
        <f>I33/'REKAP TOTAL'!F44</f>
        <v>1.1472897156357703E-4</v>
      </c>
      <c r="K33" s="949"/>
      <c r="L33" s="950"/>
      <c r="M33" s="950"/>
      <c r="N33" s="950"/>
      <c r="O33" s="950"/>
      <c r="P33" s="950"/>
      <c r="Q33" s="950"/>
      <c r="R33" s="950"/>
      <c r="S33" s="950"/>
      <c r="T33" s="951"/>
    </row>
    <row r="34" spans="1:20" s="807" customFormat="1" ht="13.8">
      <c r="A34" s="957"/>
      <c r="B34" s="941"/>
      <c r="C34" s="965"/>
      <c r="D34" s="941"/>
      <c r="E34" s="944"/>
      <c r="F34" s="945"/>
      <c r="G34" s="946"/>
      <c r="H34" s="953"/>
      <c r="I34" s="948"/>
      <c r="J34" s="966"/>
      <c r="K34" s="954"/>
      <c r="L34" s="955"/>
      <c r="M34" s="955"/>
      <c r="N34" s="955"/>
      <c r="O34" s="955"/>
      <c r="P34" s="955"/>
      <c r="Q34" s="955"/>
      <c r="R34" s="955"/>
      <c r="S34" s="955"/>
      <c r="T34" s="956"/>
    </row>
    <row r="35" spans="1:20" s="807" customFormat="1" ht="13.8">
      <c r="A35" s="967"/>
      <c r="B35" s="968"/>
      <c r="C35" s="968"/>
      <c r="D35" s="968"/>
      <c r="E35" s="969"/>
      <c r="F35" s="970"/>
      <c r="G35" s="971"/>
      <c r="H35" s="972"/>
      <c r="I35" s="973"/>
      <c r="J35" s="974"/>
      <c r="K35" s="975"/>
      <c r="L35" s="976"/>
      <c r="M35" s="976"/>
      <c r="N35" s="976"/>
      <c r="O35" s="976"/>
      <c r="P35" s="976"/>
      <c r="Q35" s="976"/>
      <c r="R35" s="976"/>
      <c r="S35" s="976"/>
      <c r="T35" s="977"/>
    </row>
    <row r="36" spans="1:20" s="807" customFormat="1" ht="13.8">
      <c r="A36" s="978"/>
      <c r="B36" s="979"/>
      <c r="C36" s="979"/>
      <c r="D36" s="980" t="s">
        <v>531</v>
      </c>
      <c r="E36" s="981"/>
      <c r="F36" s="982"/>
      <c r="G36" s="983"/>
      <c r="H36" s="984"/>
      <c r="I36" s="985">
        <f>SUM(I23:I35)</f>
        <v>43917400</v>
      </c>
      <c r="J36" s="374">
        <f>I36/'REKAP TOTAL'!F44</f>
        <v>3.6118983051944358E-3</v>
      </c>
      <c r="K36" s="986"/>
      <c r="L36" s="987"/>
      <c r="M36" s="987"/>
      <c r="N36" s="987"/>
      <c r="O36" s="987"/>
      <c r="P36" s="987"/>
      <c r="Q36" s="987"/>
      <c r="R36" s="987"/>
      <c r="S36" s="987"/>
      <c r="T36" s="988"/>
    </row>
  </sheetData>
  <mergeCells count="8">
    <mergeCell ref="T8:T9"/>
    <mergeCell ref="B8:D9"/>
    <mergeCell ref="K8:M8"/>
    <mergeCell ref="N8:P8"/>
    <mergeCell ref="A8:A9"/>
    <mergeCell ref="E8:E9"/>
    <mergeCell ref="F8:F9"/>
    <mergeCell ref="J8:J9"/>
  </mergeCells>
  <printOptions horizontalCentered="1"/>
  <pageMargins left="0.59055118110236204" right="0.31496062992126" top="0.55118110236220497" bottom="0.74803149606299202" header="0" footer="0.31496062992126"/>
  <pageSetup paperSize="9" scale="35" fitToHeight="0" orientation="portrait" r:id="rId1"/>
  <headerFooter alignWithMargins="0">
    <oddFooter>&amp;L&amp;10Bill Quantity
Proyek : SHOOWROM &amp; WORKSHOP
DSO CABANG BATAM KEPULAUAN RIAU&amp;C&amp;A&amp;RPage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D31"/>
  <sheetViews>
    <sheetView showGridLines="0" view="pageBreakPreview" zoomScale="115" zoomScaleNormal="100" workbookViewId="0">
      <selection activeCell="C29" sqref="C29"/>
    </sheetView>
  </sheetViews>
  <sheetFormatPr defaultColWidth="9" defaultRowHeight="26.25" customHeight="1"/>
  <cols>
    <col min="1" max="1" width="5.6640625" style="778" customWidth="1"/>
    <col min="2" max="2" width="49.5546875" style="778" customWidth="1"/>
    <col min="3" max="3" width="25.109375" style="779" customWidth="1"/>
    <col min="4" max="4" width="5" style="778" customWidth="1"/>
    <col min="5" max="251" width="9.109375" style="220"/>
    <col min="252" max="252" width="5.6640625" style="220" customWidth="1"/>
    <col min="253" max="253" width="49.5546875" style="220" customWidth="1"/>
    <col min="254" max="254" width="25.109375" style="220" customWidth="1"/>
    <col min="255" max="255" width="9.109375" style="220"/>
    <col min="256" max="256" width="30.6640625" style="220" customWidth="1"/>
    <col min="257" max="257" width="31.44140625" style="220" customWidth="1"/>
    <col min="258" max="258" width="28.88671875" style="220" customWidth="1"/>
    <col min="259" max="507" width="9.109375" style="220"/>
    <col min="508" max="508" width="5.6640625" style="220" customWidth="1"/>
    <col min="509" max="509" width="49.5546875" style="220" customWidth="1"/>
    <col min="510" max="510" width="25.109375" style="220" customWidth="1"/>
    <col min="511" max="511" width="9.109375" style="220"/>
    <col min="512" max="512" width="30.6640625" style="220" customWidth="1"/>
    <col min="513" max="513" width="31.44140625" style="220" customWidth="1"/>
    <col min="514" max="514" width="28.88671875" style="220" customWidth="1"/>
    <col min="515" max="763" width="9.109375" style="220"/>
    <col min="764" max="764" width="5.6640625" style="220" customWidth="1"/>
    <col min="765" max="765" width="49.5546875" style="220" customWidth="1"/>
    <col min="766" max="766" width="25.109375" style="220" customWidth="1"/>
    <col min="767" max="767" width="9.109375" style="220"/>
    <col min="768" max="768" width="30.6640625" style="220" customWidth="1"/>
    <col min="769" max="769" width="31.44140625" style="220" customWidth="1"/>
    <col min="770" max="770" width="28.88671875" style="220" customWidth="1"/>
    <col min="771" max="1019" width="9.109375" style="220"/>
    <col min="1020" max="1020" width="5.6640625" style="220" customWidth="1"/>
    <col min="1021" max="1021" width="49.5546875" style="220" customWidth="1"/>
    <col min="1022" max="1022" width="25.109375" style="220" customWidth="1"/>
    <col min="1023" max="1023" width="9.109375" style="220"/>
    <col min="1024" max="1024" width="30.6640625" style="220" customWidth="1"/>
    <col min="1025" max="1025" width="31.44140625" style="220" customWidth="1"/>
    <col min="1026" max="1026" width="28.88671875" style="220" customWidth="1"/>
    <col min="1027" max="1275" width="9.109375" style="220"/>
    <col min="1276" max="1276" width="5.6640625" style="220" customWidth="1"/>
    <col min="1277" max="1277" width="49.5546875" style="220" customWidth="1"/>
    <col min="1278" max="1278" width="25.109375" style="220" customWidth="1"/>
    <col min="1279" max="1279" width="9.109375" style="220"/>
    <col min="1280" max="1280" width="30.6640625" style="220" customWidth="1"/>
    <col min="1281" max="1281" width="31.44140625" style="220" customWidth="1"/>
    <col min="1282" max="1282" width="28.88671875" style="220" customWidth="1"/>
    <col min="1283" max="1531" width="9.109375" style="220"/>
    <col min="1532" max="1532" width="5.6640625" style="220" customWidth="1"/>
    <col min="1533" max="1533" width="49.5546875" style="220" customWidth="1"/>
    <col min="1534" max="1534" width="25.109375" style="220" customWidth="1"/>
    <col min="1535" max="1535" width="9.109375" style="220"/>
    <col min="1536" max="1536" width="30.6640625" style="220" customWidth="1"/>
    <col min="1537" max="1537" width="31.44140625" style="220" customWidth="1"/>
    <col min="1538" max="1538" width="28.88671875" style="220" customWidth="1"/>
    <col min="1539" max="1787" width="9.109375" style="220"/>
    <col min="1788" max="1788" width="5.6640625" style="220" customWidth="1"/>
    <col min="1789" max="1789" width="49.5546875" style="220" customWidth="1"/>
    <col min="1790" max="1790" width="25.109375" style="220" customWidth="1"/>
    <col min="1791" max="1791" width="9.109375" style="220"/>
    <col min="1792" max="1792" width="30.6640625" style="220" customWidth="1"/>
    <col min="1793" max="1793" width="31.44140625" style="220" customWidth="1"/>
    <col min="1794" max="1794" width="28.88671875" style="220" customWidth="1"/>
    <col min="1795" max="2043" width="9.109375" style="220"/>
    <col min="2044" max="2044" width="5.6640625" style="220" customWidth="1"/>
    <col min="2045" max="2045" width="49.5546875" style="220" customWidth="1"/>
    <col min="2046" max="2046" width="25.109375" style="220" customWidth="1"/>
    <col min="2047" max="2047" width="9.109375" style="220"/>
    <col min="2048" max="2048" width="30.6640625" style="220" customWidth="1"/>
    <col min="2049" max="2049" width="31.44140625" style="220" customWidth="1"/>
    <col min="2050" max="2050" width="28.88671875" style="220" customWidth="1"/>
    <col min="2051" max="2299" width="9.109375" style="220"/>
    <col min="2300" max="2300" width="5.6640625" style="220" customWidth="1"/>
    <col min="2301" max="2301" width="49.5546875" style="220" customWidth="1"/>
    <col min="2302" max="2302" width="25.109375" style="220" customWidth="1"/>
    <col min="2303" max="2303" width="9.109375" style="220"/>
    <col min="2304" max="2304" width="30.6640625" style="220" customWidth="1"/>
    <col min="2305" max="2305" width="31.44140625" style="220" customWidth="1"/>
    <col min="2306" max="2306" width="28.88671875" style="220" customWidth="1"/>
    <col min="2307" max="2555" width="9.109375" style="220"/>
    <col min="2556" max="2556" width="5.6640625" style="220" customWidth="1"/>
    <col min="2557" max="2557" width="49.5546875" style="220" customWidth="1"/>
    <col min="2558" max="2558" width="25.109375" style="220" customWidth="1"/>
    <col min="2559" max="2559" width="9.109375" style="220"/>
    <col min="2560" max="2560" width="30.6640625" style="220" customWidth="1"/>
    <col min="2561" max="2561" width="31.44140625" style="220" customWidth="1"/>
    <col min="2562" max="2562" width="28.88671875" style="220" customWidth="1"/>
    <col min="2563" max="2811" width="9.109375" style="220"/>
    <col min="2812" max="2812" width="5.6640625" style="220" customWidth="1"/>
    <col min="2813" max="2813" width="49.5546875" style="220" customWidth="1"/>
    <col min="2814" max="2814" width="25.109375" style="220" customWidth="1"/>
    <col min="2815" max="2815" width="9.109375" style="220"/>
    <col min="2816" max="2816" width="30.6640625" style="220" customWidth="1"/>
    <col min="2817" max="2817" width="31.44140625" style="220" customWidth="1"/>
    <col min="2818" max="2818" width="28.88671875" style="220" customWidth="1"/>
    <col min="2819" max="3067" width="9.109375" style="220"/>
    <col min="3068" max="3068" width="5.6640625" style="220" customWidth="1"/>
    <col min="3069" max="3069" width="49.5546875" style="220" customWidth="1"/>
    <col min="3070" max="3070" width="25.109375" style="220" customWidth="1"/>
    <col min="3071" max="3071" width="9.109375" style="220"/>
    <col min="3072" max="3072" width="30.6640625" style="220" customWidth="1"/>
    <col min="3073" max="3073" width="31.44140625" style="220" customWidth="1"/>
    <col min="3074" max="3074" width="28.88671875" style="220" customWidth="1"/>
    <col min="3075" max="3323" width="9.109375" style="220"/>
    <col min="3324" max="3324" width="5.6640625" style="220" customWidth="1"/>
    <col min="3325" max="3325" width="49.5546875" style="220" customWidth="1"/>
    <col min="3326" max="3326" width="25.109375" style="220" customWidth="1"/>
    <col min="3327" max="3327" width="9.109375" style="220"/>
    <col min="3328" max="3328" width="30.6640625" style="220" customWidth="1"/>
    <col min="3329" max="3329" width="31.44140625" style="220" customWidth="1"/>
    <col min="3330" max="3330" width="28.88671875" style="220" customWidth="1"/>
    <col min="3331" max="3579" width="9.109375" style="220"/>
    <col min="3580" max="3580" width="5.6640625" style="220" customWidth="1"/>
    <col min="3581" max="3581" width="49.5546875" style="220" customWidth="1"/>
    <col min="3582" max="3582" width="25.109375" style="220" customWidth="1"/>
    <col min="3583" max="3583" width="9.109375" style="220"/>
    <col min="3584" max="3584" width="30.6640625" style="220" customWidth="1"/>
    <col min="3585" max="3585" width="31.44140625" style="220" customWidth="1"/>
    <col min="3586" max="3586" width="28.88671875" style="220" customWidth="1"/>
    <col min="3587" max="3835" width="9.109375" style="220"/>
    <col min="3836" max="3836" width="5.6640625" style="220" customWidth="1"/>
    <col min="3837" max="3837" width="49.5546875" style="220" customWidth="1"/>
    <col min="3838" max="3838" width="25.109375" style="220" customWidth="1"/>
    <col min="3839" max="3839" width="9.109375" style="220"/>
    <col min="3840" max="3840" width="30.6640625" style="220" customWidth="1"/>
    <col min="3841" max="3841" width="31.44140625" style="220" customWidth="1"/>
    <col min="3842" max="3842" width="28.88671875" style="220" customWidth="1"/>
    <col min="3843" max="4091" width="9.109375" style="220"/>
    <col min="4092" max="4092" width="5.6640625" style="220" customWidth="1"/>
    <col min="4093" max="4093" width="49.5546875" style="220" customWidth="1"/>
    <col min="4094" max="4094" width="25.109375" style="220" customWidth="1"/>
    <col min="4095" max="4095" width="9.109375" style="220"/>
    <col min="4096" max="4096" width="30.6640625" style="220" customWidth="1"/>
    <col min="4097" max="4097" width="31.44140625" style="220" customWidth="1"/>
    <col min="4098" max="4098" width="28.88671875" style="220" customWidth="1"/>
    <col min="4099" max="4347" width="9.109375" style="220"/>
    <col min="4348" max="4348" width="5.6640625" style="220" customWidth="1"/>
    <col min="4349" max="4349" width="49.5546875" style="220" customWidth="1"/>
    <col min="4350" max="4350" width="25.109375" style="220" customWidth="1"/>
    <col min="4351" max="4351" width="9.109375" style="220"/>
    <col min="4352" max="4352" width="30.6640625" style="220" customWidth="1"/>
    <col min="4353" max="4353" width="31.44140625" style="220" customWidth="1"/>
    <col min="4354" max="4354" width="28.88671875" style="220" customWidth="1"/>
    <col min="4355" max="4603" width="9.109375" style="220"/>
    <col min="4604" max="4604" width="5.6640625" style="220" customWidth="1"/>
    <col min="4605" max="4605" width="49.5546875" style="220" customWidth="1"/>
    <col min="4606" max="4606" width="25.109375" style="220" customWidth="1"/>
    <col min="4607" max="4607" width="9.109375" style="220"/>
    <col min="4608" max="4608" width="30.6640625" style="220" customWidth="1"/>
    <col min="4609" max="4609" width="31.44140625" style="220" customWidth="1"/>
    <col min="4610" max="4610" width="28.88671875" style="220" customWidth="1"/>
    <col min="4611" max="4859" width="9.109375" style="220"/>
    <col min="4860" max="4860" width="5.6640625" style="220" customWidth="1"/>
    <col min="4861" max="4861" width="49.5546875" style="220" customWidth="1"/>
    <col min="4862" max="4862" width="25.109375" style="220" customWidth="1"/>
    <col min="4863" max="4863" width="9.109375" style="220"/>
    <col min="4864" max="4864" width="30.6640625" style="220" customWidth="1"/>
    <col min="4865" max="4865" width="31.44140625" style="220" customWidth="1"/>
    <col min="4866" max="4866" width="28.88671875" style="220" customWidth="1"/>
    <col min="4867" max="5115" width="9.109375" style="220"/>
    <col min="5116" max="5116" width="5.6640625" style="220" customWidth="1"/>
    <col min="5117" max="5117" width="49.5546875" style="220" customWidth="1"/>
    <col min="5118" max="5118" width="25.109375" style="220" customWidth="1"/>
    <col min="5119" max="5119" width="9.109375" style="220"/>
    <col min="5120" max="5120" width="30.6640625" style="220" customWidth="1"/>
    <col min="5121" max="5121" width="31.44140625" style="220" customWidth="1"/>
    <col min="5122" max="5122" width="28.88671875" style="220" customWidth="1"/>
    <col min="5123" max="5371" width="9.109375" style="220"/>
    <col min="5372" max="5372" width="5.6640625" style="220" customWidth="1"/>
    <col min="5373" max="5373" width="49.5546875" style="220" customWidth="1"/>
    <col min="5374" max="5374" width="25.109375" style="220" customWidth="1"/>
    <col min="5375" max="5375" width="9.109375" style="220"/>
    <col min="5376" max="5376" width="30.6640625" style="220" customWidth="1"/>
    <col min="5377" max="5377" width="31.44140625" style="220" customWidth="1"/>
    <col min="5378" max="5378" width="28.88671875" style="220" customWidth="1"/>
    <col min="5379" max="5627" width="9.109375" style="220"/>
    <col min="5628" max="5628" width="5.6640625" style="220" customWidth="1"/>
    <col min="5629" max="5629" width="49.5546875" style="220" customWidth="1"/>
    <col min="5630" max="5630" width="25.109375" style="220" customWidth="1"/>
    <col min="5631" max="5631" width="9.109375" style="220"/>
    <col min="5632" max="5632" width="30.6640625" style="220" customWidth="1"/>
    <col min="5633" max="5633" width="31.44140625" style="220" customWidth="1"/>
    <col min="5634" max="5634" width="28.88671875" style="220" customWidth="1"/>
    <col min="5635" max="5883" width="9.109375" style="220"/>
    <col min="5884" max="5884" width="5.6640625" style="220" customWidth="1"/>
    <col min="5885" max="5885" width="49.5546875" style="220" customWidth="1"/>
    <col min="5886" max="5886" width="25.109375" style="220" customWidth="1"/>
    <col min="5887" max="5887" width="9.109375" style="220"/>
    <col min="5888" max="5888" width="30.6640625" style="220" customWidth="1"/>
    <col min="5889" max="5889" width="31.44140625" style="220" customWidth="1"/>
    <col min="5890" max="5890" width="28.88671875" style="220" customWidth="1"/>
    <col min="5891" max="6139" width="9.109375" style="220"/>
    <col min="6140" max="6140" width="5.6640625" style="220" customWidth="1"/>
    <col min="6141" max="6141" width="49.5546875" style="220" customWidth="1"/>
    <col min="6142" max="6142" width="25.109375" style="220" customWidth="1"/>
    <col min="6143" max="6143" width="9.109375" style="220"/>
    <col min="6144" max="6144" width="30.6640625" style="220" customWidth="1"/>
    <col min="6145" max="6145" width="31.44140625" style="220" customWidth="1"/>
    <col min="6146" max="6146" width="28.88671875" style="220" customWidth="1"/>
    <col min="6147" max="6395" width="9.109375" style="220"/>
    <col min="6396" max="6396" width="5.6640625" style="220" customWidth="1"/>
    <col min="6397" max="6397" width="49.5546875" style="220" customWidth="1"/>
    <col min="6398" max="6398" width="25.109375" style="220" customWidth="1"/>
    <col min="6399" max="6399" width="9.109375" style="220"/>
    <col min="6400" max="6400" width="30.6640625" style="220" customWidth="1"/>
    <col min="6401" max="6401" width="31.44140625" style="220" customWidth="1"/>
    <col min="6402" max="6402" width="28.88671875" style="220" customWidth="1"/>
    <col min="6403" max="6651" width="9.109375" style="220"/>
    <col min="6652" max="6652" width="5.6640625" style="220" customWidth="1"/>
    <col min="6653" max="6653" width="49.5546875" style="220" customWidth="1"/>
    <col min="6654" max="6654" width="25.109375" style="220" customWidth="1"/>
    <col min="6655" max="6655" width="9.109375" style="220"/>
    <col min="6656" max="6656" width="30.6640625" style="220" customWidth="1"/>
    <col min="6657" max="6657" width="31.44140625" style="220" customWidth="1"/>
    <col min="6658" max="6658" width="28.88671875" style="220" customWidth="1"/>
    <col min="6659" max="6907" width="9.109375" style="220"/>
    <col min="6908" max="6908" width="5.6640625" style="220" customWidth="1"/>
    <col min="6909" max="6909" width="49.5546875" style="220" customWidth="1"/>
    <col min="6910" max="6910" width="25.109375" style="220" customWidth="1"/>
    <col min="6911" max="6911" width="9.109375" style="220"/>
    <col min="6912" max="6912" width="30.6640625" style="220" customWidth="1"/>
    <col min="6913" max="6913" width="31.44140625" style="220" customWidth="1"/>
    <col min="6914" max="6914" width="28.88671875" style="220" customWidth="1"/>
    <col min="6915" max="7163" width="9.109375" style="220"/>
    <col min="7164" max="7164" width="5.6640625" style="220" customWidth="1"/>
    <col min="7165" max="7165" width="49.5546875" style="220" customWidth="1"/>
    <col min="7166" max="7166" width="25.109375" style="220" customWidth="1"/>
    <col min="7167" max="7167" width="9.109375" style="220"/>
    <col min="7168" max="7168" width="30.6640625" style="220" customWidth="1"/>
    <col min="7169" max="7169" width="31.44140625" style="220" customWidth="1"/>
    <col min="7170" max="7170" width="28.88671875" style="220" customWidth="1"/>
    <col min="7171" max="7419" width="9.109375" style="220"/>
    <col min="7420" max="7420" width="5.6640625" style="220" customWidth="1"/>
    <col min="7421" max="7421" width="49.5546875" style="220" customWidth="1"/>
    <col min="7422" max="7422" width="25.109375" style="220" customWidth="1"/>
    <col min="7423" max="7423" width="9.109375" style="220"/>
    <col min="7424" max="7424" width="30.6640625" style="220" customWidth="1"/>
    <col min="7425" max="7425" width="31.44140625" style="220" customWidth="1"/>
    <col min="7426" max="7426" width="28.88671875" style="220" customWidth="1"/>
    <col min="7427" max="7675" width="9.109375" style="220"/>
    <col min="7676" max="7676" width="5.6640625" style="220" customWidth="1"/>
    <col min="7677" max="7677" width="49.5546875" style="220" customWidth="1"/>
    <col min="7678" max="7678" width="25.109375" style="220" customWidth="1"/>
    <col min="7679" max="7679" width="9.109375" style="220"/>
    <col min="7680" max="7680" width="30.6640625" style="220" customWidth="1"/>
    <col min="7681" max="7681" width="31.44140625" style="220" customWidth="1"/>
    <col min="7682" max="7682" width="28.88671875" style="220" customWidth="1"/>
    <col min="7683" max="7931" width="9.109375" style="220"/>
    <col min="7932" max="7932" width="5.6640625" style="220" customWidth="1"/>
    <col min="7933" max="7933" width="49.5546875" style="220" customWidth="1"/>
    <col min="7934" max="7934" width="25.109375" style="220" customWidth="1"/>
    <col min="7935" max="7935" width="9.109375" style="220"/>
    <col min="7936" max="7936" width="30.6640625" style="220" customWidth="1"/>
    <col min="7937" max="7937" width="31.44140625" style="220" customWidth="1"/>
    <col min="7938" max="7938" width="28.88671875" style="220" customWidth="1"/>
    <col min="7939" max="8187" width="9.109375" style="220"/>
    <col min="8188" max="8188" width="5.6640625" style="220" customWidth="1"/>
    <col min="8189" max="8189" width="49.5546875" style="220" customWidth="1"/>
    <col min="8190" max="8190" width="25.109375" style="220" customWidth="1"/>
    <col min="8191" max="8191" width="9.109375" style="220"/>
    <col min="8192" max="8192" width="30.6640625" style="220" customWidth="1"/>
    <col min="8193" max="8193" width="31.44140625" style="220" customWidth="1"/>
    <col min="8194" max="8194" width="28.88671875" style="220" customWidth="1"/>
    <col min="8195" max="8443" width="9.109375" style="220"/>
    <col min="8444" max="8444" width="5.6640625" style="220" customWidth="1"/>
    <col min="8445" max="8445" width="49.5546875" style="220" customWidth="1"/>
    <col min="8446" max="8446" width="25.109375" style="220" customWidth="1"/>
    <col min="8447" max="8447" width="9.109375" style="220"/>
    <col min="8448" max="8448" width="30.6640625" style="220" customWidth="1"/>
    <col min="8449" max="8449" width="31.44140625" style="220" customWidth="1"/>
    <col min="8450" max="8450" width="28.88671875" style="220" customWidth="1"/>
    <col min="8451" max="8699" width="9.109375" style="220"/>
    <col min="8700" max="8700" width="5.6640625" style="220" customWidth="1"/>
    <col min="8701" max="8701" width="49.5546875" style="220" customWidth="1"/>
    <col min="8702" max="8702" width="25.109375" style="220" customWidth="1"/>
    <col min="8703" max="8703" width="9.109375" style="220"/>
    <col min="8704" max="8704" width="30.6640625" style="220" customWidth="1"/>
    <col min="8705" max="8705" width="31.44140625" style="220" customWidth="1"/>
    <col min="8706" max="8706" width="28.88671875" style="220" customWidth="1"/>
    <col min="8707" max="8955" width="9.109375" style="220"/>
    <col min="8956" max="8956" width="5.6640625" style="220" customWidth="1"/>
    <col min="8957" max="8957" width="49.5546875" style="220" customWidth="1"/>
    <col min="8958" max="8958" width="25.109375" style="220" customWidth="1"/>
    <col min="8959" max="8959" width="9.109375" style="220"/>
    <col min="8960" max="8960" width="30.6640625" style="220" customWidth="1"/>
    <col min="8961" max="8961" width="31.44140625" style="220" customWidth="1"/>
    <col min="8962" max="8962" width="28.88671875" style="220" customWidth="1"/>
    <col min="8963" max="9211" width="9.109375" style="220"/>
    <col min="9212" max="9212" width="5.6640625" style="220" customWidth="1"/>
    <col min="9213" max="9213" width="49.5546875" style="220" customWidth="1"/>
    <col min="9214" max="9214" width="25.109375" style="220" customWidth="1"/>
    <col min="9215" max="9215" width="9.109375" style="220"/>
    <col min="9216" max="9216" width="30.6640625" style="220" customWidth="1"/>
    <col min="9217" max="9217" width="31.44140625" style="220" customWidth="1"/>
    <col min="9218" max="9218" width="28.88671875" style="220" customWidth="1"/>
    <col min="9219" max="9467" width="9.109375" style="220"/>
    <col min="9468" max="9468" width="5.6640625" style="220" customWidth="1"/>
    <col min="9469" max="9469" width="49.5546875" style="220" customWidth="1"/>
    <col min="9470" max="9470" width="25.109375" style="220" customWidth="1"/>
    <col min="9471" max="9471" width="9.109375" style="220"/>
    <col min="9472" max="9472" width="30.6640625" style="220" customWidth="1"/>
    <col min="9473" max="9473" width="31.44140625" style="220" customWidth="1"/>
    <col min="9474" max="9474" width="28.88671875" style="220" customWidth="1"/>
    <col min="9475" max="9723" width="9.109375" style="220"/>
    <col min="9724" max="9724" width="5.6640625" style="220" customWidth="1"/>
    <col min="9725" max="9725" width="49.5546875" style="220" customWidth="1"/>
    <col min="9726" max="9726" width="25.109375" style="220" customWidth="1"/>
    <col min="9727" max="9727" width="9.109375" style="220"/>
    <col min="9728" max="9728" width="30.6640625" style="220" customWidth="1"/>
    <col min="9729" max="9729" width="31.44140625" style="220" customWidth="1"/>
    <col min="9730" max="9730" width="28.88671875" style="220" customWidth="1"/>
    <col min="9731" max="9979" width="9.109375" style="220"/>
    <col min="9980" max="9980" width="5.6640625" style="220" customWidth="1"/>
    <col min="9981" max="9981" width="49.5546875" style="220" customWidth="1"/>
    <col min="9982" max="9982" width="25.109375" style="220" customWidth="1"/>
    <col min="9983" max="9983" width="9.109375" style="220"/>
    <col min="9984" max="9984" width="30.6640625" style="220" customWidth="1"/>
    <col min="9985" max="9985" width="31.44140625" style="220" customWidth="1"/>
    <col min="9986" max="9986" width="28.88671875" style="220" customWidth="1"/>
    <col min="9987" max="10235" width="9.109375" style="220"/>
    <col min="10236" max="10236" width="5.6640625" style="220" customWidth="1"/>
    <col min="10237" max="10237" width="49.5546875" style="220" customWidth="1"/>
    <col min="10238" max="10238" width="25.109375" style="220" customWidth="1"/>
    <col min="10239" max="10239" width="9.109375" style="220"/>
    <col min="10240" max="10240" width="30.6640625" style="220" customWidth="1"/>
    <col min="10241" max="10241" width="31.44140625" style="220" customWidth="1"/>
    <col min="10242" max="10242" width="28.88671875" style="220" customWidth="1"/>
    <col min="10243" max="10491" width="9.109375" style="220"/>
    <col min="10492" max="10492" width="5.6640625" style="220" customWidth="1"/>
    <col min="10493" max="10493" width="49.5546875" style="220" customWidth="1"/>
    <col min="10494" max="10494" width="25.109375" style="220" customWidth="1"/>
    <col min="10495" max="10495" width="9.109375" style="220"/>
    <col min="10496" max="10496" width="30.6640625" style="220" customWidth="1"/>
    <col min="10497" max="10497" width="31.44140625" style="220" customWidth="1"/>
    <col min="10498" max="10498" width="28.88671875" style="220" customWidth="1"/>
    <col min="10499" max="10747" width="9.109375" style="220"/>
    <col min="10748" max="10748" width="5.6640625" style="220" customWidth="1"/>
    <col min="10749" max="10749" width="49.5546875" style="220" customWidth="1"/>
    <col min="10750" max="10750" width="25.109375" style="220" customWidth="1"/>
    <col min="10751" max="10751" width="9.109375" style="220"/>
    <col min="10752" max="10752" width="30.6640625" style="220" customWidth="1"/>
    <col min="10753" max="10753" width="31.44140625" style="220" customWidth="1"/>
    <col min="10754" max="10754" width="28.88671875" style="220" customWidth="1"/>
    <col min="10755" max="11003" width="9.109375" style="220"/>
    <col min="11004" max="11004" width="5.6640625" style="220" customWidth="1"/>
    <col min="11005" max="11005" width="49.5546875" style="220" customWidth="1"/>
    <col min="11006" max="11006" width="25.109375" style="220" customWidth="1"/>
    <col min="11007" max="11007" width="9.109375" style="220"/>
    <col min="11008" max="11008" width="30.6640625" style="220" customWidth="1"/>
    <col min="11009" max="11009" width="31.44140625" style="220" customWidth="1"/>
    <col min="11010" max="11010" width="28.88671875" style="220" customWidth="1"/>
    <col min="11011" max="11259" width="9.109375" style="220"/>
    <col min="11260" max="11260" width="5.6640625" style="220" customWidth="1"/>
    <col min="11261" max="11261" width="49.5546875" style="220" customWidth="1"/>
    <col min="11262" max="11262" width="25.109375" style="220" customWidth="1"/>
    <col min="11263" max="11263" width="9.109375" style="220"/>
    <col min="11264" max="11264" width="30.6640625" style="220" customWidth="1"/>
    <col min="11265" max="11265" width="31.44140625" style="220" customWidth="1"/>
    <col min="11266" max="11266" width="28.88671875" style="220" customWidth="1"/>
    <col min="11267" max="11515" width="9.109375" style="220"/>
    <col min="11516" max="11516" width="5.6640625" style="220" customWidth="1"/>
    <col min="11517" max="11517" width="49.5546875" style="220" customWidth="1"/>
    <col min="11518" max="11518" width="25.109375" style="220" customWidth="1"/>
    <col min="11519" max="11519" width="9.109375" style="220"/>
    <col min="11520" max="11520" width="30.6640625" style="220" customWidth="1"/>
    <col min="11521" max="11521" width="31.44140625" style="220" customWidth="1"/>
    <col min="11522" max="11522" width="28.88671875" style="220" customWidth="1"/>
    <col min="11523" max="11771" width="9.109375" style="220"/>
    <col min="11772" max="11772" width="5.6640625" style="220" customWidth="1"/>
    <col min="11773" max="11773" width="49.5546875" style="220" customWidth="1"/>
    <col min="11774" max="11774" width="25.109375" style="220" customWidth="1"/>
    <col min="11775" max="11775" width="9.109375" style="220"/>
    <col min="11776" max="11776" width="30.6640625" style="220" customWidth="1"/>
    <col min="11777" max="11777" width="31.44140625" style="220" customWidth="1"/>
    <col min="11778" max="11778" width="28.88671875" style="220" customWidth="1"/>
    <col min="11779" max="12027" width="9.109375" style="220"/>
    <col min="12028" max="12028" width="5.6640625" style="220" customWidth="1"/>
    <col min="12029" max="12029" width="49.5546875" style="220" customWidth="1"/>
    <col min="12030" max="12030" width="25.109375" style="220" customWidth="1"/>
    <col min="12031" max="12031" width="9.109375" style="220"/>
    <col min="12032" max="12032" width="30.6640625" style="220" customWidth="1"/>
    <col min="12033" max="12033" width="31.44140625" style="220" customWidth="1"/>
    <col min="12034" max="12034" width="28.88671875" style="220" customWidth="1"/>
    <col min="12035" max="12283" width="9.109375" style="220"/>
    <col min="12284" max="12284" width="5.6640625" style="220" customWidth="1"/>
    <col min="12285" max="12285" width="49.5546875" style="220" customWidth="1"/>
    <col min="12286" max="12286" width="25.109375" style="220" customWidth="1"/>
    <col min="12287" max="12287" width="9.109375" style="220"/>
    <col min="12288" max="12288" width="30.6640625" style="220" customWidth="1"/>
    <col min="12289" max="12289" width="31.44140625" style="220" customWidth="1"/>
    <col min="12290" max="12290" width="28.88671875" style="220" customWidth="1"/>
    <col min="12291" max="12539" width="9.109375" style="220"/>
    <col min="12540" max="12540" width="5.6640625" style="220" customWidth="1"/>
    <col min="12541" max="12541" width="49.5546875" style="220" customWidth="1"/>
    <col min="12542" max="12542" width="25.109375" style="220" customWidth="1"/>
    <col min="12543" max="12543" width="9.109375" style="220"/>
    <col min="12544" max="12544" width="30.6640625" style="220" customWidth="1"/>
    <col min="12545" max="12545" width="31.44140625" style="220" customWidth="1"/>
    <col min="12546" max="12546" width="28.88671875" style="220" customWidth="1"/>
    <col min="12547" max="12795" width="9.109375" style="220"/>
    <col min="12796" max="12796" width="5.6640625" style="220" customWidth="1"/>
    <col min="12797" max="12797" width="49.5546875" style="220" customWidth="1"/>
    <col min="12798" max="12798" width="25.109375" style="220" customWidth="1"/>
    <col min="12799" max="12799" width="9.109375" style="220"/>
    <col min="12800" max="12800" width="30.6640625" style="220" customWidth="1"/>
    <col min="12801" max="12801" width="31.44140625" style="220" customWidth="1"/>
    <col min="12802" max="12802" width="28.88671875" style="220" customWidth="1"/>
    <col min="12803" max="13051" width="9.109375" style="220"/>
    <col min="13052" max="13052" width="5.6640625" style="220" customWidth="1"/>
    <col min="13053" max="13053" width="49.5546875" style="220" customWidth="1"/>
    <col min="13054" max="13054" width="25.109375" style="220" customWidth="1"/>
    <col min="13055" max="13055" width="9.109375" style="220"/>
    <col min="13056" max="13056" width="30.6640625" style="220" customWidth="1"/>
    <col min="13057" max="13057" width="31.44140625" style="220" customWidth="1"/>
    <col min="13058" max="13058" width="28.88671875" style="220" customWidth="1"/>
    <col min="13059" max="13307" width="9.109375" style="220"/>
    <col min="13308" max="13308" width="5.6640625" style="220" customWidth="1"/>
    <col min="13309" max="13309" width="49.5546875" style="220" customWidth="1"/>
    <col min="13310" max="13310" width="25.109375" style="220" customWidth="1"/>
    <col min="13311" max="13311" width="9.109375" style="220"/>
    <col min="13312" max="13312" width="30.6640625" style="220" customWidth="1"/>
    <col min="13313" max="13313" width="31.44140625" style="220" customWidth="1"/>
    <col min="13314" max="13314" width="28.88671875" style="220" customWidth="1"/>
    <col min="13315" max="13563" width="9.109375" style="220"/>
    <col min="13564" max="13564" width="5.6640625" style="220" customWidth="1"/>
    <col min="13565" max="13565" width="49.5546875" style="220" customWidth="1"/>
    <col min="13566" max="13566" width="25.109375" style="220" customWidth="1"/>
    <col min="13567" max="13567" width="9.109375" style="220"/>
    <col min="13568" max="13568" width="30.6640625" style="220" customWidth="1"/>
    <col min="13569" max="13569" width="31.44140625" style="220" customWidth="1"/>
    <col min="13570" max="13570" width="28.88671875" style="220" customWidth="1"/>
    <col min="13571" max="13819" width="9.109375" style="220"/>
    <col min="13820" max="13820" width="5.6640625" style="220" customWidth="1"/>
    <col min="13821" max="13821" width="49.5546875" style="220" customWidth="1"/>
    <col min="13822" max="13822" width="25.109375" style="220" customWidth="1"/>
    <col min="13823" max="13823" width="9.109375" style="220"/>
    <col min="13824" max="13824" width="30.6640625" style="220" customWidth="1"/>
    <col min="13825" max="13825" width="31.44140625" style="220" customWidth="1"/>
    <col min="13826" max="13826" width="28.88671875" style="220" customWidth="1"/>
    <col min="13827" max="14075" width="9.109375" style="220"/>
    <col min="14076" max="14076" width="5.6640625" style="220" customWidth="1"/>
    <col min="14077" max="14077" width="49.5546875" style="220" customWidth="1"/>
    <col min="14078" max="14078" width="25.109375" style="220" customWidth="1"/>
    <col min="14079" max="14079" width="9.109375" style="220"/>
    <col min="14080" max="14080" width="30.6640625" style="220" customWidth="1"/>
    <col min="14081" max="14081" width="31.44140625" style="220" customWidth="1"/>
    <col min="14082" max="14082" width="28.88671875" style="220" customWidth="1"/>
    <col min="14083" max="14331" width="9.109375" style="220"/>
    <col min="14332" max="14332" width="5.6640625" style="220" customWidth="1"/>
    <col min="14333" max="14333" width="49.5546875" style="220" customWidth="1"/>
    <col min="14334" max="14334" width="25.109375" style="220" customWidth="1"/>
    <col min="14335" max="14335" width="9.109375" style="220"/>
    <col min="14336" max="14336" width="30.6640625" style="220" customWidth="1"/>
    <col min="14337" max="14337" width="31.44140625" style="220" customWidth="1"/>
    <col min="14338" max="14338" width="28.88671875" style="220" customWidth="1"/>
    <col min="14339" max="14587" width="9.109375" style="220"/>
    <col min="14588" max="14588" width="5.6640625" style="220" customWidth="1"/>
    <col min="14589" max="14589" width="49.5546875" style="220" customWidth="1"/>
    <col min="14590" max="14590" width="25.109375" style="220" customWidth="1"/>
    <col min="14591" max="14591" width="9.109375" style="220"/>
    <col min="14592" max="14592" width="30.6640625" style="220" customWidth="1"/>
    <col min="14593" max="14593" width="31.44140625" style="220" customWidth="1"/>
    <col min="14594" max="14594" width="28.88671875" style="220" customWidth="1"/>
    <col min="14595" max="14843" width="9.109375" style="220"/>
    <col min="14844" max="14844" width="5.6640625" style="220" customWidth="1"/>
    <col min="14845" max="14845" width="49.5546875" style="220" customWidth="1"/>
    <col min="14846" max="14846" width="25.109375" style="220" customWidth="1"/>
    <col min="14847" max="14847" width="9.109375" style="220"/>
    <col min="14848" max="14848" width="30.6640625" style="220" customWidth="1"/>
    <col min="14849" max="14849" width="31.44140625" style="220" customWidth="1"/>
    <col min="14850" max="14850" width="28.88671875" style="220" customWidth="1"/>
    <col min="14851" max="15099" width="9.109375" style="220"/>
    <col min="15100" max="15100" width="5.6640625" style="220" customWidth="1"/>
    <col min="15101" max="15101" width="49.5546875" style="220" customWidth="1"/>
    <col min="15102" max="15102" width="25.109375" style="220" customWidth="1"/>
    <col min="15103" max="15103" width="9.109375" style="220"/>
    <col min="15104" max="15104" width="30.6640625" style="220" customWidth="1"/>
    <col min="15105" max="15105" width="31.44140625" style="220" customWidth="1"/>
    <col min="15106" max="15106" width="28.88671875" style="220" customWidth="1"/>
    <col min="15107" max="15355" width="9.109375" style="220"/>
    <col min="15356" max="15356" width="5.6640625" style="220" customWidth="1"/>
    <col min="15357" max="15357" width="49.5546875" style="220" customWidth="1"/>
    <col min="15358" max="15358" width="25.109375" style="220" customWidth="1"/>
    <col min="15359" max="15359" width="9.109375" style="220"/>
    <col min="15360" max="15360" width="30.6640625" style="220" customWidth="1"/>
    <col min="15361" max="15361" width="31.44140625" style="220" customWidth="1"/>
    <col min="15362" max="15362" width="28.88671875" style="220" customWidth="1"/>
    <col min="15363" max="15611" width="9.109375" style="220"/>
    <col min="15612" max="15612" width="5.6640625" style="220" customWidth="1"/>
    <col min="15613" max="15613" width="49.5546875" style="220" customWidth="1"/>
    <col min="15614" max="15614" width="25.109375" style="220" customWidth="1"/>
    <col min="15615" max="15615" width="9.109375" style="220"/>
    <col min="15616" max="15616" width="30.6640625" style="220" customWidth="1"/>
    <col min="15617" max="15617" width="31.44140625" style="220" customWidth="1"/>
    <col min="15618" max="15618" width="28.88671875" style="220" customWidth="1"/>
    <col min="15619" max="15867" width="9.109375" style="220"/>
    <col min="15868" max="15868" width="5.6640625" style="220" customWidth="1"/>
    <col min="15869" max="15869" width="49.5546875" style="220" customWidth="1"/>
    <col min="15870" max="15870" width="25.109375" style="220" customWidth="1"/>
    <col min="15871" max="15871" width="9.109375" style="220"/>
    <col min="15872" max="15872" width="30.6640625" style="220" customWidth="1"/>
    <col min="15873" max="15873" width="31.44140625" style="220" customWidth="1"/>
    <col min="15874" max="15874" width="28.88671875" style="220" customWidth="1"/>
    <col min="15875" max="16123" width="9.109375" style="220"/>
    <col min="16124" max="16124" width="5.6640625" style="220" customWidth="1"/>
    <col min="16125" max="16125" width="49.5546875" style="220" customWidth="1"/>
    <col min="16126" max="16126" width="25.109375" style="220" customWidth="1"/>
    <col min="16127" max="16127" width="9.109375" style="220"/>
    <col min="16128" max="16128" width="30.6640625" style="220" customWidth="1"/>
    <col min="16129" max="16129" width="31.44140625" style="220" customWidth="1"/>
    <col min="16130" max="16130" width="28.88671875" style="220" customWidth="1"/>
    <col min="16131" max="16384" width="9.109375" style="220"/>
  </cols>
  <sheetData>
    <row r="1" spans="1:4" ht="0.75" customHeight="1">
      <c r="C1" s="778"/>
    </row>
    <row r="2" spans="1:4" ht="0.75" customHeight="1">
      <c r="C2" s="778"/>
    </row>
    <row r="3" spans="1:4" ht="15" customHeight="1">
      <c r="A3" s="780" t="s">
        <v>532</v>
      </c>
      <c r="C3" s="778"/>
    </row>
    <row r="4" spans="1:4" ht="12" customHeight="1">
      <c r="A4" s="780" t="s">
        <v>533</v>
      </c>
      <c r="C4" s="778"/>
    </row>
    <row r="5" spans="1:4" ht="13.5" customHeight="1">
      <c r="A5" s="780" t="s">
        <v>534</v>
      </c>
      <c r="C5" s="778"/>
    </row>
    <row r="6" spans="1:4" ht="13.5" customHeight="1">
      <c r="A6" s="780" t="s">
        <v>535</v>
      </c>
      <c r="C6" s="778"/>
    </row>
    <row r="7" spans="1:4" ht="20.25" customHeight="1">
      <c r="A7" s="780"/>
      <c r="C7" s="781"/>
    </row>
    <row r="8" spans="1:4" ht="26.25" customHeight="1">
      <c r="A8" s="782" t="s">
        <v>536</v>
      </c>
      <c r="B8" s="782" t="s">
        <v>537</v>
      </c>
      <c r="C8" s="782" t="s">
        <v>538</v>
      </c>
      <c r="D8" s="783"/>
    </row>
    <row r="9" spans="1:4" ht="26.25" customHeight="1">
      <c r="A9" s="784"/>
      <c r="B9" s="784"/>
      <c r="C9" s="785"/>
      <c r="D9" s="786"/>
    </row>
    <row r="10" spans="1:4" ht="26.25" customHeight="1">
      <c r="A10" s="787">
        <v>1</v>
      </c>
      <c r="B10" s="788" t="s">
        <v>539</v>
      </c>
      <c r="C10" s="789"/>
      <c r="D10" s="790"/>
    </row>
    <row r="11" spans="1:4" ht="15.6">
      <c r="A11" s="787"/>
      <c r="B11" s="788" t="s">
        <v>540</v>
      </c>
      <c r="C11" s="789">
        <f>'I. Mek. Infrastruktur'!G59</f>
        <v>202002013.93145099</v>
      </c>
      <c r="D11" s="790"/>
    </row>
    <row r="12" spans="1:4" ht="15.6">
      <c r="A12" s="787"/>
      <c r="B12" s="788" t="s">
        <v>541</v>
      </c>
      <c r="C12" s="789">
        <f>'I. Elektrikal Infrastruktur'!G43</f>
        <v>229688938.38479999</v>
      </c>
      <c r="D12" s="790"/>
    </row>
    <row r="13" spans="1:4" ht="26.25" customHeight="1">
      <c r="A13" s="787"/>
      <c r="B13" s="788"/>
      <c r="C13" s="789"/>
      <c r="D13" s="790"/>
    </row>
    <row r="14" spans="1:4" ht="26.25" customHeight="1">
      <c r="A14" s="787">
        <v>2</v>
      </c>
      <c r="B14" s="788" t="s">
        <v>542</v>
      </c>
      <c r="C14" s="789"/>
      <c r="D14" s="790"/>
    </row>
    <row r="15" spans="1:4" ht="15.6">
      <c r="A15" s="791"/>
      <c r="B15" s="788" t="s">
        <v>540</v>
      </c>
      <c r="C15" s="789">
        <f>'II. Mek. Body Repair'!F187</f>
        <v>380853441.87844598</v>
      </c>
      <c r="D15" s="790"/>
    </row>
    <row r="16" spans="1:4" ht="15.6">
      <c r="A16" s="791"/>
      <c r="B16" s="788" t="s">
        <v>541</v>
      </c>
      <c r="C16" s="789">
        <f>'II. Elektrikal Body Repair'!G169</f>
        <v>469505545.75945401</v>
      </c>
      <c r="D16" s="790"/>
    </row>
    <row r="17" spans="1:4" ht="15.6">
      <c r="A17" s="791"/>
      <c r="B17" s="788" t="s">
        <v>543</v>
      </c>
      <c r="C17" s="789">
        <f>'I. Elektronik Body Repair'!G61</f>
        <v>20370217.446249999</v>
      </c>
      <c r="D17" s="790"/>
    </row>
    <row r="18" spans="1:4" ht="26.25" customHeight="1">
      <c r="A18" s="791"/>
      <c r="B18" s="788"/>
      <c r="C18" s="789"/>
      <c r="D18" s="790"/>
    </row>
    <row r="19" spans="1:4" ht="26.25" customHeight="1">
      <c r="A19" s="787">
        <v>3</v>
      </c>
      <c r="B19" s="788" t="s">
        <v>544</v>
      </c>
      <c r="C19" s="789"/>
      <c r="D19" s="790"/>
    </row>
    <row r="20" spans="1:4" ht="15.6">
      <c r="A20" s="791"/>
      <c r="B20" s="788" t="s">
        <v>540</v>
      </c>
      <c r="C20" s="789">
        <f>'III. Mek. General Repair'!F87</f>
        <v>27712542.308010001</v>
      </c>
      <c r="D20" s="790"/>
    </row>
    <row r="21" spans="1:4" ht="15.6">
      <c r="A21" s="791"/>
      <c r="B21" s="788" t="s">
        <v>541</v>
      </c>
      <c r="C21" s="789">
        <f>'III. Elektrikal General Repair'!G89</f>
        <v>36769335.968675204</v>
      </c>
      <c r="D21" s="790"/>
    </row>
    <row r="22" spans="1:4" ht="26.25" customHeight="1">
      <c r="A22" s="791"/>
      <c r="B22" s="788"/>
      <c r="C22" s="789"/>
      <c r="D22" s="790"/>
    </row>
    <row r="23" spans="1:4" ht="26.25" customHeight="1">
      <c r="A23" s="787">
        <v>4</v>
      </c>
      <c r="B23" s="788" t="s">
        <v>545</v>
      </c>
      <c r="C23" s="789"/>
      <c r="D23" s="790"/>
    </row>
    <row r="24" spans="1:4" ht="15.6">
      <c r="A24" s="791"/>
      <c r="B24" s="788" t="s">
        <v>541</v>
      </c>
      <c r="C24" s="789">
        <f>'IV. Elekt Office &amp; Showroom'!G45</f>
        <v>13444408.048407201</v>
      </c>
      <c r="D24" s="790"/>
    </row>
    <row r="25" spans="1:4" ht="26.25" customHeight="1">
      <c r="A25" s="791"/>
      <c r="B25" s="788"/>
      <c r="C25" s="789"/>
      <c r="D25" s="790"/>
    </row>
    <row r="26" spans="1:4" ht="13.2">
      <c r="A26" s="792"/>
      <c r="B26" s="793"/>
      <c r="C26" s="794"/>
      <c r="D26" s="795"/>
    </row>
    <row r="27" spans="1:4" ht="26.25" customHeight="1">
      <c r="A27" s="796"/>
      <c r="B27" s="797" t="s">
        <v>546</v>
      </c>
      <c r="C27" s="798">
        <f>SUM(C10:C25)</f>
        <v>1380346443.7254901</v>
      </c>
      <c r="D27" s="795"/>
    </row>
    <row r="29" spans="1:4" ht="26.25" customHeight="1">
      <c r="C29" s="799"/>
    </row>
    <row r="30" spans="1:4" ht="26.25" customHeight="1">
      <c r="C30" s="800"/>
    </row>
    <row r="31" spans="1:4" ht="26.25" customHeight="1">
      <c r="C31" s="801"/>
    </row>
  </sheetData>
  <printOptions horizontalCentered="1"/>
  <pageMargins left="0.511811023622047" right="0.39370078740157499" top="0.98425196850393704" bottom="0.98425196850393704" header="0.511811023622047" footer="0.511811023622047"/>
  <pageSetup paperSize="9" firstPageNumber="50" fitToHeight="0" orientation="portrait" useFirstPageNumber="1" r:id="rId1"/>
  <headerFooter alignWithMargins="0">
    <oddFooter>&amp;C&amp;A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R61"/>
  <sheetViews>
    <sheetView showGridLines="0" view="pageBreakPreview" topLeftCell="A40" zoomScale="85" zoomScaleNormal="93" workbookViewId="0">
      <selection activeCell="E67" sqref="E67"/>
    </sheetView>
  </sheetViews>
  <sheetFormatPr defaultColWidth="9" defaultRowHeight="13.2"/>
  <cols>
    <col min="1" max="1" width="8.88671875" style="508"/>
    <col min="2" max="2" width="4.5546875" style="632" customWidth="1"/>
    <col min="3" max="3" width="55.44140625" style="632" customWidth="1"/>
    <col min="4" max="4" width="6.88671875" style="632" customWidth="1"/>
    <col min="5" max="5" width="8.109375" style="632" customWidth="1"/>
    <col min="6" max="6" width="13.6640625" style="633" hidden="1" customWidth="1"/>
    <col min="7" max="7" width="16.109375" style="632" hidden="1" customWidth="1"/>
    <col min="8" max="8" width="15.109375" style="508" customWidth="1"/>
    <col min="9" max="17" width="14.21875" style="508" customWidth="1"/>
    <col min="18" max="256" width="9.109375" style="508"/>
    <col min="257" max="257" width="4.5546875" style="508" customWidth="1"/>
    <col min="258" max="258" width="55.44140625" style="508" customWidth="1"/>
    <col min="259" max="259" width="6.88671875" style="508" customWidth="1"/>
    <col min="260" max="260" width="8.109375" style="508" customWidth="1"/>
    <col min="261" max="261" width="13.6640625" style="508" customWidth="1"/>
    <col min="262" max="262" width="16.109375" style="508" customWidth="1"/>
    <col min="263" max="512" width="9.109375" style="508"/>
    <col min="513" max="513" width="4.5546875" style="508" customWidth="1"/>
    <col min="514" max="514" width="55.44140625" style="508" customWidth="1"/>
    <col min="515" max="515" width="6.88671875" style="508" customWidth="1"/>
    <col min="516" max="516" width="8.109375" style="508" customWidth="1"/>
    <col min="517" max="517" width="13.6640625" style="508" customWidth="1"/>
    <col min="518" max="518" width="16.109375" style="508" customWidth="1"/>
    <col min="519" max="768" width="9.109375" style="508"/>
    <col min="769" max="769" width="4.5546875" style="508" customWidth="1"/>
    <col min="770" max="770" width="55.44140625" style="508" customWidth="1"/>
    <col min="771" max="771" width="6.88671875" style="508" customWidth="1"/>
    <col min="772" max="772" width="8.109375" style="508" customWidth="1"/>
    <col min="773" max="773" width="13.6640625" style="508" customWidth="1"/>
    <col min="774" max="774" width="16.109375" style="508" customWidth="1"/>
    <col min="775" max="1024" width="9.109375" style="508"/>
    <col min="1025" max="1025" width="4.5546875" style="508" customWidth="1"/>
    <col min="1026" max="1026" width="55.44140625" style="508" customWidth="1"/>
    <col min="1027" max="1027" width="6.88671875" style="508" customWidth="1"/>
    <col min="1028" max="1028" width="8.109375" style="508" customWidth="1"/>
    <col min="1029" max="1029" width="13.6640625" style="508" customWidth="1"/>
    <col min="1030" max="1030" width="16.109375" style="508" customWidth="1"/>
    <col min="1031" max="1280" width="9.109375" style="508"/>
    <col min="1281" max="1281" width="4.5546875" style="508" customWidth="1"/>
    <col min="1282" max="1282" width="55.44140625" style="508" customWidth="1"/>
    <col min="1283" max="1283" width="6.88671875" style="508" customWidth="1"/>
    <col min="1284" max="1284" width="8.109375" style="508" customWidth="1"/>
    <col min="1285" max="1285" width="13.6640625" style="508" customWidth="1"/>
    <col min="1286" max="1286" width="16.109375" style="508" customWidth="1"/>
    <col min="1287" max="1536" width="9.109375" style="508"/>
    <col min="1537" max="1537" width="4.5546875" style="508" customWidth="1"/>
    <col min="1538" max="1538" width="55.44140625" style="508" customWidth="1"/>
    <col min="1539" max="1539" width="6.88671875" style="508" customWidth="1"/>
    <col min="1540" max="1540" width="8.109375" style="508" customWidth="1"/>
    <col min="1541" max="1541" width="13.6640625" style="508" customWidth="1"/>
    <col min="1542" max="1542" width="16.109375" style="508" customWidth="1"/>
    <col min="1543" max="1792" width="9.109375" style="508"/>
    <col min="1793" max="1793" width="4.5546875" style="508" customWidth="1"/>
    <col min="1794" max="1794" width="55.44140625" style="508" customWidth="1"/>
    <col min="1795" max="1795" width="6.88671875" style="508" customWidth="1"/>
    <col min="1796" max="1796" width="8.109375" style="508" customWidth="1"/>
    <col min="1797" max="1797" width="13.6640625" style="508" customWidth="1"/>
    <col min="1798" max="1798" width="16.109375" style="508" customWidth="1"/>
    <col min="1799" max="2048" width="9.109375" style="508"/>
    <col min="2049" max="2049" width="4.5546875" style="508" customWidth="1"/>
    <col min="2050" max="2050" width="55.44140625" style="508" customWidth="1"/>
    <col min="2051" max="2051" width="6.88671875" style="508" customWidth="1"/>
    <col min="2052" max="2052" width="8.109375" style="508" customWidth="1"/>
    <col min="2053" max="2053" width="13.6640625" style="508" customWidth="1"/>
    <col min="2054" max="2054" width="16.109375" style="508" customWidth="1"/>
    <col min="2055" max="2304" width="9.109375" style="508"/>
    <col min="2305" max="2305" width="4.5546875" style="508" customWidth="1"/>
    <col min="2306" max="2306" width="55.44140625" style="508" customWidth="1"/>
    <col min="2307" max="2307" width="6.88671875" style="508" customWidth="1"/>
    <col min="2308" max="2308" width="8.109375" style="508" customWidth="1"/>
    <col min="2309" max="2309" width="13.6640625" style="508" customWidth="1"/>
    <col min="2310" max="2310" width="16.109375" style="508" customWidth="1"/>
    <col min="2311" max="2560" width="9.109375" style="508"/>
    <col min="2561" max="2561" width="4.5546875" style="508" customWidth="1"/>
    <col min="2562" max="2562" width="55.44140625" style="508" customWidth="1"/>
    <col min="2563" max="2563" width="6.88671875" style="508" customWidth="1"/>
    <col min="2564" max="2564" width="8.109375" style="508" customWidth="1"/>
    <col min="2565" max="2565" width="13.6640625" style="508" customWidth="1"/>
    <col min="2566" max="2566" width="16.109375" style="508" customWidth="1"/>
    <col min="2567" max="2816" width="9.109375" style="508"/>
    <col min="2817" max="2817" width="4.5546875" style="508" customWidth="1"/>
    <col min="2818" max="2818" width="55.44140625" style="508" customWidth="1"/>
    <col min="2819" max="2819" width="6.88671875" style="508" customWidth="1"/>
    <col min="2820" max="2820" width="8.109375" style="508" customWidth="1"/>
    <col min="2821" max="2821" width="13.6640625" style="508" customWidth="1"/>
    <col min="2822" max="2822" width="16.109375" style="508" customWidth="1"/>
    <col min="2823" max="3072" width="9.109375" style="508"/>
    <col min="3073" max="3073" width="4.5546875" style="508" customWidth="1"/>
    <col min="3074" max="3074" width="55.44140625" style="508" customWidth="1"/>
    <col min="3075" max="3075" width="6.88671875" style="508" customWidth="1"/>
    <col min="3076" max="3076" width="8.109375" style="508" customWidth="1"/>
    <col min="3077" max="3077" width="13.6640625" style="508" customWidth="1"/>
    <col min="3078" max="3078" width="16.109375" style="508" customWidth="1"/>
    <col min="3079" max="3328" width="9.109375" style="508"/>
    <col min="3329" max="3329" width="4.5546875" style="508" customWidth="1"/>
    <col min="3330" max="3330" width="55.44140625" style="508" customWidth="1"/>
    <col min="3331" max="3331" width="6.88671875" style="508" customWidth="1"/>
    <col min="3332" max="3332" width="8.109375" style="508" customWidth="1"/>
    <col min="3333" max="3333" width="13.6640625" style="508" customWidth="1"/>
    <col min="3334" max="3334" width="16.109375" style="508" customWidth="1"/>
    <col min="3335" max="3584" width="9.109375" style="508"/>
    <col min="3585" max="3585" width="4.5546875" style="508" customWidth="1"/>
    <col min="3586" max="3586" width="55.44140625" style="508" customWidth="1"/>
    <col min="3587" max="3587" width="6.88671875" style="508" customWidth="1"/>
    <col min="3588" max="3588" width="8.109375" style="508" customWidth="1"/>
    <col min="3589" max="3589" width="13.6640625" style="508" customWidth="1"/>
    <col min="3590" max="3590" width="16.109375" style="508" customWidth="1"/>
    <col min="3591" max="3840" width="9.109375" style="508"/>
    <col min="3841" max="3841" width="4.5546875" style="508" customWidth="1"/>
    <col min="3842" max="3842" width="55.44140625" style="508" customWidth="1"/>
    <col min="3843" max="3843" width="6.88671875" style="508" customWidth="1"/>
    <col min="3844" max="3844" width="8.109375" style="508" customWidth="1"/>
    <col min="3845" max="3845" width="13.6640625" style="508" customWidth="1"/>
    <col min="3846" max="3846" width="16.109375" style="508" customWidth="1"/>
    <col min="3847" max="4096" width="9.109375" style="508"/>
    <col min="4097" max="4097" width="4.5546875" style="508" customWidth="1"/>
    <col min="4098" max="4098" width="55.44140625" style="508" customWidth="1"/>
    <col min="4099" max="4099" width="6.88671875" style="508" customWidth="1"/>
    <col min="4100" max="4100" width="8.109375" style="508" customWidth="1"/>
    <col min="4101" max="4101" width="13.6640625" style="508" customWidth="1"/>
    <col min="4102" max="4102" width="16.109375" style="508" customWidth="1"/>
    <col min="4103" max="4352" width="9.109375" style="508"/>
    <col min="4353" max="4353" width="4.5546875" style="508" customWidth="1"/>
    <col min="4354" max="4354" width="55.44140625" style="508" customWidth="1"/>
    <col min="4355" max="4355" width="6.88671875" style="508" customWidth="1"/>
    <col min="4356" max="4356" width="8.109375" style="508" customWidth="1"/>
    <col min="4357" max="4357" width="13.6640625" style="508" customWidth="1"/>
    <col min="4358" max="4358" width="16.109375" style="508" customWidth="1"/>
    <col min="4359" max="4608" width="9.109375" style="508"/>
    <col min="4609" max="4609" width="4.5546875" style="508" customWidth="1"/>
    <col min="4610" max="4610" width="55.44140625" style="508" customWidth="1"/>
    <col min="4611" max="4611" width="6.88671875" style="508" customWidth="1"/>
    <col min="4612" max="4612" width="8.109375" style="508" customWidth="1"/>
    <col min="4613" max="4613" width="13.6640625" style="508" customWidth="1"/>
    <col min="4614" max="4614" width="16.109375" style="508" customWidth="1"/>
    <col min="4615" max="4864" width="9.109375" style="508"/>
    <col min="4865" max="4865" width="4.5546875" style="508" customWidth="1"/>
    <col min="4866" max="4866" width="55.44140625" style="508" customWidth="1"/>
    <col min="4867" max="4867" width="6.88671875" style="508" customWidth="1"/>
    <col min="4868" max="4868" width="8.109375" style="508" customWidth="1"/>
    <col min="4869" max="4869" width="13.6640625" style="508" customWidth="1"/>
    <col min="4870" max="4870" width="16.109375" style="508" customWidth="1"/>
    <col min="4871" max="5120" width="9.109375" style="508"/>
    <col min="5121" max="5121" width="4.5546875" style="508" customWidth="1"/>
    <col min="5122" max="5122" width="55.44140625" style="508" customWidth="1"/>
    <col min="5123" max="5123" width="6.88671875" style="508" customWidth="1"/>
    <col min="5124" max="5124" width="8.109375" style="508" customWidth="1"/>
    <col min="5125" max="5125" width="13.6640625" style="508" customWidth="1"/>
    <col min="5126" max="5126" width="16.109375" style="508" customWidth="1"/>
    <col min="5127" max="5376" width="9.109375" style="508"/>
    <col min="5377" max="5377" width="4.5546875" style="508" customWidth="1"/>
    <col min="5378" max="5378" width="55.44140625" style="508" customWidth="1"/>
    <col min="5379" max="5379" width="6.88671875" style="508" customWidth="1"/>
    <col min="5380" max="5380" width="8.109375" style="508" customWidth="1"/>
    <col min="5381" max="5381" width="13.6640625" style="508" customWidth="1"/>
    <col min="5382" max="5382" width="16.109375" style="508" customWidth="1"/>
    <col min="5383" max="5632" width="9.109375" style="508"/>
    <col min="5633" max="5633" width="4.5546875" style="508" customWidth="1"/>
    <col min="5634" max="5634" width="55.44140625" style="508" customWidth="1"/>
    <col min="5635" max="5635" width="6.88671875" style="508" customWidth="1"/>
    <col min="5636" max="5636" width="8.109375" style="508" customWidth="1"/>
    <col min="5637" max="5637" width="13.6640625" style="508" customWidth="1"/>
    <col min="5638" max="5638" width="16.109375" style="508" customWidth="1"/>
    <col min="5639" max="5888" width="9.109375" style="508"/>
    <col min="5889" max="5889" width="4.5546875" style="508" customWidth="1"/>
    <col min="5890" max="5890" width="55.44140625" style="508" customWidth="1"/>
    <col min="5891" max="5891" width="6.88671875" style="508" customWidth="1"/>
    <col min="5892" max="5892" width="8.109375" style="508" customWidth="1"/>
    <col min="5893" max="5893" width="13.6640625" style="508" customWidth="1"/>
    <col min="5894" max="5894" width="16.109375" style="508" customWidth="1"/>
    <col min="5895" max="6144" width="9.109375" style="508"/>
    <col min="6145" max="6145" width="4.5546875" style="508" customWidth="1"/>
    <col min="6146" max="6146" width="55.44140625" style="508" customWidth="1"/>
    <col min="6147" max="6147" width="6.88671875" style="508" customWidth="1"/>
    <col min="6148" max="6148" width="8.109375" style="508" customWidth="1"/>
    <col min="6149" max="6149" width="13.6640625" style="508" customWidth="1"/>
    <col min="6150" max="6150" width="16.109375" style="508" customWidth="1"/>
    <col min="6151" max="6400" width="9.109375" style="508"/>
    <col min="6401" max="6401" width="4.5546875" style="508" customWidth="1"/>
    <col min="6402" max="6402" width="55.44140625" style="508" customWidth="1"/>
    <col min="6403" max="6403" width="6.88671875" style="508" customWidth="1"/>
    <col min="6404" max="6404" width="8.109375" style="508" customWidth="1"/>
    <col min="6405" max="6405" width="13.6640625" style="508" customWidth="1"/>
    <col min="6406" max="6406" width="16.109375" style="508" customWidth="1"/>
    <col min="6407" max="6656" width="9.109375" style="508"/>
    <col min="6657" max="6657" width="4.5546875" style="508" customWidth="1"/>
    <col min="6658" max="6658" width="55.44140625" style="508" customWidth="1"/>
    <col min="6659" max="6659" width="6.88671875" style="508" customWidth="1"/>
    <col min="6660" max="6660" width="8.109375" style="508" customWidth="1"/>
    <col min="6661" max="6661" width="13.6640625" style="508" customWidth="1"/>
    <col min="6662" max="6662" width="16.109375" style="508" customWidth="1"/>
    <col min="6663" max="6912" width="9.109375" style="508"/>
    <col min="6913" max="6913" width="4.5546875" style="508" customWidth="1"/>
    <col min="6914" max="6914" width="55.44140625" style="508" customWidth="1"/>
    <col min="6915" max="6915" width="6.88671875" style="508" customWidth="1"/>
    <col min="6916" max="6916" width="8.109375" style="508" customWidth="1"/>
    <col min="6917" max="6917" width="13.6640625" style="508" customWidth="1"/>
    <col min="6918" max="6918" width="16.109375" style="508" customWidth="1"/>
    <col min="6919" max="7168" width="9.109375" style="508"/>
    <col min="7169" max="7169" width="4.5546875" style="508" customWidth="1"/>
    <col min="7170" max="7170" width="55.44140625" style="508" customWidth="1"/>
    <col min="7171" max="7171" width="6.88671875" style="508" customWidth="1"/>
    <col min="7172" max="7172" width="8.109375" style="508" customWidth="1"/>
    <col min="7173" max="7173" width="13.6640625" style="508" customWidth="1"/>
    <col min="7174" max="7174" width="16.109375" style="508" customWidth="1"/>
    <col min="7175" max="7424" width="9.109375" style="508"/>
    <col min="7425" max="7425" width="4.5546875" style="508" customWidth="1"/>
    <col min="7426" max="7426" width="55.44140625" style="508" customWidth="1"/>
    <col min="7427" max="7427" width="6.88671875" style="508" customWidth="1"/>
    <col min="7428" max="7428" width="8.109375" style="508" customWidth="1"/>
    <col min="7429" max="7429" width="13.6640625" style="508" customWidth="1"/>
    <col min="7430" max="7430" width="16.109375" style="508" customWidth="1"/>
    <col min="7431" max="7680" width="9.109375" style="508"/>
    <col min="7681" max="7681" width="4.5546875" style="508" customWidth="1"/>
    <col min="7682" max="7682" width="55.44140625" style="508" customWidth="1"/>
    <col min="7683" max="7683" width="6.88671875" style="508" customWidth="1"/>
    <col min="7684" max="7684" width="8.109375" style="508" customWidth="1"/>
    <col min="7685" max="7685" width="13.6640625" style="508" customWidth="1"/>
    <col min="7686" max="7686" width="16.109375" style="508" customWidth="1"/>
    <col min="7687" max="7936" width="9.109375" style="508"/>
    <col min="7937" max="7937" width="4.5546875" style="508" customWidth="1"/>
    <col min="7938" max="7938" width="55.44140625" style="508" customWidth="1"/>
    <col min="7939" max="7939" width="6.88671875" style="508" customWidth="1"/>
    <col min="7940" max="7940" width="8.109375" style="508" customWidth="1"/>
    <col min="7941" max="7941" width="13.6640625" style="508" customWidth="1"/>
    <col min="7942" max="7942" width="16.109375" style="508" customWidth="1"/>
    <col min="7943" max="8192" width="9.109375" style="508"/>
    <col min="8193" max="8193" width="4.5546875" style="508" customWidth="1"/>
    <col min="8194" max="8194" width="55.44140625" style="508" customWidth="1"/>
    <col min="8195" max="8195" width="6.88671875" style="508" customWidth="1"/>
    <col min="8196" max="8196" width="8.109375" style="508" customWidth="1"/>
    <col min="8197" max="8197" width="13.6640625" style="508" customWidth="1"/>
    <col min="8198" max="8198" width="16.109375" style="508" customWidth="1"/>
    <col min="8199" max="8448" width="9.109375" style="508"/>
    <col min="8449" max="8449" width="4.5546875" style="508" customWidth="1"/>
    <col min="8450" max="8450" width="55.44140625" style="508" customWidth="1"/>
    <col min="8451" max="8451" width="6.88671875" style="508" customWidth="1"/>
    <col min="8452" max="8452" width="8.109375" style="508" customWidth="1"/>
    <col min="8453" max="8453" width="13.6640625" style="508" customWidth="1"/>
    <col min="8454" max="8454" width="16.109375" style="508" customWidth="1"/>
    <col min="8455" max="8704" width="9.109375" style="508"/>
    <col min="8705" max="8705" width="4.5546875" style="508" customWidth="1"/>
    <col min="8706" max="8706" width="55.44140625" style="508" customWidth="1"/>
    <col min="8707" max="8707" width="6.88671875" style="508" customWidth="1"/>
    <col min="8708" max="8708" width="8.109375" style="508" customWidth="1"/>
    <col min="8709" max="8709" width="13.6640625" style="508" customWidth="1"/>
    <col min="8710" max="8710" width="16.109375" style="508" customWidth="1"/>
    <col min="8711" max="8960" width="9.109375" style="508"/>
    <col min="8961" max="8961" width="4.5546875" style="508" customWidth="1"/>
    <col min="8962" max="8962" width="55.44140625" style="508" customWidth="1"/>
    <col min="8963" max="8963" width="6.88671875" style="508" customWidth="1"/>
    <col min="8964" max="8964" width="8.109375" style="508" customWidth="1"/>
    <col min="8965" max="8965" width="13.6640625" style="508" customWidth="1"/>
    <col min="8966" max="8966" width="16.109375" style="508" customWidth="1"/>
    <col min="8967" max="9216" width="9.109375" style="508"/>
    <col min="9217" max="9217" width="4.5546875" style="508" customWidth="1"/>
    <col min="9218" max="9218" width="55.44140625" style="508" customWidth="1"/>
    <col min="9219" max="9219" width="6.88671875" style="508" customWidth="1"/>
    <col min="9220" max="9220" width="8.109375" style="508" customWidth="1"/>
    <col min="9221" max="9221" width="13.6640625" style="508" customWidth="1"/>
    <col min="9222" max="9222" width="16.109375" style="508" customWidth="1"/>
    <col min="9223" max="9472" width="9.109375" style="508"/>
    <col min="9473" max="9473" width="4.5546875" style="508" customWidth="1"/>
    <col min="9474" max="9474" width="55.44140625" style="508" customWidth="1"/>
    <col min="9475" max="9475" width="6.88671875" style="508" customWidth="1"/>
    <col min="9476" max="9476" width="8.109375" style="508" customWidth="1"/>
    <col min="9477" max="9477" width="13.6640625" style="508" customWidth="1"/>
    <col min="9478" max="9478" width="16.109375" style="508" customWidth="1"/>
    <col min="9479" max="9728" width="9.109375" style="508"/>
    <col min="9729" max="9729" width="4.5546875" style="508" customWidth="1"/>
    <col min="9730" max="9730" width="55.44140625" style="508" customWidth="1"/>
    <col min="9731" max="9731" width="6.88671875" style="508" customWidth="1"/>
    <col min="9732" max="9732" width="8.109375" style="508" customWidth="1"/>
    <col min="9733" max="9733" width="13.6640625" style="508" customWidth="1"/>
    <col min="9734" max="9734" width="16.109375" style="508" customWidth="1"/>
    <col min="9735" max="9984" width="9.109375" style="508"/>
    <col min="9985" max="9985" width="4.5546875" style="508" customWidth="1"/>
    <col min="9986" max="9986" width="55.44140625" style="508" customWidth="1"/>
    <col min="9987" max="9987" width="6.88671875" style="508" customWidth="1"/>
    <col min="9988" max="9988" width="8.109375" style="508" customWidth="1"/>
    <col min="9989" max="9989" width="13.6640625" style="508" customWidth="1"/>
    <col min="9990" max="9990" width="16.109375" style="508" customWidth="1"/>
    <col min="9991" max="10240" width="9.109375" style="508"/>
    <col min="10241" max="10241" width="4.5546875" style="508" customWidth="1"/>
    <col min="10242" max="10242" width="55.44140625" style="508" customWidth="1"/>
    <col min="10243" max="10243" width="6.88671875" style="508" customWidth="1"/>
    <col min="10244" max="10244" width="8.109375" style="508" customWidth="1"/>
    <col min="10245" max="10245" width="13.6640625" style="508" customWidth="1"/>
    <col min="10246" max="10246" width="16.109375" style="508" customWidth="1"/>
    <col min="10247" max="10496" width="9.109375" style="508"/>
    <col min="10497" max="10497" width="4.5546875" style="508" customWidth="1"/>
    <col min="10498" max="10498" width="55.44140625" style="508" customWidth="1"/>
    <col min="10499" max="10499" width="6.88671875" style="508" customWidth="1"/>
    <col min="10500" max="10500" width="8.109375" style="508" customWidth="1"/>
    <col min="10501" max="10501" width="13.6640625" style="508" customWidth="1"/>
    <col min="10502" max="10502" width="16.109375" style="508" customWidth="1"/>
    <col min="10503" max="10752" width="9.109375" style="508"/>
    <col min="10753" max="10753" width="4.5546875" style="508" customWidth="1"/>
    <col min="10754" max="10754" width="55.44140625" style="508" customWidth="1"/>
    <col min="10755" max="10755" width="6.88671875" style="508" customWidth="1"/>
    <col min="10756" max="10756" width="8.109375" style="508" customWidth="1"/>
    <col min="10757" max="10757" width="13.6640625" style="508" customWidth="1"/>
    <col min="10758" max="10758" width="16.109375" style="508" customWidth="1"/>
    <col min="10759" max="11008" width="9.109375" style="508"/>
    <col min="11009" max="11009" width="4.5546875" style="508" customWidth="1"/>
    <col min="11010" max="11010" width="55.44140625" style="508" customWidth="1"/>
    <col min="11011" max="11011" width="6.88671875" style="508" customWidth="1"/>
    <col min="11012" max="11012" width="8.109375" style="508" customWidth="1"/>
    <col min="11013" max="11013" width="13.6640625" style="508" customWidth="1"/>
    <col min="11014" max="11014" width="16.109375" style="508" customWidth="1"/>
    <col min="11015" max="11264" width="9.109375" style="508"/>
    <col min="11265" max="11265" width="4.5546875" style="508" customWidth="1"/>
    <col min="11266" max="11266" width="55.44140625" style="508" customWidth="1"/>
    <col min="11267" max="11267" width="6.88671875" style="508" customWidth="1"/>
    <col min="11268" max="11268" width="8.109375" style="508" customWidth="1"/>
    <col min="11269" max="11269" width="13.6640625" style="508" customWidth="1"/>
    <col min="11270" max="11270" width="16.109375" style="508" customWidth="1"/>
    <col min="11271" max="11520" width="9.109375" style="508"/>
    <col min="11521" max="11521" width="4.5546875" style="508" customWidth="1"/>
    <col min="11522" max="11522" width="55.44140625" style="508" customWidth="1"/>
    <col min="11523" max="11523" width="6.88671875" style="508" customWidth="1"/>
    <col min="11524" max="11524" width="8.109375" style="508" customWidth="1"/>
    <col min="11525" max="11525" width="13.6640625" style="508" customWidth="1"/>
    <col min="11526" max="11526" width="16.109375" style="508" customWidth="1"/>
    <col min="11527" max="11776" width="9.109375" style="508"/>
    <col min="11777" max="11777" width="4.5546875" style="508" customWidth="1"/>
    <col min="11778" max="11778" width="55.44140625" style="508" customWidth="1"/>
    <col min="11779" max="11779" width="6.88671875" style="508" customWidth="1"/>
    <col min="11780" max="11780" width="8.109375" style="508" customWidth="1"/>
    <col min="11781" max="11781" width="13.6640625" style="508" customWidth="1"/>
    <col min="11782" max="11782" width="16.109375" style="508" customWidth="1"/>
    <col min="11783" max="12032" width="9.109375" style="508"/>
    <col min="12033" max="12033" width="4.5546875" style="508" customWidth="1"/>
    <col min="12034" max="12034" width="55.44140625" style="508" customWidth="1"/>
    <col min="12035" max="12035" width="6.88671875" style="508" customWidth="1"/>
    <col min="12036" max="12036" width="8.109375" style="508" customWidth="1"/>
    <col min="12037" max="12037" width="13.6640625" style="508" customWidth="1"/>
    <col min="12038" max="12038" width="16.109375" style="508" customWidth="1"/>
    <col min="12039" max="12288" width="9.109375" style="508"/>
    <col min="12289" max="12289" width="4.5546875" style="508" customWidth="1"/>
    <col min="12290" max="12290" width="55.44140625" style="508" customWidth="1"/>
    <col min="12291" max="12291" width="6.88671875" style="508" customWidth="1"/>
    <col min="12292" max="12292" width="8.109375" style="508" customWidth="1"/>
    <col min="12293" max="12293" width="13.6640625" style="508" customWidth="1"/>
    <col min="12294" max="12294" width="16.109375" style="508" customWidth="1"/>
    <col min="12295" max="12544" width="9.109375" style="508"/>
    <col min="12545" max="12545" width="4.5546875" style="508" customWidth="1"/>
    <col min="12546" max="12546" width="55.44140625" style="508" customWidth="1"/>
    <col min="12547" max="12547" width="6.88671875" style="508" customWidth="1"/>
    <col min="12548" max="12548" width="8.109375" style="508" customWidth="1"/>
    <col min="12549" max="12549" width="13.6640625" style="508" customWidth="1"/>
    <col min="12550" max="12550" width="16.109375" style="508" customWidth="1"/>
    <col min="12551" max="12800" width="9.109375" style="508"/>
    <col min="12801" max="12801" width="4.5546875" style="508" customWidth="1"/>
    <col min="12802" max="12802" width="55.44140625" style="508" customWidth="1"/>
    <col min="12803" max="12803" width="6.88671875" style="508" customWidth="1"/>
    <col min="12804" max="12804" width="8.109375" style="508" customWidth="1"/>
    <col min="12805" max="12805" width="13.6640625" style="508" customWidth="1"/>
    <col min="12806" max="12806" width="16.109375" style="508" customWidth="1"/>
    <col min="12807" max="13056" width="9.109375" style="508"/>
    <col min="13057" max="13057" width="4.5546875" style="508" customWidth="1"/>
    <col min="13058" max="13058" width="55.44140625" style="508" customWidth="1"/>
    <col min="13059" max="13059" width="6.88671875" style="508" customWidth="1"/>
    <col min="13060" max="13060" width="8.109375" style="508" customWidth="1"/>
    <col min="13061" max="13061" width="13.6640625" style="508" customWidth="1"/>
    <col min="13062" max="13062" width="16.109375" style="508" customWidth="1"/>
    <col min="13063" max="13312" width="9.109375" style="508"/>
    <col min="13313" max="13313" width="4.5546875" style="508" customWidth="1"/>
    <col min="13314" max="13314" width="55.44140625" style="508" customWidth="1"/>
    <col min="13315" max="13315" width="6.88671875" style="508" customWidth="1"/>
    <col min="13316" max="13316" width="8.109375" style="508" customWidth="1"/>
    <col min="13317" max="13317" width="13.6640625" style="508" customWidth="1"/>
    <col min="13318" max="13318" width="16.109375" style="508" customWidth="1"/>
    <col min="13319" max="13568" width="9.109375" style="508"/>
    <col min="13569" max="13569" width="4.5546875" style="508" customWidth="1"/>
    <col min="13570" max="13570" width="55.44140625" style="508" customWidth="1"/>
    <col min="13571" max="13571" width="6.88671875" style="508" customWidth="1"/>
    <col min="13572" max="13572" width="8.109375" style="508" customWidth="1"/>
    <col min="13573" max="13573" width="13.6640625" style="508" customWidth="1"/>
    <col min="13574" max="13574" width="16.109375" style="508" customWidth="1"/>
    <col min="13575" max="13824" width="9.109375" style="508"/>
    <col min="13825" max="13825" width="4.5546875" style="508" customWidth="1"/>
    <col min="13826" max="13826" width="55.44140625" style="508" customWidth="1"/>
    <col min="13827" max="13827" width="6.88671875" style="508" customWidth="1"/>
    <col min="13828" max="13828" width="8.109375" style="508" customWidth="1"/>
    <col min="13829" max="13829" width="13.6640625" style="508" customWidth="1"/>
    <col min="13830" max="13830" width="16.109375" style="508" customWidth="1"/>
    <col min="13831" max="14080" width="9.109375" style="508"/>
    <col min="14081" max="14081" width="4.5546875" style="508" customWidth="1"/>
    <col min="14082" max="14082" width="55.44140625" style="508" customWidth="1"/>
    <col min="14083" max="14083" width="6.88671875" style="508" customWidth="1"/>
    <col min="14084" max="14084" width="8.109375" style="508" customWidth="1"/>
    <col min="14085" max="14085" width="13.6640625" style="508" customWidth="1"/>
    <col min="14086" max="14086" width="16.109375" style="508" customWidth="1"/>
    <col min="14087" max="14336" width="9.109375" style="508"/>
    <col min="14337" max="14337" width="4.5546875" style="508" customWidth="1"/>
    <col min="14338" max="14338" width="55.44140625" style="508" customWidth="1"/>
    <col min="14339" max="14339" width="6.88671875" style="508" customWidth="1"/>
    <col min="14340" max="14340" width="8.109375" style="508" customWidth="1"/>
    <col min="14341" max="14341" width="13.6640625" style="508" customWidth="1"/>
    <col min="14342" max="14342" width="16.109375" style="508" customWidth="1"/>
    <col min="14343" max="14592" width="9.109375" style="508"/>
    <col min="14593" max="14593" width="4.5546875" style="508" customWidth="1"/>
    <col min="14594" max="14594" width="55.44140625" style="508" customWidth="1"/>
    <col min="14595" max="14595" width="6.88671875" style="508" customWidth="1"/>
    <col min="14596" max="14596" width="8.109375" style="508" customWidth="1"/>
    <col min="14597" max="14597" width="13.6640625" style="508" customWidth="1"/>
    <col min="14598" max="14598" width="16.109375" style="508" customWidth="1"/>
    <col min="14599" max="14848" width="9.109375" style="508"/>
    <col min="14849" max="14849" width="4.5546875" style="508" customWidth="1"/>
    <col min="14850" max="14850" width="55.44140625" style="508" customWidth="1"/>
    <col min="14851" max="14851" width="6.88671875" style="508" customWidth="1"/>
    <col min="14852" max="14852" width="8.109375" style="508" customWidth="1"/>
    <col min="14853" max="14853" width="13.6640625" style="508" customWidth="1"/>
    <col min="14854" max="14854" width="16.109375" style="508" customWidth="1"/>
    <col min="14855" max="15104" width="9.109375" style="508"/>
    <col min="15105" max="15105" width="4.5546875" style="508" customWidth="1"/>
    <col min="15106" max="15106" width="55.44140625" style="508" customWidth="1"/>
    <col min="15107" max="15107" width="6.88671875" style="508" customWidth="1"/>
    <col min="15108" max="15108" width="8.109375" style="508" customWidth="1"/>
    <col min="15109" max="15109" width="13.6640625" style="508" customWidth="1"/>
    <col min="15110" max="15110" width="16.109375" style="508" customWidth="1"/>
    <col min="15111" max="15360" width="9.109375" style="508"/>
    <col min="15361" max="15361" width="4.5546875" style="508" customWidth="1"/>
    <col min="15362" max="15362" width="55.44140625" style="508" customWidth="1"/>
    <col min="15363" max="15363" width="6.88671875" style="508" customWidth="1"/>
    <col min="15364" max="15364" width="8.109375" style="508" customWidth="1"/>
    <col min="15365" max="15365" width="13.6640625" style="508" customWidth="1"/>
    <col min="15366" max="15366" width="16.109375" style="508" customWidth="1"/>
    <col min="15367" max="15616" width="9.109375" style="508"/>
    <col min="15617" max="15617" width="4.5546875" style="508" customWidth="1"/>
    <col min="15618" max="15618" width="55.44140625" style="508" customWidth="1"/>
    <col min="15619" max="15619" width="6.88671875" style="508" customWidth="1"/>
    <col min="15620" max="15620" width="8.109375" style="508" customWidth="1"/>
    <col min="15621" max="15621" width="13.6640625" style="508" customWidth="1"/>
    <col min="15622" max="15622" width="16.109375" style="508" customWidth="1"/>
    <col min="15623" max="15872" width="9.109375" style="508"/>
    <col min="15873" max="15873" width="4.5546875" style="508" customWidth="1"/>
    <col min="15874" max="15874" width="55.44140625" style="508" customWidth="1"/>
    <col min="15875" max="15875" width="6.88671875" style="508" customWidth="1"/>
    <col min="15876" max="15876" width="8.109375" style="508" customWidth="1"/>
    <col min="15877" max="15877" width="13.6640625" style="508" customWidth="1"/>
    <col min="15878" max="15878" width="16.109375" style="508" customWidth="1"/>
    <col min="15879" max="16128" width="9.109375" style="508"/>
    <col min="16129" max="16129" width="4.5546875" style="508" customWidth="1"/>
    <col min="16130" max="16130" width="55.44140625" style="508" customWidth="1"/>
    <col min="16131" max="16131" width="6.88671875" style="508" customWidth="1"/>
    <col min="16132" max="16132" width="8.109375" style="508" customWidth="1"/>
    <col min="16133" max="16133" width="13.6640625" style="508" customWidth="1"/>
    <col min="16134" max="16134" width="16.109375" style="508" customWidth="1"/>
    <col min="16135" max="16384" width="9.109375" style="508"/>
  </cols>
  <sheetData>
    <row r="1" spans="2:18" s="505" customFormat="1">
      <c r="B1" s="634" t="str">
        <f>'I. PERSIAPAN'!B1</f>
        <v>PROGRESS MINGGUAN</v>
      </c>
      <c r="C1" s="632"/>
      <c r="D1" s="632"/>
      <c r="E1" s="632"/>
      <c r="F1" s="633"/>
      <c r="G1" s="632"/>
    </row>
    <row r="2" spans="2:18" s="505" customFormat="1">
      <c r="B2" s="634" t="str">
        <f>'I. PERSIAPAN'!B2</f>
        <v>PROYEK SHOWROOM &amp; WORKSHOP</v>
      </c>
      <c r="C2" s="632"/>
      <c r="D2" s="632"/>
      <c r="E2" s="632"/>
      <c r="F2" s="633"/>
      <c r="G2" s="632"/>
    </row>
    <row r="3" spans="2:18" s="505" customFormat="1">
      <c r="B3" s="634" t="str">
        <f>'I. PERSIAPAN'!B3</f>
        <v>DAIHATSU Cabang BATAM-KEPULAUAN RIAU</v>
      </c>
      <c r="C3" s="632"/>
      <c r="D3" s="632"/>
      <c r="E3" s="632"/>
      <c r="F3" s="633"/>
      <c r="G3" s="632"/>
    </row>
    <row r="4" spans="2:18" s="505" customFormat="1">
      <c r="B4" s="634" t="str">
        <f>'I. PERSIAPAN'!B4</f>
        <v xml:space="preserve">PT. ASTRA INTERNATIONAL Tbk </v>
      </c>
      <c r="C4" s="632"/>
      <c r="D4" s="632"/>
      <c r="E4" s="632"/>
      <c r="F4" s="633"/>
      <c r="G4" s="632"/>
    </row>
    <row r="5" spans="2:18" s="505" customFormat="1">
      <c r="B5" s="634" t="str">
        <f>'I. PERSIAPAN'!B5</f>
        <v>PERIODE : 6- 18 April2026</v>
      </c>
      <c r="C5" s="632"/>
      <c r="D5" s="632"/>
      <c r="E5" s="632"/>
      <c r="F5" s="633"/>
      <c r="G5" s="632"/>
    </row>
    <row r="6" spans="2:18" s="505" customFormat="1">
      <c r="B6" s="634" t="str">
        <f>'I. PERSIAPAN'!B6</f>
        <v>MINGGU KE 2 (Dua)</v>
      </c>
      <c r="C6" s="632"/>
      <c r="D6" s="632"/>
      <c r="E6" s="632"/>
      <c r="F6" s="633"/>
      <c r="G6" s="632"/>
    </row>
    <row r="7" spans="2:18" s="505" customFormat="1">
      <c r="B7" s="634"/>
      <c r="C7" s="632"/>
      <c r="D7" s="632"/>
      <c r="E7" s="632"/>
      <c r="F7" s="633"/>
      <c r="G7" s="632"/>
    </row>
    <row r="8" spans="2:18" s="505" customFormat="1" ht="13.8">
      <c r="B8" s="2169" t="s">
        <v>536</v>
      </c>
      <c r="C8" s="2171" t="s">
        <v>547</v>
      </c>
      <c r="D8" s="2171" t="s">
        <v>548</v>
      </c>
      <c r="E8" s="2171" t="s">
        <v>59</v>
      </c>
      <c r="F8" s="635" t="s">
        <v>549</v>
      </c>
      <c r="G8" s="734" t="s">
        <v>550</v>
      </c>
      <c r="H8" s="2149" t="s">
        <v>14</v>
      </c>
      <c r="I8" s="2099" t="s">
        <v>64</v>
      </c>
      <c r="J8" s="2099"/>
      <c r="K8" s="2099"/>
      <c r="L8" s="2099" t="s">
        <v>16</v>
      </c>
      <c r="M8" s="2099"/>
      <c r="N8" s="2099"/>
      <c r="O8" s="336" t="s">
        <v>65</v>
      </c>
      <c r="P8" s="336"/>
      <c r="Q8" s="735"/>
      <c r="R8" s="2167" t="s">
        <v>18</v>
      </c>
    </row>
    <row r="9" spans="2:18" s="505" customFormat="1" ht="13.8">
      <c r="B9" s="2170"/>
      <c r="C9" s="2172"/>
      <c r="D9" s="2172"/>
      <c r="E9" s="2172"/>
      <c r="F9" s="637" t="s">
        <v>551</v>
      </c>
      <c r="G9" s="736" t="s">
        <v>552</v>
      </c>
      <c r="H9" s="2160"/>
      <c r="I9" s="340" t="s">
        <v>20</v>
      </c>
      <c r="J9" s="341" t="s">
        <v>21</v>
      </c>
      <c r="K9" s="342" t="s">
        <v>14</v>
      </c>
      <c r="L9" s="340" t="s">
        <v>20</v>
      </c>
      <c r="M9" s="343" t="s">
        <v>21</v>
      </c>
      <c r="N9" s="343" t="s">
        <v>14</v>
      </c>
      <c r="O9" s="344" t="s">
        <v>20</v>
      </c>
      <c r="P9" s="340" t="s">
        <v>21</v>
      </c>
      <c r="Q9" s="737" t="s">
        <v>14</v>
      </c>
      <c r="R9" s="2168"/>
    </row>
    <row r="10" spans="2:18" s="506" customFormat="1" ht="12" customHeight="1">
      <c r="B10" s="738" t="s">
        <v>32</v>
      </c>
      <c r="C10" s="640" t="s">
        <v>553</v>
      </c>
      <c r="D10" s="641"/>
      <c r="E10" s="642"/>
      <c r="F10" s="643"/>
      <c r="G10" s="641"/>
      <c r="H10" s="645"/>
      <c r="I10" s="645"/>
      <c r="J10" s="645"/>
      <c r="K10" s="645"/>
      <c r="L10" s="645"/>
      <c r="M10" s="645"/>
      <c r="N10" s="645"/>
      <c r="O10" s="645"/>
      <c r="P10" s="645"/>
      <c r="Q10" s="739"/>
      <c r="R10" s="645"/>
    </row>
    <row r="11" spans="2:18" s="506" customFormat="1" ht="12" customHeight="1">
      <c r="B11" s="573"/>
      <c r="C11" s="567" t="s">
        <v>554</v>
      </c>
      <c r="D11" s="567"/>
      <c r="E11" s="546"/>
      <c r="F11" s="568"/>
      <c r="G11" s="567"/>
      <c r="H11" s="527"/>
      <c r="I11" s="527"/>
      <c r="J11" s="527"/>
      <c r="K11" s="527"/>
      <c r="L11" s="527"/>
      <c r="M11" s="527"/>
      <c r="N11" s="527"/>
      <c r="O11" s="527"/>
      <c r="P11" s="527"/>
      <c r="Q11" s="740"/>
      <c r="R11" s="527"/>
    </row>
    <row r="12" spans="2:18" s="506" customFormat="1" ht="12" customHeight="1">
      <c r="B12" s="573"/>
      <c r="C12" s="567" t="s">
        <v>555</v>
      </c>
      <c r="D12" s="567"/>
      <c r="E12" s="546"/>
      <c r="F12" s="568"/>
      <c r="G12" s="567"/>
      <c r="H12" s="527"/>
      <c r="I12" s="527"/>
      <c r="J12" s="527"/>
      <c r="K12" s="527"/>
      <c r="L12" s="527"/>
      <c r="M12" s="527"/>
      <c r="N12" s="527"/>
      <c r="O12" s="527"/>
      <c r="P12" s="527"/>
      <c r="Q12" s="740"/>
      <c r="R12" s="527"/>
    </row>
    <row r="13" spans="2:18" s="506" customFormat="1" ht="12" customHeight="1">
      <c r="B13" s="573"/>
      <c r="C13" s="567" t="s">
        <v>556</v>
      </c>
      <c r="D13" s="567"/>
      <c r="E13" s="546"/>
      <c r="F13" s="568"/>
      <c r="G13" s="567"/>
      <c r="H13" s="527"/>
      <c r="I13" s="527"/>
      <c r="J13" s="527"/>
      <c r="K13" s="527"/>
      <c r="L13" s="527"/>
      <c r="M13" s="527"/>
      <c r="N13" s="527"/>
      <c r="O13" s="527"/>
      <c r="P13" s="527"/>
      <c r="Q13" s="740"/>
      <c r="R13" s="527"/>
    </row>
    <row r="14" spans="2:18" s="506" customFormat="1" ht="12" customHeight="1">
      <c r="B14" s="573"/>
      <c r="C14" s="567"/>
      <c r="D14" s="567"/>
      <c r="E14" s="546"/>
      <c r="F14" s="568"/>
      <c r="G14" s="567"/>
      <c r="H14" s="527"/>
      <c r="I14" s="527"/>
      <c r="J14" s="527"/>
      <c r="K14" s="527"/>
      <c r="L14" s="527"/>
      <c r="M14" s="527"/>
      <c r="N14" s="527"/>
      <c r="O14" s="527"/>
      <c r="P14" s="527"/>
      <c r="Q14" s="740"/>
      <c r="R14" s="527"/>
    </row>
    <row r="15" spans="2:18" s="506" customFormat="1" ht="12" customHeight="1">
      <c r="B15" s="582">
        <v>1</v>
      </c>
      <c r="C15" s="563" t="s">
        <v>557</v>
      </c>
      <c r="D15" s="567"/>
      <c r="E15" s="546"/>
      <c r="F15" s="568"/>
      <c r="G15" s="567"/>
      <c r="H15" s="527"/>
      <c r="I15" s="527"/>
      <c r="J15" s="527"/>
      <c r="K15" s="527"/>
      <c r="L15" s="527"/>
      <c r="M15" s="527"/>
      <c r="N15" s="527"/>
      <c r="O15" s="527"/>
      <c r="P15" s="527"/>
      <c r="Q15" s="740"/>
      <c r="R15" s="527"/>
    </row>
    <row r="16" spans="2:18" s="627" customFormat="1" ht="13.8">
      <c r="B16" s="562" t="s">
        <v>185</v>
      </c>
      <c r="C16" s="563" t="s">
        <v>558</v>
      </c>
      <c r="D16" s="741" t="s">
        <v>70</v>
      </c>
      <c r="E16" s="741">
        <v>1</v>
      </c>
      <c r="F16" s="742">
        <v>176649000</v>
      </c>
      <c r="G16" s="743">
        <f>E16*F16</f>
        <v>176649000</v>
      </c>
      <c r="H16" s="744">
        <f>G16/'REKAP TOTAL'!F44</f>
        <v>1.4528142005544316E-2</v>
      </c>
      <c r="I16" s="745">
        <f>SUM(G17:G46)</f>
        <v>0</v>
      </c>
      <c r="J16" s="657"/>
      <c r="K16" s="657"/>
      <c r="L16" s="657"/>
      <c r="M16" s="657"/>
      <c r="N16" s="657"/>
      <c r="O16" s="657"/>
      <c r="P16" s="657"/>
      <c r="Q16" s="746"/>
      <c r="R16" s="657"/>
    </row>
    <row r="17" spans="2:18" s="507" customFormat="1" ht="15" customHeight="1">
      <c r="B17" s="579" t="s">
        <v>559</v>
      </c>
      <c r="C17" s="567" t="s">
        <v>560</v>
      </c>
      <c r="D17" s="546"/>
      <c r="E17" s="546"/>
      <c r="F17" s="747"/>
      <c r="G17" s="748"/>
      <c r="H17" s="527"/>
      <c r="I17" s="527"/>
      <c r="J17" s="605"/>
      <c r="K17" s="605"/>
      <c r="L17" s="605"/>
      <c r="M17" s="605"/>
      <c r="N17" s="605"/>
      <c r="O17" s="605"/>
      <c r="P17" s="605"/>
      <c r="Q17" s="749"/>
      <c r="R17" s="605"/>
    </row>
    <row r="18" spans="2:18" s="507" customFormat="1" ht="15" customHeight="1">
      <c r="B18" s="579"/>
      <c r="C18" s="567" t="s">
        <v>561</v>
      </c>
      <c r="D18" s="546"/>
      <c r="E18" s="546"/>
      <c r="F18" s="747"/>
      <c r="G18" s="748"/>
      <c r="H18" s="605"/>
      <c r="I18" s="605"/>
      <c r="J18" s="605"/>
      <c r="K18" s="605"/>
      <c r="L18" s="605"/>
      <c r="M18" s="605"/>
      <c r="N18" s="605"/>
      <c r="O18" s="605"/>
      <c r="P18" s="605"/>
      <c r="Q18" s="749"/>
      <c r="R18" s="605"/>
    </row>
    <row r="19" spans="2:18" s="507" customFormat="1" ht="15" customHeight="1">
      <c r="B19" s="579"/>
      <c r="C19" s="567" t="s">
        <v>562</v>
      </c>
      <c r="D19" s="546"/>
      <c r="E19" s="546"/>
      <c r="F19" s="747"/>
      <c r="G19" s="748"/>
      <c r="H19" s="605"/>
      <c r="I19" s="605"/>
      <c r="J19" s="605"/>
      <c r="K19" s="605"/>
      <c r="L19" s="605"/>
      <c r="M19" s="605"/>
      <c r="N19" s="605"/>
      <c r="O19" s="605"/>
      <c r="P19" s="605"/>
      <c r="Q19" s="749"/>
      <c r="R19" s="605"/>
    </row>
    <row r="20" spans="2:18" s="507" customFormat="1" ht="15" customHeight="1">
      <c r="B20" s="579" t="s">
        <v>563</v>
      </c>
      <c r="C20" s="567" t="s">
        <v>564</v>
      </c>
      <c r="D20" s="546"/>
      <c r="E20" s="546"/>
      <c r="F20" s="747"/>
      <c r="G20" s="748"/>
      <c r="H20" s="605"/>
      <c r="I20" s="605"/>
      <c r="J20" s="605"/>
      <c r="K20" s="605"/>
      <c r="L20" s="605"/>
      <c r="M20" s="605"/>
      <c r="N20" s="605"/>
      <c r="O20" s="605"/>
      <c r="P20" s="605"/>
      <c r="Q20" s="749"/>
      <c r="R20" s="605"/>
    </row>
    <row r="21" spans="2:18" s="507" customFormat="1" ht="15" customHeight="1">
      <c r="B21" s="579"/>
      <c r="C21" s="567" t="s">
        <v>565</v>
      </c>
      <c r="D21" s="546"/>
      <c r="E21" s="546"/>
      <c r="F21" s="747"/>
      <c r="G21" s="748"/>
      <c r="H21" s="605"/>
      <c r="I21" s="605"/>
      <c r="J21" s="605"/>
      <c r="K21" s="605"/>
      <c r="L21" s="605"/>
      <c r="M21" s="605"/>
      <c r="N21" s="605"/>
      <c r="O21" s="605"/>
      <c r="P21" s="605"/>
      <c r="Q21" s="749"/>
      <c r="R21" s="605"/>
    </row>
    <row r="22" spans="2:18" s="507" customFormat="1" ht="15" customHeight="1">
      <c r="B22" s="579"/>
      <c r="C22" s="567" t="s">
        <v>566</v>
      </c>
      <c r="D22" s="546"/>
      <c r="E22" s="546"/>
      <c r="F22" s="747"/>
      <c r="G22" s="748"/>
      <c r="H22" s="605"/>
      <c r="I22" s="605"/>
      <c r="J22" s="605"/>
      <c r="K22" s="605"/>
      <c r="L22" s="605"/>
      <c r="M22" s="605"/>
      <c r="N22" s="605"/>
      <c r="O22" s="605"/>
      <c r="P22" s="605"/>
      <c r="Q22" s="749"/>
      <c r="R22" s="605"/>
    </row>
    <row r="23" spans="2:18" s="507" customFormat="1" ht="15" customHeight="1">
      <c r="B23" s="579"/>
      <c r="C23" s="567" t="s">
        <v>567</v>
      </c>
      <c r="D23" s="546"/>
      <c r="E23" s="546"/>
      <c r="F23" s="747"/>
      <c r="G23" s="748"/>
      <c r="H23" s="605"/>
      <c r="I23" s="605"/>
      <c r="J23" s="605"/>
      <c r="K23" s="605"/>
      <c r="L23" s="605"/>
      <c r="M23" s="605"/>
      <c r="N23" s="605"/>
      <c r="O23" s="605"/>
      <c r="P23" s="605"/>
      <c r="Q23" s="749"/>
      <c r="R23" s="605"/>
    </row>
    <row r="24" spans="2:18" s="507" customFormat="1" ht="15" customHeight="1">
      <c r="B24" s="579" t="s">
        <v>568</v>
      </c>
      <c r="C24" s="567" t="s">
        <v>569</v>
      </c>
      <c r="D24" s="546"/>
      <c r="E24" s="546"/>
      <c r="F24" s="747"/>
      <c r="G24" s="748"/>
      <c r="H24" s="605"/>
      <c r="I24" s="605"/>
      <c r="J24" s="605"/>
      <c r="K24" s="605"/>
      <c r="L24" s="605"/>
      <c r="M24" s="605"/>
      <c r="N24" s="605"/>
      <c r="O24" s="605"/>
      <c r="P24" s="605"/>
      <c r="Q24" s="749"/>
      <c r="R24" s="605"/>
    </row>
    <row r="25" spans="2:18" s="507" customFormat="1" ht="15" customHeight="1">
      <c r="B25" s="579"/>
      <c r="C25" s="567" t="s">
        <v>570</v>
      </c>
      <c r="D25" s="546"/>
      <c r="E25" s="546"/>
      <c r="F25" s="747"/>
      <c r="G25" s="748"/>
      <c r="H25" s="605"/>
      <c r="I25" s="605"/>
      <c r="J25" s="605"/>
      <c r="K25" s="605"/>
      <c r="L25" s="605"/>
      <c r="M25" s="605"/>
      <c r="N25" s="605"/>
      <c r="O25" s="605"/>
      <c r="P25" s="605"/>
      <c r="Q25" s="749"/>
      <c r="R25" s="605"/>
    </row>
    <row r="26" spans="2:18" s="507" customFormat="1" ht="15" customHeight="1">
      <c r="B26" s="579"/>
      <c r="C26" s="567" t="s">
        <v>571</v>
      </c>
      <c r="D26" s="546"/>
      <c r="E26" s="546"/>
      <c r="F26" s="747"/>
      <c r="G26" s="748"/>
      <c r="H26" s="605"/>
      <c r="I26" s="605"/>
      <c r="J26" s="605"/>
      <c r="K26" s="605"/>
      <c r="L26" s="605"/>
      <c r="M26" s="605"/>
      <c r="N26" s="605"/>
      <c r="O26" s="605"/>
      <c r="P26" s="605"/>
      <c r="Q26" s="749"/>
      <c r="R26" s="605"/>
    </row>
    <row r="27" spans="2:18" s="507" customFormat="1" ht="15" customHeight="1">
      <c r="B27" s="579"/>
      <c r="C27" s="567" t="s">
        <v>572</v>
      </c>
      <c r="D27" s="546"/>
      <c r="E27" s="546"/>
      <c r="F27" s="747"/>
      <c r="G27" s="748"/>
      <c r="H27" s="605"/>
      <c r="I27" s="605"/>
      <c r="J27" s="605"/>
      <c r="K27" s="605"/>
      <c r="L27" s="605"/>
      <c r="M27" s="605"/>
      <c r="N27" s="605"/>
      <c r="O27" s="605"/>
      <c r="P27" s="605"/>
      <c r="Q27" s="749"/>
      <c r="R27" s="605"/>
    </row>
    <row r="28" spans="2:18" s="507" customFormat="1" ht="15" customHeight="1">
      <c r="B28" s="579" t="s">
        <v>573</v>
      </c>
      <c r="C28" s="567" t="s">
        <v>574</v>
      </c>
      <c r="D28" s="546"/>
      <c r="E28" s="546"/>
      <c r="F28" s="747"/>
      <c r="G28" s="748"/>
      <c r="H28" s="605"/>
      <c r="I28" s="605"/>
      <c r="J28" s="605"/>
      <c r="K28" s="605"/>
      <c r="L28" s="605"/>
      <c r="M28" s="605"/>
      <c r="N28" s="605"/>
      <c r="O28" s="605"/>
      <c r="P28" s="605"/>
      <c r="Q28" s="749"/>
      <c r="R28" s="605"/>
    </row>
    <row r="29" spans="2:18" s="507" customFormat="1" ht="15" customHeight="1">
      <c r="B29" s="579"/>
      <c r="C29" s="567" t="s">
        <v>570</v>
      </c>
      <c r="D29" s="546"/>
      <c r="E29" s="546"/>
      <c r="F29" s="747"/>
      <c r="G29" s="748"/>
      <c r="H29" s="605"/>
      <c r="I29" s="605"/>
      <c r="J29" s="605"/>
      <c r="K29" s="605"/>
      <c r="L29" s="605"/>
      <c r="M29" s="605"/>
      <c r="N29" s="605"/>
      <c r="O29" s="605"/>
      <c r="P29" s="605"/>
      <c r="Q29" s="749"/>
      <c r="R29" s="605"/>
    </row>
    <row r="30" spans="2:18" s="507" customFormat="1" ht="15" customHeight="1">
      <c r="B30" s="579"/>
      <c r="C30" s="567" t="s">
        <v>571</v>
      </c>
      <c r="D30" s="546"/>
      <c r="E30" s="546"/>
      <c r="F30" s="747"/>
      <c r="G30" s="748"/>
      <c r="H30" s="605"/>
      <c r="I30" s="605"/>
      <c r="J30" s="605"/>
      <c r="K30" s="605"/>
      <c r="L30" s="605"/>
      <c r="M30" s="605"/>
      <c r="N30" s="605"/>
      <c r="O30" s="605"/>
      <c r="P30" s="605"/>
      <c r="Q30" s="749"/>
      <c r="R30" s="605"/>
    </row>
    <row r="31" spans="2:18" s="507" customFormat="1" ht="15" customHeight="1">
      <c r="B31" s="579"/>
      <c r="C31" s="567" t="s">
        <v>572</v>
      </c>
      <c r="D31" s="546"/>
      <c r="E31" s="546"/>
      <c r="F31" s="747"/>
      <c r="G31" s="748"/>
      <c r="H31" s="605"/>
      <c r="I31" s="605"/>
      <c r="J31" s="605"/>
      <c r="K31" s="605"/>
      <c r="L31" s="605"/>
      <c r="M31" s="605"/>
      <c r="N31" s="605"/>
      <c r="O31" s="605"/>
      <c r="P31" s="605"/>
      <c r="Q31" s="749"/>
      <c r="R31" s="605"/>
    </row>
    <row r="32" spans="2:18" s="507" customFormat="1" ht="15" customHeight="1">
      <c r="B32" s="579" t="s">
        <v>575</v>
      </c>
      <c r="C32" s="567" t="s">
        <v>576</v>
      </c>
      <c r="D32" s="546"/>
      <c r="E32" s="546"/>
      <c r="F32" s="747"/>
      <c r="G32" s="748"/>
      <c r="H32" s="605"/>
      <c r="I32" s="605"/>
      <c r="J32" s="605"/>
      <c r="K32" s="605"/>
      <c r="L32" s="605"/>
      <c r="M32" s="605"/>
      <c r="N32" s="605"/>
      <c r="O32" s="605"/>
      <c r="P32" s="605"/>
      <c r="Q32" s="749"/>
      <c r="R32" s="605"/>
    </row>
    <row r="33" spans="2:18" s="507" customFormat="1" ht="15" customHeight="1">
      <c r="B33" s="579"/>
      <c r="C33" s="567" t="s">
        <v>577</v>
      </c>
      <c r="D33" s="546"/>
      <c r="E33" s="546"/>
      <c r="F33" s="747"/>
      <c r="G33" s="748"/>
      <c r="H33" s="605"/>
      <c r="I33" s="605"/>
      <c r="J33" s="605"/>
      <c r="K33" s="605"/>
      <c r="L33" s="605"/>
      <c r="M33" s="605"/>
      <c r="N33" s="605"/>
      <c r="O33" s="605"/>
      <c r="P33" s="605"/>
      <c r="Q33" s="749"/>
      <c r="R33" s="605"/>
    </row>
    <row r="34" spans="2:18" s="507" customFormat="1" ht="15" customHeight="1">
      <c r="B34" s="579"/>
      <c r="C34" s="567" t="s">
        <v>578</v>
      </c>
      <c r="D34" s="546"/>
      <c r="E34" s="546"/>
      <c r="F34" s="747"/>
      <c r="G34" s="748"/>
      <c r="H34" s="605"/>
      <c r="I34" s="605"/>
      <c r="J34" s="605"/>
      <c r="K34" s="605"/>
      <c r="L34" s="605"/>
      <c r="M34" s="605"/>
      <c r="N34" s="605"/>
      <c r="O34" s="605"/>
      <c r="P34" s="605"/>
      <c r="Q34" s="749"/>
      <c r="R34" s="605"/>
    </row>
    <row r="35" spans="2:18" s="507" customFormat="1" ht="15" customHeight="1">
      <c r="B35" s="579"/>
      <c r="C35" s="567" t="s">
        <v>579</v>
      </c>
      <c r="D35" s="546"/>
      <c r="E35" s="546"/>
      <c r="F35" s="747"/>
      <c r="G35" s="748"/>
      <c r="H35" s="605"/>
      <c r="I35" s="605"/>
      <c r="J35" s="605"/>
      <c r="K35" s="605"/>
      <c r="L35" s="605"/>
      <c r="M35" s="605"/>
      <c r="N35" s="605"/>
      <c r="O35" s="605"/>
      <c r="P35" s="605"/>
      <c r="Q35" s="749"/>
      <c r="R35" s="605"/>
    </row>
    <row r="36" spans="2:18" s="507" customFormat="1" ht="15" customHeight="1">
      <c r="B36" s="579" t="s">
        <v>580</v>
      </c>
      <c r="C36" s="567" t="s">
        <v>581</v>
      </c>
      <c r="D36" s="546"/>
      <c r="E36" s="546"/>
      <c r="F36" s="747"/>
      <c r="G36" s="748"/>
      <c r="H36" s="605"/>
      <c r="I36" s="605"/>
      <c r="J36" s="605"/>
      <c r="K36" s="605"/>
      <c r="L36" s="605"/>
      <c r="M36" s="605"/>
      <c r="N36" s="605"/>
      <c r="O36" s="605"/>
      <c r="P36" s="605"/>
      <c r="Q36" s="749"/>
      <c r="R36" s="605"/>
    </row>
    <row r="37" spans="2:18" s="507" customFormat="1" ht="15" customHeight="1">
      <c r="B37" s="579"/>
      <c r="C37" s="567" t="s">
        <v>582</v>
      </c>
      <c r="D37" s="546"/>
      <c r="E37" s="546"/>
      <c r="F37" s="747"/>
      <c r="G37" s="748"/>
      <c r="H37" s="605"/>
      <c r="I37" s="605"/>
      <c r="J37" s="605"/>
      <c r="K37" s="605"/>
      <c r="L37" s="605"/>
      <c r="M37" s="605"/>
      <c r="N37" s="605"/>
      <c r="O37" s="605"/>
      <c r="P37" s="605"/>
      <c r="Q37" s="749"/>
      <c r="R37" s="605"/>
    </row>
    <row r="38" spans="2:18" s="507" customFormat="1" ht="15" customHeight="1">
      <c r="B38" s="579"/>
      <c r="C38" s="567" t="s">
        <v>583</v>
      </c>
      <c r="D38" s="546"/>
      <c r="E38" s="546"/>
      <c r="F38" s="747"/>
      <c r="G38" s="748"/>
      <c r="H38" s="605"/>
      <c r="I38" s="605"/>
      <c r="J38" s="605"/>
      <c r="K38" s="605"/>
      <c r="L38" s="605"/>
      <c r="M38" s="605"/>
      <c r="N38" s="605"/>
      <c r="O38" s="605"/>
      <c r="P38" s="605"/>
      <c r="Q38" s="749"/>
      <c r="R38" s="605"/>
    </row>
    <row r="39" spans="2:18" s="507" customFormat="1" ht="15" customHeight="1">
      <c r="B39" s="579" t="s">
        <v>584</v>
      </c>
      <c r="C39" s="567" t="s">
        <v>585</v>
      </c>
      <c r="D39" s="546"/>
      <c r="E39" s="546"/>
      <c r="F39" s="747"/>
      <c r="G39" s="748"/>
      <c r="H39" s="605"/>
      <c r="I39" s="605"/>
      <c r="J39" s="605"/>
      <c r="K39" s="605"/>
      <c r="L39" s="605"/>
      <c r="M39" s="605"/>
      <c r="N39" s="605"/>
      <c r="O39" s="605"/>
      <c r="P39" s="605"/>
      <c r="Q39" s="749"/>
      <c r="R39" s="605"/>
    </row>
    <row r="40" spans="2:18" s="507" customFormat="1" ht="15" customHeight="1">
      <c r="B40" s="579"/>
      <c r="C40" s="567" t="s">
        <v>586</v>
      </c>
      <c r="D40" s="546"/>
      <c r="E40" s="546"/>
      <c r="F40" s="747"/>
      <c r="G40" s="748"/>
      <c r="H40" s="605"/>
      <c r="I40" s="605"/>
      <c r="J40" s="605"/>
      <c r="K40" s="605"/>
      <c r="L40" s="605"/>
      <c r="M40" s="605"/>
      <c r="N40" s="605"/>
      <c r="O40" s="605"/>
      <c r="P40" s="605"/>
      <c r="Q40" s="749"/>
      <c r="R40" s="605"/>
    </row>
    <row r="41" spans="2:18" s="507" customFormat="1" ht="15" customHeight="1">
      <c r="B41" s="579" t="s">
        <v>587</v>
      </c>
      <c r="C41" s="567" t="s">
        <v>588</v>
      </c>
      <c r="D41" s="546"/>
      <c r="E41" s="546"/>
      <c r="F41" s="747"/>
      <c r="G41" s="748"/>
      <c r="H41" s="605"/>
      <c r="I41" s="605"/>
      <c r="J41" s="605"/>
      <c r="K41" s="605"/>
      <c r="L41" s="605"/>
      <c r="M41" s="605"/>
      <c r="N41" s="605"/>
      <c r="O41" s="605"/>
      <c r="P41" s="605"/>
      <c r="Q41" s="749"/>
      <c r="R41" s="605"/>
    </row>
    <row r="42" spans="2:18" s="507" customFormat="1" ht="15" customHeight="1">
      <c r="B42" s="579"/>
      <c r="C42" s="567" t="s">
        <v>589</v>
      </c>
      <c r="D42" s="546"/>
      <c r="E42" s="546"/>
      <c r="F42" s="747"/>
      <c r="G42" s="748"/>
      <c r="H42" s="605"/>
      <c r="I42" s="605"/>
      <c r="J42" s="605"/>
      <c r="K42" s="605"/>
      <c r="L42" s="605"/>
      <c r="M42" s="605"/>
      <c r="N42" s="605"/>
      <c r="O42" s="605"/>
      <c r="P42" s="605"/>
      <c r="Q42" s="749"/>
      <c r="R42" s="605"/>
    </row>
    <row r="43" spans="2:18" s="507" customFormat="1" ht="15" customHeight="1">
      <c r="B43" s="579"/>
      <c r="C43" s="567" t="s">
        <v>590</v>
      </c>
      <c r="D43" s="546"/>
      <c r="E43" s="546"/>
      <c r="F43" s="747"/>
      <c r="G43" s="748"/>
      <c r="H43" s="605"/>
      <c r="I43" s="605"/>
      <c r="J43" s="605"/>
      <c r="K43" s="605"/>
      <c r="L43" s="605"/>
      <c r="M43" s="605"/>
      <c r="N43" s="605"/>
      <c r="O43" s="605"/>
      <c r="P43" s="605"/>
      <c r="Q43" s="749"/>
      <c r="R43" s="605"/>
    </row>
    <row r="44" spans="2:18" s="507" customFormat="1" ht="15" customHeight="1">
      <c r="B44" s="579" t="s">
        <v>591</v>
      </c>
      <c r="C44" s="567" t="s">
        <v>592</v>
      </c>
      <c r="D44" s="546"/>
      <c r="E44" s="546"/>
      <c r="F44" s="747"/>
      <c r="G44" s="748"/>
      <c r="H44" s="605"/>
      <c r="I44" s="605"/>
      <c r="J44" s="605"/>
      <c r="K44" s="605"/>
      <c r="L44" s="605"/>
      <c r="M44" s="605"/>
      <c r="N44" s="605"/>
      <c r="O44" s="605"/>
      <c r="P44" s="605"/>
      <c r="Q44" s="749"/>
      <c r="R44" s="605"/>
    </row>
    <row r="45" spans="2:18" s="507" customFormat="1" ht="15" customHeight="1">
      <c r="B45" s="579" t="s">
        <v>593</v>
      </c>
      <c r="C45" s="567" t="s">
        <v>594</v>
      </c>
      <c r="D45" s="546"/>
      <c r="E45" s="546"/>
      <c r="F45" s="747"/>
      <c r="G45" s="748"/>
      <c r="H45" s="605"/>
      <c r="I45" s="605"/>
      <c r="J45" s="605"/>
      <c r="K45" s="605"/>
      <c r="L45" s="605"/>
      <c r="M45" s="605"/>
      <c r="N45" s="605"/>
      <c r="O45" s="605"/>
      <c r="P45" s="605"/>
      <c r="Q45" s="749"/>
      <c r="R45" s="605"/>
    </row>
    <row r="46" spans="2:18" s="507" customFormat="1" ht="15" customHeight="1">
      <c r="B46" s="579" t="s">
        <v>595</v>
      </c>
      <c r="C46" s="567" t="s">
        <v>596</v>
      </c>
      <c r="D46" s="546"/>
      <c r="E46" s="546"/>
      <c r="F46" s="747"/>
      <c r="G46" s="748"/>
      <c r="H46" s="605"/>
      <c r="I46" s="605"/>
      <c r="J46" s="605"/>
      <c r="K46" s="605"/>
      <c r="L46" s="605"/>
      <c r="M46" s="605"/>
      <c r="N46" s="605"/>
      <c r="O46" s="605"/>
      <c r="P46" s="605"/>
      <c r="Q46" s="749"/>
      <c r="R46" s="605"/>
    </row>
    <row r="47" spans="2:18" s="507" customFormat="1" ht="15" customHeight="1">
      <c r="B47" s="579"/>
      <c r="C47" s="567"/>
      <c r="D47" s="546"/>
      <c r="E47" s="546"/>
      <c r="F47" s="665"/>
      <c r="G47" s="750"/>
      <c r="H47" s="605"/>
      <c r="I47" s="605"/>
      <c r="J47" s="605"/>
      <c r="K47" s="605"/>
      <c r="L47" s="605"/>
      <c r="M47" s="605"/>
      <c r="N47" s="605"/>
      <c r="O47" s="605"/>
      <c r="P47" s="605"/>
      <c r="Q47" s="749"/>
      <c r="R47" s="605"/>
    </row>
    <row r="48" spans="2:18" s="507" customFormat="1" ht="15" customHeight="1">
      <c r="B48" s="562" t="s">
        <v>188</v>
      </c>
      <c r="C48" s="563" t="s">
        <v>597</v>
      </c>
      <c r="D48" s="546" t="s">
        <v>135</v>
      </c>
      <c r="E48" s="546">
        <v>1</v>
      </c>
      <c r="F48" s="665" t="s">
        <v>598</v>
      </c>
      <c r="G48" s="750" t="s">
        <v>599</v>
      </c>
      <c r="H48" s="605"/>
      <c r="I48" s="605"/>
      <c r="J48" s="605"/>
      <c r="K48" s="605"/>
      <c r="L48" s="605"/>
      <c r="M48" s="605"/>
      <c r="N48" s="605"/>
      <c r="O48" s="605"/>
      <c r="P48" s="605"/>
      <c r="Q48" s="749"/>
      <c r="R48" s="605"/>
    </row>
    <row r="49" spans="2:18" s="507" customFormat="1" ht="15" customHeight="1">
      <c r="B49" s="578"/>
      <c r="C49" s="563"/>
      <c r="D49" s="546"/>
      <c r="E49" s="546"/>
      <c r="F49" s="568"/>
      <c r="G49" s="566"/>
      <c r="H49" s="605"/>
      <c r="I49" s="605"/>
      <c r="J49" s="605"/>
      <c r="K49" s="605"/>
      <c r="L49" s="605"/>
      <c r="M49" s="605"/>
      <c r="N49" s="605"/>
      <c r="O49" s="605"/>
      <c r="P49" s="605"/>
      <c r="Q49" s="749"/>
      <c r="R49" s="605"/>
    </row>
    <row r="50" spans="2:18" s="507" customFormat="1" ht="15" customHeight="1">
      <c r="B50" s="562" t="s">
        <v>195</v>
      </c>
      <c r="C50" s="563" t="s">
        <v>600</v>
      </c>
      <c r="D50" s="546" t="s">
        <v>135</v>
      </c>
      <c r="E50" s="546">
        <v>1</v>
      </c>
      <c r="F50" s="665"/>
      <c r="G50" s="750" t="s">
        <v>599</v>
      </c>
      <c r="H50" s="605"/>
      <c r="I50" s="605"/>
      <c r="J50" s="605"/>
      <c r="K50" s="605"/>
      <c r="L50" s="605"/>
      <c r="M50" s="605"/>
      <c r="N50" s="605"/>
      <c r="O50" s="605"/>
      <c r="P50" s="605"/>
      <c r="Q50" s="749"/>
      <c r="R50" s="605"/>
    </row>
    <row r="51" spans="2:18" s="506" customFormat="1">
      <c r="B51" s="573"/>
      <c r="C51" s="545"/>
      <c r="D51" s="546"/>
      <c r="E51" s="546"/>
      <c r="F51" s="751"/>
      <c r="G51" s="752"/>
      <c r="H51" s="527"/>
      <c r="I51" s="527"/>
      <c r="J51" s="527"/>
      <c r="K51" s="527"/>
      <c r="L51" s="527"/>
      <c r="M51" s="527"/>
      <c r="N51" s="527"/>
      <c r="O51" s="527"/>
      <c r="P51" s="527"/>
      <c r="Q51" s="740"/>
      <c r="R51" s="527"/>
    </row>
    <row r="52" spans="2:18" s="506" customFormat="1">
      <c r="B52" s="753" t="s">
        <v>34</v>
      </c>
      <c r="C52" s="754" t="s">
        <v>601</v>
      </c>
      <c r="D52" s="755"/>
      <c r="E52" s="714"/>
      <c r="F52" s="756"/>
      <c r="G52" s="757"/>
      <c r="H52" s="527"/>
      <c r="I52" s="527"/>
      <c r="J52" s="527"/>
      <c r="K52" s="527"/>
      <c r="L52" s="527"/>
      <c r="M52" s="527"/>
      <c r="N52" s="527"/>
      <c r="O52" s="527"/>
      <c r="P52" s="527"/>
      <c r="Q52" s="740"/>
      <c r="R52" s="527"/>
    </row>
    <row r="53" spans="2:18" s="506" customFormat="1">
      <c r="B53" s="562">
        <v>1</v>
      </c>
      <c r="C53" s="597" t="s">
        <v>602</v>
      </c>
      <c r="D53" s="566"/>
      <c r="E53" s="567"/>
      <c r="F53" s="598"/>
      <c r="G53" s="758"/>
      <c r="H53" s="527"/>
      <c r="I53" s="527"/>
      <c r="J53" s="527"/>
      <c r="K53" s="527"/>
      <c r="L53" s="527"/>
      <c r="M53" s="527"/>
      <c r="N53" s="527"/>
      <c r="O53" s="527"/>
      <c r="P53" s="527"/>
      <c r="Q53" s="740"/>
      <c r="R53" s="527"/>
    </row>
    <row r="54" spans="2:18" s="627" customFormat="1" ht="13.8">
      <c r="B54" s="2048" t="s">
        <v>603</v>
      </c>
      <c r="C54" s="759" t="s">
        <v>604</v>
      </c>
      <c r="D54" s="602" t="s">
        <v>135</v>
      </c>
      <c r="E54" s="602">
        <v>3</v>
      </c>
      <c r="F54" s="760">
        <v>8451004.6438171193</v>
      </c>
      <c r="G54" s="761">
        <f>E54*F54</f>
        <v>25353013.931451399</v>
      </c>
      <c r="H54" s="744">
        <f>G54/'REKAP TOTAL'!F44</f>
        <v>2.0851076805680716E-3</v>
      </c>
      <c r="I54" s="657"/>
      <c r="J54" s="657"/>
      <c r="K54" s="657"/>
      <c r="L54" s="657"/>
      <c r="M54" s="657"/>
      <c r="N54" s="657"/>
      <c r="O54" s="657"/>
      <c r="P54" s="657"/>
      <c r="Q54" s="746"/>
      <c r="R54" s="657"/>
    </row>
    <row r="55" spans="2:18" s="506" customFormat="1">
      <c r="B55" s="600"/>
      <c r="C55" s="762" t="s">
        <v>605</v>
      </c>
      <c r="D55" s="602"/>
      <c r="E55" s="602"/>
      <c r="F55" s="760"/>
      <c r="G55" s="761"/>
      <c r="H55" s="527"/>
      <c r="I55" s="527"/>
      <c r="J55" s="527"/>
      <c r="K55" s="527"/>
      <c r="L55" s="527"/>
      <c r="M55" s="527"/>
      <c r="N55" s="527"/>
      <c r="O55" s="527"/>
      <c r="P55" s="527"/>
      <c r="Q55" s="740"/>
      <c r="R55" s="527"/>
    </row>
    <row r="56" spans="2:18" s="506" customFormat="1">
      <c r="B56" s="600"/>
      <c r="C56" s="762" t="s">
        <v>606</v>
      </c>
      <c r="D56" s="602"/>
      <c r="E56" s="602"/>
      <c r="F56" s="760"/>
      <c r="G56" s="761"/>
      <c r="H56" s="527"/>
      <c r="I56" s="527"/>
      <c r="J56" s="527"/>
      <c r="K56" s="527"/>
      <c r="L56" s="527"/>
      <c r="M56" s="527"/>
      <c r="N56" s="527"/>
      <c r="O56" s="527"/>
      <c r="P56" s="527"/>
      <c r="Q56" s="740"/>
      <c r="R56" s="527"/>
    </row>
    <row r="57" spans="2:18" s="506" customFormat="1">
      <c r="B57" s="600"/>
      <c r="C57" s="762" t="s">
        <v>607</v>
      </c>
      <c r="D57" s="602"/>
      <c r="E57" s="602"/>
      <c r="F57" s="760"/>
      <c r="G57" s="761"/>
      <c r="H57" s="527"/>
      <c r="I57" s="527"/>
      <c r="J57" s="527"/>
      <c r="K57" s="527"/>
      <c r="L57" s="527"/>
      <c r="M57" s="527"/>
      <c r="N57" s="527"/>
      <c r="O57" s="527"/>
      <c r="P57" s="527"/>
      <c r="Q57" s="740"/>
      <c r="R57" s="527"/>
    </row>
    <row r="58" spans="2:18" s="506" customFormat="1">
      <c r="B58" s="611"/>
      <c r="C58" s="763"/>
      <c r="D58" s="613"/>
      <c r="E58" s="613"/>
      <c r="F58" s="764"/>
      <c r="G58" s="765"/>
      <c r="H58" s="727"/>
      <c r="I58" s="727"/>
      <c r="J58" s="727"/>
      <c r="K58" s="727"/>
      <c r="L58" s="727"/>
      <c r="M58" s="727"/>
      <c r="N58" s="727"/>
      <c r="O58" s="727"/>
      <c r="P58" s="727"/>
      <c r="Q58" s="766"/>
      <c r="R58" s="727"/>
    </row>
    <row r="59" spans="2:18" s="505" customFormat="1" ht="13.8">
      <c r="B59" s="728"/>
      <c r="C59" s="729" t="s">
        <v>608</v>
      </c>
      <c r="D59" s="730"/>
      <c r="E59" s="731"/>
      <c r="F59" s="732"/>
      <c r="G59" s="767">
        <f>SUM(G14:G58)</f>
        <v>202002013.93145099</v>
      </c>
      <c r="H59" s="768">
        <f>G59/'REKAP TOTAL'!F44</f>
        <v>1.6613249686112355E-2</v>
      </c>
      <c r="I59" s="769"/>
      <c r="J59" s="769"/>
      <c r="K59" s="769"/>
      <c r="L59" s="769"/>
      <c r="M59" s="769"/>
      <c r="N59" s="769"/>
      <c r="O59" s="769"/>
      <c r="P59" s="769"/>
      <c r="Q59" s="770"/>
      <c r="R59" s="771"/>
    </row>
    <row r="60" spans="2:18" s="505" customFormat="1" hidden="1">
      <c r="B60" s="772"/>
      <c r="C60" s="773"/>
      <c r="D60" s="774"/>
      <c r="E60" s="773"/>
      <c r="F60" s="775"/>
      <c r="G60" s="773"/>
      <c r="H60" s="776"/>
      <c r="I60" s="776"/>
      <c r="J60" s="776"/>
      <c r="K60" s="776"/>
      <c r="L60" s="776"/>
      <c r="M60" s="776"/>
      <c r="N60" s="776"/>
      <c r="O60" s="776"/>
      <c r="P60" s="776"/>
      <c r="Q60" s="776"/>
      <c r="R60" s="777"/>
    </row>
    <row r="61" spans="2:18" s="505" customFormat="1">
      <c r="B61" s="632"/>
      <c r="C61" s="632"/>
      <c r="D61" s="632"/>
      <c r="E61" s="632"/>
      <c r="F61" s="633"/>
      <c r="G61" s="632"/>
    </row>
  </sheetData>
  <mergeCells count="8">
    <mergeCell ref="R8:R9"/>
    <mergeCell ref="I8:K8"/>
    <mergeCell ref="L8:N8"/>
    <mergeCell ref="B8:B9"/>
    <mergeCell ref="C8:C9"/>
    <mergeCell ref="D8:D9"/>
    <mergeCell ref="E8:E9"/>
    <mergeCell ref="H8:H9"/>
  </mergeCells>
  <printOptions horizontalCentered="1"/>
  <pageMargins left="0.74803149606299202" right="0.74803149606299202" top="0.98425196850393704" bottom="0.98425196850393704" header="0.511811023622047" footer="0.511811023622047"/>
  <pageSetup paperSize="9" scale="82" fitToHeight="0" orientation="portrait" r:id="rId1"/>
  <headerFooter alignWithMargins="0">
    <oddFooter>&amp;C&amp;A&amp;RPage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Q187"/>
  <sheetViews>
    <sheetView showGridLines="0" view="pageBreakPreview" topLeftCell="A134" zoomScaleNormal="93" workbookViewId="0">
      <selection activeCell="D8" sqref="D8:D9"/>
    </sheetView>
  </sheetViews>
  <sheetFormatPr defaultColWidth="9" defaultRowHeight="13.2"/>
  <cols>
    <col min="1" max="1" width="4.5546875" style="632" customWidth="1"/>
    <col min="2" max="2" width="86.33203125" style="632" customWidth="1"/>
    <col min="3" max="3" width="6.88671875" style="632" customWidth="1"/>
    <col min="4" max="4" width="8.109375" style="632" customWidth="1"/>
    <col min="5" max="5" width="13.6640625" style="633" hidden="1" customWidth="1"/>
    <col min="6" max="6" width="16.109375" style="632" hidden="1" customWidth="1"/>
    <col min="7" max="8" width="9.109375" style="508"/>
    <col min="9" max="9" width="13.5546875" style="508" customWidth="1"/>
    <col min="10" max="11" width="9.109375" style="508"/>
    <col min="12" max="12" width="13.21875" style="508" customWidth="1"/>
    <col min="13" max="13" width="9.109375" style="508"/>
    <col min="14" max="14" width="9.109375" style="508" customWidth="1"/>
    <col min="15" max="15" width="12.88671875" style="508" customWidth="1"/>
    <col min="16" max="256" width="9.109375" style="508"/>
    <col min="257" max="257" width="4.5546875" style="508" customWidth="1"/>
    <col min="258" max="258" width="55.44140625" style="508" customWidth="1"/>
    <col min="259" max="259" width="6.88671875" style="508" customWidth="1"/>
    <col min="260" max="260" width="8.109375" style="508" customWidth="1"/>
    <col min="261" max="261" width="13.6640625" style="508" customWidth="1"/>
    <col min="262" max="262" width="16.109375" style="508" customWidth="1"/>
    <col min="263" max="512" width="9.109375" style="508"/>
    <col min="513" max="513" width="4.5546875" style="508" customWidth="1"/>
    <col min="514" max="514" width="55.44140625" style="508" customWidth="1"/>
    <col min="515" max="515" width="6.88671875" style="508" customWidth="1"/>
    <col min="516" max="516" width="8.109375" style="508" customWidth="1"/>
    <col min="517" max="517" width="13.6640625" style="508" customWidth="1"/>
    <col min="518" max="518" width="16.109375" style="508" customWidth="1"/>
    <col min="519" max="768" width="9.109375" style="508"/>
    <col min="769" max="769" width="4.5546875" style="508" customWidth="1"/>
    <col min="770" max="770" width="55.44140625" style="508" customWidth="1"/>
    <col min="771" max="771" width="6.88671875" style="508" customWidth="1"/>
    <col min="772" max="772" width="8.109375" style="508" customWidth="1"/>
    <col min="773" max="773" width="13.6640625" style="508" customWidth="1"/>
    <col min="774" max="774" width="16.109375" style="508" customWidth="1"/>
    <col min="775" max="1024" width="9.109375" style="508"/>
    <col min="1025" max="1025" width="4.5546875" style="508" customWidth="1"/>
    <col min="1026" max="1026" width="55.44140625" style="508" customWidth="1"/>
    <col min="1027" max="1027" width="6.88671875" style="508" customWidth="1"/>
    <col min="1028" max="1028" width="8.109375" style="508" customWidth="1"/>
    <col min="1029" max="1029" width="13.6640625" style="508" customWidth="1"/>
    <col min="1030" max="1030" width="16.109375" style="508" customWidth="1"/>
    <col min="1031" max="1280" width="9.109375" style="508"/>
    <col min="1281" max="1281" width="4.5546875" style="508" customWidth="1"/>
    <col min="1282" max="1282" width="55.44140625" style="508" customWidth="1"/>
    <col min="1283" max="1283" width="6.88671875" style="508" customWidth="1"/>
    <col min="1284" max="1284" width="8.109375" style="508" customWidth="1"/>
    <col min="1285" max="1285" width="13.6640625" style="508" customWidth="1"/>
    <col min="1286" max="1286" width="16.109375" style="508" customWidth="1"/>
    <col min="1287" max="1536" width="9.109375" style="508"/>
    <col min="1537" max="1537" width="4.5546875" style="508" customWidth="1"/>
    <col min="1538" max="1538" width="55.44140625" style="508" customWidth="1"/>
    <col min="1539" max="1539" width="6.88671875" style="508" customWidth="1"/>
    <col min="1540" max="1540" width="8.109375" style="508" customWidth="1"/>
    <col min="1541" max="1541" width="13.6640625" style="508" customWidth="1"/>
    <col min="1542" max="1542" width="16.109375" style="508" customWidth="1"/>
    <col min="1543" max="1792" width="9.109375" style="508"/>
    <col min="1793" max="1793" width="4.5546875" style="508" customWidth="1"/>
    <col min="1794" max="1794" width="55.44140625" style="508" customWidth="1"/>
    <col min="1795" max="1795" width="6.88671875" style="508" customWidth="1"/>
    <col min="1796" max="1796" width="8.109375" style="508" customWidth="1"/>
    <col min="1797" max="1797" width="13.6640625" style="508" customWidth="1"/>
    <col min="1798" max="1798" width="16.109375" style="508" customWidth="1"/>
    <col min="1799" max="2048" width="9.109375" style="508"/>
    <col min="2049" max="2049" width="4.5546875" style="508" customWidth="1"/>
    <col min="2050" max="2050" width="55.44140625" style="508" customWidth="1"/>
    <col min="2051" max="2051" width="6.88671875" style="508" customWidth="1"/>
    <col min="2052" max="2052" width="8.109375" style="508" customWidth="1"/>
    <col min="2053" max="2053" width="13.6640625" style="508" customWidth="1"/>
    <col min="2054" max="2054" width="16.109375" style="508" customWidth="1"/>
    <col min="2055" max="2304" width="9.109375" style="508"/>
    <col min="2305" max="2305" width="4.5546875" style="508" customWidth="1"/>
    <col min="2306" max="2306" width="55.44140625" style="508" customWidth="1"/>
    <col min="2307" max="2307" width="6.88671875" style="508" customWidth="1"/>
    <col min="2308" max="2308" width="8.109375" style="508" customWidth="1"/>
    <col min="2309" max="2309" width="13.6640625" style="508" customWidth="1"/>
    <col min="2310" max="2310" width="16.109375" style="508" customWidth="1"/>
    <col min="2311" max="2560" width="9.109375" style="508"/>
    <col min="2561" max="2561" width="4.5546875" style="508" customWidth="1"/>
    <col min="2562" max="2562" width="55.44140625" style="508" customWidth="1"/>
    <col min="2563" max="2563" width="6.88671875" style="508" customWidth="1"/>
    <col min="2564" max="2564" width="8.109375" style="508" customWidth="1"/>
    <col min="2565" max="2565" width="13.6640625" style="508" customWidth="1"/>
    <col min="2566" max="2566" width="16.109375" style="508" customWidth="1"/>
    <col min="2567" max="2816" width="9.109375" style="508"/>
    <col min="2817" max="2817" width="4.5546875" style="508" customWidth="1"/>
    <col min="2818" max="2818" width="55.44140625" style="508" customWidth="1"/>
    <col min="2819" max="2819" width="6.88671875" style="508" customWidth="1"/>
    <col min="2820" max="2820" width="8.109375" style="508" customWidth="1"/>
    <col min="2821" max="2821" width="13.6640625" style="508" customWidth="1"/>
    <col min="2822" max="2822" width="16.109375" style="508" customWidth="1"/>
    <col min="2823" max="3072" width="9.109375" style="508"/>
    <col min="3073" max="3073" width="4.5546875" style="508" customWidth="1"/>
    <col min="3074" max="3074" width="55.44140625" style="508" customWidth="1"/>
    <col min="3075" max="3075" width="6.88671875" style="508" customWidth="1"/>
    <col min="3076" max="3076" width="8.109375" style="508" customWidth="1"/>
    <col min="3077" max="3077" width="13.6640625" style="508" customWidth="1"/>
    <col min="3078" max="3078" width="16.109375" style="508" customWidth="1"/>
    <col min="3079" max="3328" width="9.109375" style="508"/>
    <col min="3329" max="3329" width="4.5546875" style="508" customWidth="1"/>
    <col min="3330" max="3330" width="55.44140625" style="508" customWidth="1"/>
    <col min="3331" max="3331" width="6.88671875" style="508" customWidth="1"/>
    <col min="3332" max="3332" width="8.109375" style="508" customWidth="1"/>
    <col min="3333" max="3333" width="13.6640625" style="508" customWidth="1"/>
    <col min="3334" max="3334" width="16.109375" style="508" customWidth="1"/>
    <col min="3335" max="3584" width="9.109375" style="508"/>
    <col min="3585" max="3585" width="4.5546875" style="508" customWidth="1"/>
    <col min="3586" max="3586" width="55.44140625" style="508" customWidth="1"/>
    <col min="3587" max="3587" width="6.88671875" style="508" customWidth="1"/>
    <col min="3588" max="3588" width="8.109375" style="508" customWidth="1"/>
    <col min="3589" max="3589" width="13.6640625" style="508" customWidth="1"/>
    <col min="3590" max="3590" width="16.109375" style="508" customWidth="1"/>
    <col min="3591" max="3840" width="9.109375" style="508"/>
    <col min="3841" max="3841" width="4.5546875" style="508" customWidth="1"/>
    <col min="3842" max="3842" width="55.44140625" style="508" customWidth="1"/>
    <col min="3843" max="3843" width="6.88671875" style="508" customWidth="1"/>
    <col min="3844" max="3844" width="8.109375" style="508" customWidth="1"/>
    <col min="3845" max="3845" width="13.6640625" style="508" customWidth="1"/>
    <col min="3846" max="3846" width="16.109375" style="508" customWidth="1"/>
    <col min="3847" max="4096" width="9.109375" style="508"/>
    <col min="4097" max="4097" width="4.5546875" style="508" customWidth="1"/>
    <col min="4098" max="4098" width="55.44140625" style="508" customWidth="1"/>
    <col min="4099" max="4099" width="6.88671875" style="508" customWidth="1"/>
    <col min="4100" max="4100" width="8.109375" style="508" customWidth="1"/>
    <col min="4101" max="4101" width="13.6640625" style="508" customWidth="1"/>
    <col min="4102" max="4102" width="16.109375" style="508" customWidth="1"/>
    <col min="4103" max="4352" width="9.109375" style="508"/>
    <col min="4353" max="4353" width="4.5546875" style="508" customWidth="1"/>
    <col min="4354" max="4354" width="55.44140625" style="508" customWidth="1"/>
    <col min="4355" max="4355" width="6.88671875" style="508" customWidth="1"/>
    <col min="4356" max="4356" width="8.109375" style="508" customWidth="1"/>
    <col min="4357" max="4357" width="13.6640625" style="508" customWidth="1"/>
    <col min="4358" max="4358" width="16.109375" style="508" customWidth="1"/>
    <col min="4359" max="4608" width="9.109375" style="508"/>
    <col min="4609" max="4609" width="4.5546875" style="508" customWidth="1"/>
    <col min="4610" max="4610" width="55.44140625" style="508" customWidth="1"/>
    <col min="4611" max="4611" width="6.88671875" style="508" customWidth="1"/>
    <col min="4612" max="4612" width="8.109375" style="508" customWidth="1"/>
    <col min="4613" max="4613" width="13.6640625" style="508" customWidth="1"/>
    <col min="4614" max="4614" width="16.109375" style="508" customWidth="1"/>
    <col min="4615" max="4864" width="9.109375" style="508"/>
    <col min="4865" max="4865" width="4.5546875" style="508" customWidth="1"/>
    <col min="4866" max="4866" width="55.44140625" style="508" customWidth="1"/>
    <col min="4867" max="4867" width="6.88671875" style="508" customWidth="1"/>
    <col min="4868" max="4868" width="8.109375" style="508" customWidth="1"/>
    <col min="4869" max="4869" width="13.6640625" style="508" customWidth="1"/>
    <col min="4870" max="4870" width="16.109375" style="508" customWidth="1"/>
    <col min="4871" max="5120" width="9.109375" style="508"/>
    <col min="5121" max="5121" width="4.5546875" style="508" customWidth="1"/>
    <col min="5122" max="5122" width="55.44140625" style="508" customWidth="1"/>
    <col min="5123" max="5123" width="6.88671875" style="508" customWidth="1"/>
    <col min="5124" max="5124" width="8.109375" style="508" customWidth="1"/>
    <col min="5125" max="5125" width="13.6640625" style="508" customWidth="1"/>
    <col min="5126" max="5126" width="16.109375" style="508" customWidth="1"/>
    <col min="5127" max="5376" width="9.109375" style="508"/>
    <col min="5377" max="5377" width="4.5546875" style="508" customWidth="1"/>
    <col min="5378" max="5378" width="55.44140625" style="508" customWidth="1"/>
    <col min="5379" max="5379" width="6.88671875" style="508" customWidth="1"/>
    <col min="5380" max="5380" width="8.109375" style="508" customWidth="1"/>
    <col min="5381" max="5381" width="13.6640625" style="508" customWidth="1"/>
    <col min="5382" max="5382" width="16.109375" style="508" customWidth="1"/>
    <col min="5383" max="5632" width="9.109375" style="508"/>
    <col min="5633" max="5633" width="4.5546875" style="508" customWidth="1"/>
    <col min="5634" max="5634" width="55.44140625" style="508" customWidth="1"/>
    <col min="5635" max="5635" width="6.88671875" style="508" customWidth="1"/>
    <col min="5636" max="5636" width="8.109375" style="508" customWidth="1"/>
    <col min="5637" max="5637" width="13.6640625" style="508" customWidth="1"/>
    <col min="5638" max="5638" width="16.109375" style="508" customWidth="1"/>
    <col min="5639" max="5888" width="9.109375" style="508"/>
    <col min="5889" max="5889" width="4.5546875" style="508" customWidth="1"/>
    <col min="5890" max="5890" width="55.44140625" style="508" customWidth="1"/>
    <col min="5891" max="5891" width="6.88671875" style="508" customWidth="1"/>
    <col min="5892" max="5892" width="8.109375" style="508" customWidth="1"/>
    <col min="5893" max="5893" width="13.6640625" style="508" customWidth="1"/>
    <col min="5894" max="5894" width="16.109375" style="508" customWidth="1"/>
    <col min="5895" max="6144" width="9.109375" style="508"/>
    <col min="6145" max="6145" width="4.5546875" style="508" customWidth="1"/>
    <col min="6146" max="6146" width="55.44140625" style="508" customWidth="1"/>
    <col min="6147" max="6147" width="6.88671875" style="508" customWidth="1"/>
    <col min="6148" max="6148" width="8.109375" style="508" customWidth="1"/>
    <col min="6149" max="6149" width="13.6640625" style="508" customWidth="1"/>
    <col min="6150" max="6150" width="16.109375" style="508" customWidth="1"/>
    <col min="6151" max="6400" width="9.109375" style="508"/>
    <col min="6401" max="6401" width="4.5546875" style="508" customWidth="1"/>
    <col min="6402" max="6402" width="55.44140625" style="508" customWidth="1"/>
    <col min="6403" max="6403" width="6.88671875" style="508" customWidth="1"/>
    <col min="6404" max="6404" width="8.109375" style="508" customWidth="1"/>
    <col min="6405" max="6405" width="13.6640625" style="508" customWidth="1"/>
    <col min="6406" max="6406" width="16.109375" style="508" customWidth="1"/>
    <col min="6407" max="6656" width="9.109375" style="508"/>
    <col min="6657" max="6657" width="4.5546875" style="508" customWidth="1"/>
    <col min="6658" max="6658" width="55.44140625" style="508" customWidth="1"/>
    <col min="6659" max="6659" width="6.88671875" style="508" customWidth="1"/>
    <col min="6660" max="6660" width="8.109375" style="508" customWidth="1"/>
    <col min="6661" max="6661" width="13.6640625" style="508" customWidth="1"/>
    <col min="6662" max="6662" width="16.109375" style="508" customWidth="1"/>
    <col min="6663" max="6912" width="9.109375" style="508"/>
    <col min="6913" max="6913" width="4.5546875" style="508" customWidth="1"/>
    <col min="6914" max="6914" width="55.44140625" style="508" customWidth="1"/>
    <col min="6915" max="6915" width="6.88671875" style="508" customWidth="1"/>
    <col min="6916" max="6916" width="8.109375" style="508" customWidth="1"/>
    <col min="6917" max="6917" width="13.6640625" style="508" customWidth="1"/>
    <col min="6918" max="6918" width="16.109375" style="508" customWidth="1"/>
    <col min="6919" max="7168" width="9.109375" style="508"/>
    <col min="7169" max="7169" width="4.5546875" style="508" customWidth="1"/>
    <col min="7170" max="7170" width="55.44140625" style="508" customWidth="1"/>
    <col min="7171" max="7171" width="6.88671875" style="508" customWidth="1"/>
    <col min="7172" max="7172" width="8.109375" style="508" customWidth="1"/>
    <col min="7173" max="7173" width="13.6640625" style="508" customWidth="1"/>
    <col min="7174" max="7174" width="16.109375" style="508" customWidth="1"/>
    <col min="7175" max="7424" width="9.109375" style="508"/>
    <col min="7425" max="7425" width="4.5546875" style="508" customWidth="1"/>
    <col min="7426" max="7426" width="55.44140625" style="508" customWidth="1"/>
    <col min="7427" max="7427" width="6.88671875" style="508" customWidth="1"/>
    <col min="7428" max="7428" width="8.109375" style="508" customWidth="1"/>
    <col min="7429" max="7429" width="13.6640625" style="508" customWidth="1"/>
    <col min="7430" max="7430" width="16.109375" style="508" customWidth="1"/>
    <col min="7431" max="7680" width="9.109375" style="508"/>
    <col min="7681" max="7681" width="4.5546875" style="508" customWidth="1"/>
    <col min="7682" max="7682" width="55.44140625" style="508" customWidth="1"/>
    <col min="7683" max="7683" width="6.88671875" style="508" customWidth="1"/>
    <col min="7684" max="7684" width="8.109375" style="508" customWidth="1"/>
    <col min="7685" max="7685" width="13.6640625" style="508" customWidth="1"/>
    <col min="7686" max="7686" width="16.109375" style="508" customWidth="1"/>
    <col min="7687" max="7936" width="9.109375" style="508"/>
    <col min="7937" max="7937" width="4.5546875" style="508" customWidth="1"/>
    <col min="7938" max="7938" width="55.44140625" style="508" customWidth="1"/>
    <col min="7939" max="7939" width="6.88671875" style="508" customWidth="1"/>
    <col min="7940" max="7940" width="8.109375" style="508" customWidth="1"/>
    <col min="7941" max="7941" width="13.6640625" style="508" customWidth="1"/>
    <col min="7942" max="7942" width="16.109375" style="508" customWidth="1"/>
    <col min="7943" max="8192" width="9.109375" style="508"/>
    <col min="8193" max="8193" width="4.5546875" style="508" customWidth="1"/>
    <col min="8194" max="8194" width="55.44140625" style="508" customWidth="1"/>
    <col min="8195" max="8195" width="6.88671875" style="508" customWidth="1"/>
    <col min="8196" max="8196" width="8.109375" style="508" customWidth="1"/>
    <col min="8197" max="8197" width="13.6640625" style="508" customWidth="1"/>
    <col min="8198" max="8198" width="16.109375" style="508" customWidth="1"/>
    <col min="8199" max="8448" width="9.109375" style="508"/>
    <col min="8449" max="8449" width="4.5546875" style="508" customWidth="1"/>
    <col min="8450" max="8450" width="55.44140625" style="508" customWidth="1"/>
    <col min="8451" max="8451" width="6.88671875" style="508" customWidth="1"/>
    <col min="8452" max="8452" width="8.109375" style="508" customWidth="1"/>
    <col min="8453" max="8453" width="13.6640625" style="508" customWidth="1"/>
    <col min="8454" max="8454" width="16.109375" style="508" customWidth="1"/>
    <col min="8455" max="8704" width="9.109375" style="508"/>
    <col min="8705" max="8705" width="4.5546875" style="508" customWidth="1"/>
    <col min="8706" max="8706" width="55.44140625" style="508" customWidth="1"/>
    <col min="8707" max="8707" width="6.88671875" style="508" customWidth="1"/>
    <col min="8708" max="8708" width="8.109375" style="508" customWidth="1"/>
    <col min="8709" max="8709" width="13.6640625" style="508" customWidth="1"/>
    <col min="8710" max="8710" width="16.109375" style="508" customWidth="1"/>
    <col min="8711" max="8960" width="9.109375" style="508"/>
    <col min="8961" max="8961" width="4.5546875" style="508" customWidth="1"/>
    <col min="8962" max="8962" width="55.44140625" style="508" customWidth="1"/>
    <col min="8963" max="8963" width="6.88671875" style="508" customWidth="1"/>
    <col min="8964" max="8964" width="8.109375" style="508" customWidth="1"/>
    <col min="8965" max="8965" width="13.6640625" style="508" customWidth="1"/>
    <col min="8966" max="8966" width="16.109375" style="508" customWidth="1"/>
    <col min="8967" max="9216" width="9.109375" style="508"/>
    <col min="9217" max="9217" width="4.5546875" style="508" customWidth="1"/>
    <col min="9218" max="9218" width="55.44140625" style="508" customWidth="1"/>
    <col min="9219" max="9219" width="6.88671875" style="508" customWidth="1"/>
    <col min="9220" max="9220" width="8.109375" style="508" customWidth="1"/>
    <col min="9221" max="9221" width="13.6640625" style="508" customWidth="1"/>
    <col min="9222" max="9222" width="16.109375" style="508" customWidth="1"/>
    <col min="9223" max="9472" width="9.109375" style="508"/>
    <col min="9473" max="9473" width="4.5546875" style="508" customWidth="1"/>
    <col min="9474" max="9474" width="55.44140625" style="508" customWidth="1"/>
    <col min="9475" max="9475" width="6.88671875" style="508" customWidth="1"/>
    <col min="9476" max="9476" width="8.109375" style="508" customWidth="1"/>
    <col min="9477" max="9477" width="13.6640625" style="508" customWidth="1"/>
    <col min="9478" max="9478" width="16.109375" style="508" customWidth="1"/>
    <col min="9479" max="9728" width="9.109375" style="508"/>
    <col min="9729" max="9729" width="4.5546875" style="508" customWidth="1"/>
    <col min="9730" max="9730" width="55.44140625" style="508" customWidth="1"/>
    <col min="9731" max="9731" width="6.88671875" style="508" customWidth="1"/>
    <col min="9732" max="9732" width="8.109375" style="508" customWidth="1"/>
    <col min="9733" max="9733" width="13.6640625" style="508" customWidth="1"/>
    <col min="9734" max="9734" width="16.109375" style="508" customWidth="1"/>
    <col min="9735" max="9984" width="9.109375" style="508"/>
    <col min="9985" max="9985" width="4.5546875" style="508" customWidth="1"/>
    <col min="9986" max="9986" width="55.44140625" style="508" customWidth="1"/>
    <col min="9987" max="9987" width="6.88671875" style="508" customWidth="1"/>
    <col min="9988" max="9988" width="8.109375" style="508" customWidth="1"/>
    <col min="9989" max="9989" width="13.6640625" style="508" customWidth="1"/>
    <col min="9990" max="9990" width="16.109375" style="508" customWidth="1"/>
    <col min="9991" max="10240" width="9.109375" style="508"/>
    <col min="10241" max="10241" width="4.5546875" style="508" customWidth="1"/>
    <col min="10242" max="10242" width="55.44140625" style="508" customWidth="1"/>
    <col min="10243" max="10243" width="6.88671875" style="508" customWidth="1"/>
    <col min="10244" max="10244" width="8.109375" style="508" customWidth="1"/>
    <col min="10245" max="10245" width="13.6640625" style="508" customWidth="1"/>
    <col min="10246" max="10246" width="16.109375" style="508" customWidth="1"/>
    <col min="10247" max="10496" width="9.109375" style="508"/>
    <col min="10497" max="10497" width="4.5546875" style="508" customWidth="1"/>
    <col min="10498" max="10498" width="55.44140625" style="508" customWidth="1"/>
    <col min="10499" max="10499" width="6.88671875" style="508" customWidth="1"/>
    <col min="10500" max="10500" width="8.109375" style="508" customWidth="1"/>
    <col min="10501" max="10501" width="13.6640625" style="508" customWidth="1"/>
    <col min="10502" max="10502" width="16.109375" style="508" customWidth="1"/>
    <col min="10503" max="10752" width="9.109375" style="508"/>
    <col min="10753" max="10753" width="4.5546875" style="508" customWidth="1"/>
    <col min="10754" max="10754" width="55.44140625" style="508" customWidth="1"/>
    <col min="10755" max="10755" width="6.88671875" style="508" customWidth="1"/>
    <col min="10756" max="10756" width="8.109375" style="508" customWidth="1"/>
    <col min="10757" max="10757" width="13.6640625" style="508" customWidth="1"/>
    <col min="10758" max="10758" width="16.109375" style="508" customWidth="1"/>
    <col min="10759" max="11008" width="9.109375" style="508"/>
    <col min="11009" max="11009" width="4.5546875" style="508" customWidth="1"/>
    <col min="11010" max="11010" width="55.44140625" style="508" customWidth="1"/>
    <col min="11011" max="11011" width="6.88671875" style="508" customWidth="1"/>
    <col min="11012" max="11012" width="8.109375" style="508" customWidth="1"/>
    <col min="11013" max="11013" width="13.6640625" style="508" customWidth="1"/>
    <col min="11014" max="11014" width="16.109375" style="508" customWidth="1"/>
    <col min="11015" max="11264" width="9.109375" style="508"/>
    <col min="11265" max="11265" width="4.5546875" style="508" customWidth="1"/>
    <col min="11266" max="11266" width="55.44140625" style="508" customWidth="1"/>
    <col min="11267" max="11267" width="6.88671875" style="508" customWidth="1"/>
    <col min="11268" max="11268" width="8.109375" style="508" customWidth="1"/>
    <col min="11269" max="11269" width="13.6640625" style="508" customWidth="1"/>
    <col min="11270" max="11270" width="16.109375" style="508" customWidth="1"/>
    <col min="11271" max="11520" width="9.109375" style="508"/>
    <col min="11521" max="11521" width="4.5546875" style="508" customWidth="1"/>
    <col min="11522" max="11522" width="55.44140625" style="508" customWidth="1"/>
    <col min="11523" max="11523" width="6.88671875" style="508" customWidth="1"/>
    <col min="11524" max="11524" width="8.109375" style="508" customWidth="1"/>
    <col min="11525" max="11525" width="13.6640625" style="508" customWidth="1"/>
    <col min="11526" max="11526" width="16.109375" style="508" customWidth="1"/>
    <col min="11527" max="11776" width="9.109375" style="508"/>
    <col min="11777" max="11777" width="4.5546875" style="508" customWidth="1"/>
    <col min="11778" max="11778" width="55.44140625" style="508" customWidth="1"/>
    <col min="11779" max="11779" width="6.88671875" style="508" customWidth="1"/>
    <col min="11780" max="11780" width="8.109375" style="508" customWidth="1"/>
    <col min="11781" max="11781" width="13.6640625" style="508" customWidth="1"/>
    <col min="11782" max="11782" width="16.109375" style="508" customWidth="1"/>
    <col min="11783" max="12032" width="9.109375" style="508"/>
    <col min="12033" max="12033" width="4.5546875" style="508" customWidth="1"/>
    <col min="12034" max="12034" width="55.44140625" style="508" customWidth="1"/>
    <col min="12035" max="12035" width="6.88671875" style="508" customWidth="1"/>
    <col min="12036" max="12036" width="8.109375" style="508" customWidth="1"/>
    <col min="12037" max="12037" width="13.6640625" style="508" customWidth="1"/>
    <col min="12038" max="12038" width="16.109375" style="508" customWidth="1"/>
    <col min="12039" max="12288" width="9.109375" style="508"/>
    <col min="12289" max="12289" width="4.5546875" style="508" customWidth="1"/>
    <col min="12290" max="12290" width="55.44140625" style="508" customWidth="1"/>
    <col min="12291" max="12291" width="6.88671875" style="508" customWidth="1"/>
    <col min="12292" max="12292" width="8.109375" style="508" customWidth="1"/>
    <col min="12293" max="12293" width="13.6640625" style="508" customWidth="1"/>
    <col min="12294" max="12294" width="16.109375" style="508" customWidth="1"/>
    <col min="12295" max="12544" width="9.109375" style="508"/>
    <col min="12545" max="12545" width="4.5546875" style="508" customWidth="1"/>
    <col min="12546" max="12546" width="55.44140625" style="508" customWidth="1"/>
    <col min="12547" max="12547" width="6.88671875" style="508" customWidth="1"/>
    <col min="12548" max="12548" width="8.109375" style="508" customWidth="1"/>
    <col min="12549" max="12549" width="13.6640625" style="508" customWidth="1"/>
    <col min="12550" max="12550" width="16.109375" style="508" customWidth="1"/>
    <col min="12551" max="12800" width="9.109375" style="508"/>
    <col min="12801" max="12801" width="4.5546875" style="508" customWidth="1"/>
    <col min="12802" max="12802" width="55.44140625" style="508" customWidth="1"/>
    <col min="12803" max="12803" width="6.88671875" style="508" customWidth="1"/>
    <col min="12804" max="12804" width="8.109375" style="508" customWidth="1"/>
    <col min="12805" max="12805" width="13.6640625" style="508" customWidth="1"/>
    <col min="12806" max="12806" width="16.109375" style="508" customWidth="1"/>
    <col min="12807" max="13056" width="9.109375" style="508"/>
    <col min="13057" max="13057" width="4.5546875" style="508" customWidth="1"/>
    <col min="13058" max="13058" width="55.44140625" style="508" customWidth="1"/>
    <col min="13059" max="13059" width="6.88671875" style="508" customWidth="1"/>
    <col min="13060" max="13060" width="8.109375" style="508" customWidth="1"/>
    <col min="13061" max="13061" width="13.6640625" style="508" customWidth="1"/>
    <col min="13062" max="13062" width="16.109375" style="508" customWidth="1"/>
    <col min="13063" max="13312" width="9.109375" style="508"/>
    <col min="13313" max="13313" width="4.5546875" style="508" customWidth="1"/>
    <col min="13314" max="13314" width="55.44140625" style="508" customWidth="1"/>
    <col min="13315" max="13315" width="6.88671875" style="508" customWidth="1"/>
    <col min="13316" max="13316" width="8.109375" style="508" customWidth="1"/>
    <col min="13317" max="13317" width="13.6640625" style="508" customWidth="1"/>
    <col min="13318" max="13318" width="16.109375" style="508" customWidth="1"/>
    <col min="13319" max="13568" width="9.109375" style="508"/>
    <col min="13569" max="13569" width="4.5546875" style="508" customWidth="1"/>
    <col min="13570" max="13570" width="55.44140625" style="508" customWidth="1"/>
    <col min="13571" max="13571" width="6.88671875" style="508" customWidth="1"/>
    <col min="13572" max="13572" width="8.109375" style="508" customWidth="1"/>
    <col min="13573" max="13573" width="13.6640625" style="508" customWidth="1"/>
    <col min="13574" max="13574" width="16.109375" style="508" customWidth="1"/>
    <col min="13575" max="13824" width="9.109375" style="508"/>
    <col min="13825" max="13825" width="4.5546875" style="508" customWidth="1"/>
    <col min="13826" max="13826" width="55.44140625" style="508" customWidth="1"/>
    <col min="13827" max="13827" width="6.88671875" style="508" customWidth="1"/>
    <col min="13828" max="13828" width="8.109375" style="508" customWidth="1"/>
    <col min="13829" max="13829" width="13.6640625" style="508" customWidth="1"/>
    <col min="13830" max="13830" width="16.109375" style="508" customWidth="1"/>
    <col min="13831" max="14080" width="9.109375" style="508"/>
    <col min="14081" max="14081" width="4.5546875" style="508" customWidth="1"/>
    <col min="14082" max="14082" width="55.44140625" style="508" customWidth="1"/>
    <col min="14083" max="14083" width="6.88671875" style="508" customWidth="1"/>
    <col min="14084" max="14084" width="8.109375" style="508" customWidth="1"/>
    <col min="14085" max="14085" width="13.6640625" style="508" customWidth="1"/>
    <col min="14086" max="14086" width="16.109375" style="508" customWidth="1"/>
    <col min="14087" max="14336" width="9.109375" style="508"/>
    <col min="14337" max="14337" width="4.5546875" style="508" customWidth="1"/>
    <col min="14338" max="14338" width="55.44140625" style="508" customWidth="1"/>
    <col min="14339" max="14339" width="6.88671875" style="508" customWidth="1"/>
    <col min="14340" max="14340" width="8.109375" style="508" customWidth="1"/>
    <col min="14341" max="14341" width="13.6640625" style="508" customWidth="1"/>
    <col min="14342" max="14342" width="16.109375" style="508" customWidth="1"/>
    <col min="14343" max="14592" width="9.109375" style="508"/>
    <col min="14593" max="14593" width="4.5546875" style="508" customWidth="1"/>
    <col min="14594" max="14594" width="55.44140625" style="508" customWidth="1"/>
    <col min="14595" max="14595" width="6.88671875" style="508" customWidth="1"/>
    <col min="14596" max="14596" width="8.109375" style="508" customWidth="1"/>
    <col min="14597" max="14597" width="13.6640625" style="508" customWidth="1"/>
    <col min="14598" max="14598" width="16.109375" style="508" customWidth="1"/>
    <col min="14599" max="14848" width="9.109375" style="508"/>
    <col min="14849" max="14849" width="4.5546875" style="508" customWidth="1"/>
    <col min="14850" max="14850" width="55.44140625" style="508" customWidth="1"/>
    <col min="14851" max="14851" width="6.88671875" style="508" customWidth="1"/>
    <col min="14852" max="14852" width="8.109375" style="508" customWidth="1"/>
    <col min="14853" max="14853" width="13.6640625" style="508" customWidth="1"/>
    <col min="14854" max="14854" width="16.109375" style="508" customWidth="1"/>
    <col min="14855" max="15104" width="9.109375" style="508"/>
    <col min="15105" max="15105" width="4.5546875" style="508" customWidth="1"/>
    <col min="15106" max="15106" width="55.44140625" style="508" customWidth="1"/>
    <col min="15107" max="15107" width="6.88671875" style="508" customWidth="1"/>
    <col min="15108" max="15108" width="8.109375" style="508" customWidth="1"/>
    <col min="15109" max="15109" width="13.6640625" style="508" customWidth="1"/>
    <col min="15110" max="15110" width="16.109375" style="508" customWidth="1"/>
    <col min="15111" max="15360" width="9.109375" style="508"/>
    <col min="15361" max="15361" width="4.5546875" style="508" customWidth="1"/>
    <col min="15362" max="15362" width="55.44140625" style="508" customWidth="1"/>
    <col min="15363" max="15363" width="6.88671875" style="508" customWidth="1"/>
    <col min="15364" max="15364" width="8.109375" style="508" customWidth="1"/>
    <col min="15365" max="15365" width="13.6640625" style="508" customWidth="1"/>
    <col min="15366" max="15366" width="16.109375" style="508" customWidth="1"/>
    <col min="15367" max="15616" width="9.109375" style="508"/>
    <col min="15617" max="15617" width="4.5546875" style="508" customWidth="1"/>
    <col min="15618" max="15618" width="55.44140625" style="508" customWidth="1"/>
    <col min="15619" max="15619" width="6.88671875" style="508" customWidth="1"/>
    <col min="15620" max="15620" width="8.109375" style="508" customWidth="1"/>
    <col min="15621" max="15621" width="13.6640625" style="508" customWidth="1"/>
    <col min="15622" max="15622" width="16.109375" style="508" customWidth="1"/>
    <col min="15623" max="15872" width="9.109375" style="508"/>
    <col min="15873" max="15873" width="4.5546875" style="508" customWidth="1"/>
    <col min="15874" max="15874" width="55.44140625" style="508" customWidth="1"/>
    <col min="15875" max="15875" width="6.88671875" style="508" customWidth="1"/>
    <col min="15876" max="15876" width="8.109375" style="508" customWidth="1"/>
    <col min="15877" max="15877" width="13.6640625" style="508" customWidth="1"/>
    <col min="15878" max="15878" width="16.109375" style="508" customWidth="1"/>
    <col min="15879" max="16128" width="9.109375" style="508"/>
    <col min="16129" max="16129" width="4.5546875" style="508" customWidth="1"/>
    <col min="16130" max="16130" width="55.44140625" style="508" customWidth="1"/>
    <col min="16131" max="16131" width="6.88671875" style="508" customWidth="1"/>
    <col min="16132" max="16132" width="8.109375" style="508" customWidth="1"/>
    <col min="16133" max="16133" width="13.6640625" style="508" customWidth="1"/>
    <col min="16134" max="16134" width="16.109375" style="508" customWidth="1"/>
    <col min="16135" max="16384" width="9.109375" style="508"/>
  </cols>
  <sheetData>
    <row r="1" spans="1:17" s="505" customFormat="1" ht="15" customHeight="1">
      <c r="A1" s="634" t="str">
        <f>'I. PERSIAPAN'!B1</f>
        <v>PROGRESS MINGGUAN</v>
      </c>
      <c r="B1" s="632"/>
      <c r="C1" s="632"/>
      <c r="D1" s="632"/>
      <c r="E1" s="633"/>
      <c r="F1" s="632"/>
    </row>
    <row r="2" spans="1:17" s="505" customFormat="1" ht="15" customHeight="1">
      <c r="A2" s="634" t="str">
        <f>'I. PERSIAPAN'!B2</f>
        <v>PROYEK SHOWROOM &amp; WORKSHOP</v>
      </c>
      <c r="B2" s="632"/>
      <c r="C2" s="632"/>
      <c r="D2" s="632"/>
      <c r="E2" s="633"/>
      <c r="F2" s="632"/>
    </row>
    <row r="3" spans="1:17" s="505" customFormat="1" ht="15" customHeight="1">
      <c r="A3" s="634" t="str">
        <f>'I. PERSIAPAN'!B3</f>
        <v>DAIHATSU Cabang BATAM-KEPULAUAN RIAU</v>
      </c>
      <c r="B3" s="632"/>
      <c r="C3" s="632"/>
      <c r="D3" s="632"/>
      <c r="E3" s="633"/>
      <c r="F3" s="632"/>
    </row>
    <row r="4" spans="1:17" s="505" customFormat="1" ht="15" customHeight="1">
      <c r="A4" s="634" t="str">
        <f>'I. PERSIAPAN'!B4</f>
        <v xml:space="preserve">PT. ASTRA INTERNATIONAL Tbk </v>
      </c>
      <c r="B4" s="632"/>
      <c r="C4" s="632"/>
      <c r="D4" s="632"/>
      <c r="E4" s="633"/>
      <c r="F4" s="632"/>
    </row>
    <row r="5" spans="1:17" s="505" customFormat="1" ht="15" customHeight="1">
      <c r="A5" s="634" t="str">
        <f>'I. PERSIAPAN'!B5</f>
        <v>PERIODE : 6- 18 April2026</v>
      </c>
      <c r="B5" s="632"/>
      <c r="C5" s="632"/>
      <c r="D5" s="632"/>
      <c r="E5" s="633"/>
      <c r="F5" s="632"/>
    </row>
    <row r="6" spans="1:17" s="505" customFormat="1" ht="15" customHeight="1">
      <c r="A6" s="634" t="str">
        <f>'I. PERSIAPAN'!B6</f>
        <v>MINGGU KE 2 (Dua)</v>
      </c>
      <c r="B6" s="632"/>
      <c r="C6" s="632"/>
      <c r="D6" s="632"/>
      <c r="E6" s="633"/>
      <c r="F6" s="632"/>
    </row>
    <row r="7" spans="1:17" s="505" customFormat="1" ht="15" customHeight="1">
      <c r="A7" s="634"/>
      <c r="B7" s="632"/>
      <c r="C7" s="632"/>
      <c r="D7" s="632"/>
      <c r="E7" s="633"/>
      <c r="F7" s="632"/>
    </row>
    <row r="8" spans="1:17" s="505" customFormat="1" ht="13.8">
      <c r="A8" s="2169" t="s">
        <v>536</v>
      </c>
      <c r="B8" s="2171" t="s">
        <v>547</v>
      </c>
      <c r="C8" s="2171" t="s">
        <v>548</v>
      </c>
      <c r="D8" s="2171" t="s">
        <v>59</v>
      </c>
      <c r="E8" s="635" t="s">
        <v>549</v>
      </c>
      <c r="F8" s="636" t="s">
        <v>550</v>
      </c>
      <c r="G8" s="2149" t="s">
        <v>14</v>
      </c>
      <c r="H8" s="2099" t="s">
        <v>64</v>
      </c>
      <c r="I8" s="2099"/>
      <c r="J8" s="2099"/>
      <c r="K8" s="2099" t="s">
        <v>16</v>
      </c>
      <c r="L8" s="2099"/>
      <c r="M8" s="2099"/>
      <c r="N8" s="336" t="s">
        <v>65</v>
      </c>
      <c r="O8" s="336"/>
      <c r="P8" s="336"/>
      <c r="Q8" s="2167" t="s">
        <v>18</v>
      </c>
    </row>
    <row r="9" spans="1:17" s="505" customFormat="1" ht="13.8">
      <c r="A9" s="2170"/>
      <c r="B9" s="2172"/>
      <c r="C9" s="2172"/>
      <c r="D9" s="2172"/>
      <c r="E9" s="637" t="s">
        <v>551</v>
      </c>
      <c r="F9" s="638" t="s">
        <v>552</v>
      </c>
      <c r="G9" s="2160"/>
      <c r="H9" s="340" t="s">
        <v>20</v>
      </c>
      <c r="I9" s="341" t="s">
        <v>21</v>
      </c>
      <c r="J9" s="342" t="s">
        <v>14</v>
      </c>
      <c r="K9" s="340" t="s">
        <v>20</v>
      </c>
      <c r="L9" s="343" t="s">
        <v>21</v>
      </c>
      <c r="M9" s="343" t="s">
        <v>14</v>
      </c>
      <c r="N9" s="344" t="s">
        <v>20</v>
      </c>
      <c r="O9" s="340" t="s">
        <v>21</v>
      </c>
      <c r="P9" s="342" t="s">
        <v>14</v>
      </c>
      <c r="Q9" s="2168"/>
    </row>
    <row r="10" spans="1:17" s="506" customFormat="1" ht="14.25" customHeight="1">
      <c r="A10" s="639" t="s">
        <v>32</v>
      </c>
      <c r="B10" s="640" t="s">
        <v>553</v>
      </c>
      <c r="C10" s="641"/>
      <c r="D10" s="642"/>
      <c r="E10" s="643"/>
      <c r="F10" s="641"/>
      <c r="G10" s="644"/>
      <c r="H10" s="645"/>
      <c r="I10" s="645"/>
      <c r="J10" s="645"/>
      <c r="K10" s="645"/>
      <c r="L10" s="645"/>
      <c r="M10" s="645"/>
      <c r="N10" s="645"/>
      <c r="O10" s="645"/>
      <c r="P10" s="645"/>
      <c r="Q10" s="645"/>
    </row>
    <row r="11" spans="1:17" s="506" customFormat="1" ht="14.25" customHeight="1">
      <c r="A11" s="646">
        <v>1</v>
      </c>
      <c r="B11" s="563" t="s">
        <v>609</v>
      </c>
      <c r="C11" s="581"/>
      <c r="D11" s="546"/>
      <c r="E11" s="647"/>
      <c r="F11" s="648"/>
      <c r="G11" s="649"/>
      <c r="H11" s="527"/>
      <c r="I11" s="527"/>
      <c r="J11" s="527"/>
      <c r="K11" s="527"/>
      <c r="L11" s="527"/>
      <c r="M11" s="527"/>
      <c r="N11" s="527"/>
      <c r="O11" s="527"/>
      <c r="P11" s="527"/>
      <c r="Q11" s="527"/>
    </row>
    <row r="12" spans="1:17" s="506" customFormat="1" ht="14.25" customHeight="1">
      <c r="A12" s="546"/>
      <c r="B12" s="563" t="s">
        <v>610</v>
      </c>
      <c r="C12" s="581"/>
      <c r="D12" s="546"/>
      <c r="E12" s="647"/>
      <c r="F12" s="648"/>
      <c r="G12" s="649"/>
      <c r="H12" s="527"/>
      <c r="I12" s="527"/>
      <c r="J12" s="527"/>
      <c r="K12" s="527"/>
      <c r="L12" s="527"/>
      <c r="M12" s="527"/>
      <c r="N12" s="527"/>
      <c r="O12" s="527"/>
      <c r="P12" s="527"/>
      <c r="Q12" s="527"/>
    </row>
    <row r="13" spans="1:17" s="506" customFormat="1" ht="14.25" customHeight="1">
      <c r="A13" s="546"/>
      <c r="B13" s="563" t="s">
        <v>611</v>
      </c>
      <c r="C13" s="581"/>
      <c r="D13" s="546"/>
      <c r="E13" s="647"/>
      <c r="F13" s="648"/>
      <c r="G13" s="649"/>
      <c r="H13" s="527"/>
      <c r="I13" s="527"/>
      <c r="J13" s="527"/>
      <c r="K13" s="527"/>
      <c r="L13" s="527"/>
      <c r="M13" s="527"/>
      <c r="N13" s="527"/>
      <c r="O13" s="527"/>
      <c r="P13" s="527"/>
      <c r="Q13" s="527"/>
    </row>
    <row r="14" spans="1:17" s="506" customFormat="1" ht="14.25" customHeight="1">
      <c r="A14" s="650" t="s">
        <v>185</v>
      </c>
      <c r="B14" s="559" t="s">
        <v>612</v>
      </c>
      <c r="C14" s="542"/>
      <c r="D14" s="542"/>
      <c r="E14" s="543"/>
      <c r="F14" s="651"/>
      <c r="G14" s="649"/>
      <c r="H14" s="527"/>
      <c r="I14" s="527"/>
      <c r="J14" s="527"/>
      <c r="K14" s="527"/>
      <c r="L14" s="527"/>
      <c r="M14" s="527"/>
      <c r="N14" s="527"/>
      <c r="O14" s="527"/>
      <c r="P14" s="527"/>
      <c r="Q14" s="527"/>
    </row>
    <row r="15" spans="1:17" s="627" customFormat="1" ht="14.25" customHeight="1">
      <c r="A15" s="650"/>
      <c r="B15" s="652" t="s">
        <v>613</v>
      </c>
      <c r="C15" s="653"/>
      <c r="D15" s="653"/>
      <c r="E15" s="654"/>
      <c r="F15" s="655"/>
      <c r="G15" s="656"/>
      <c r="H15" s="657"/>
      <c r="I15" s="657"/>
      <c r="J15" s="657"/>
      <c r="K15" s="657"/>
      <c r="L15" s="657"/>
      <c r="M15" s="657"/>
      <c r="N15" s="657"/>
      <c r="O15" s="657"/>
      <c r="P15" s="657"/>
      <c r="Q15" s="657"/>
    </row>
    <row r="16" spans="1:17" s="506" customFormat="1" ht="14.25" customHeight="1">
      <c r="A16" s="2049" t="s">
        <v>603</v>
      </c>
      <c r="B16" s="545" t="s">
        <v>614</v>
      </c>
      <c r="C16" s="546" t="s">
        <v>615</v>
      </c>
      <c r="D16" s="546">
        <v>2</v>
      </c>
      <c r="E16" s="547">
        <v>61487.3923125</v>
      </c>
      <c r="F16" s="658">
        <f>D16*E16</f>
        <v>122974.784625</v>
      </c>
      <c r="G16" s="659">
        <f>F16/'REKAP TOTAL'!F44</f>
        <v>1.0113814027439883E-5</v>
      </c>
      <c r="H16" s="527"/>
      <c r="I16" s="527"/>
      <c r="J16" s="527"/>
      <c r="K16" s="527"/>
      <c r="L16" s="527"/>
      <c r="M16" s="527"/>
      <c r="N16" s="527"/>
      <c r="O16" s="527"/>
      <c r="P16" s="527"/>
      <c r="Q16" s="527"/>
    </row>
    <row r="17" spans="1:17" s="506" customFormat="1" ht="14.25" customHeight="1">
      <c r="A17" s="2049" t="s">
        <v>603</v>
      </c>
      <c r="B17" s="545" t="s">
        <v>616</v>
      </c>
      <c r="C17" s="546" t="s">
        <v>615</v>
      </c>
      <c r="D17" s="546">
        <v>10</v>
      </c>
      <c r="E17" s="547">
        <v>43723.752187500002</v>
      </c>
      <c r="F17" s="658">
        <f t="shared" ref="F17:F18" si="0">D17*E17</f>
        <v>437237.52187499998</v>
      </c>
      <c r="G17" s="659">
        <f>F17/'REKAP TOTAL'!F44</f>
        <v>3.5959721300161837E-5</v>
      </c>
      <c r="H17" s="527"/>
      <c r="I17" s="527"/>
      <c r="J17" s="527"/>
      <c r="K17" s="527"/>
      <c r="L17" s="527"/>
      <c r="M17" s="527"/>
      <c r="N17" s="527"/>
      <c r="O17" s="527"/>
      <c r="P17" s="527"/>
      <c r="Q17" s="527"/>
    </row>
    <row r="18" spans="1:17" s="506" customFormat="1" ht="14.25" customHeight="1">
      <c r="A18" s="2049" t="s">
        <v>603</v>
      </c>
      <c r="B18" s="545" t="s">
        <v>617</v>
      </c>
      <c r="C18" s="546" t="s">
        <v>615</v>
      </c>
      <c r="D18" s="546">
        <v>13</v>
      </c>
      <c r="E18" s="547">
        <v>32928.790125</v>
      </c>
      <c r="F18" s="658">
        <f t="shared" si="0"/>
        <v>428074.27162499999</v>
      </c>
      <c r="G18" s="659">
        <f>F18/'REKAP TOTAL'!F44</f>
        <v>3.5206108198110093E-5</v>
      </c>
      <c r="H18" s="527"/>
      <c r="I18" s="527"/>
      <c r="J18" s="527"/>
      <c r="K18" s="527"/>
      <c r="L18" s="527"/>
      <c r="M18" s="527"/>
      <c r="N18" s="527"/>
      <c r="O18" s="527"/>
      <c r="P18" s="527"/>
      <c r="Q18" s="527"/>
    </row>
    <row r="19" spans="1:17" s="506" customFormat="1">
      <c r="A19" s="660"/>
      <c r="B19" s="541"/>
      <c r="C19" s="542"/>
      <c r="D19" s="542"/>
      <c r="E19" s="547"/>
      <c r="F19" s="658"/>
      <c r="G19" s="649"/>
      <c r="H19" s="527"/>
      <c r="I19" s="527"/>
      <c r="J19" s="527"/>
      <c r="K19" s="527"/>
      <c r="L19" s="527"/>
      <c r="M19" s="527"/>
      <c r="N19" s="527"/>
      <c r="O19" s="527"/>
      <c r="P19" s="527"/>
      <c r="Q19" s="527"/>
    </row>
    <row r="20" spans="1:17" s="627" customFormat="1">
      <c r="A20" s="2049" t="s">
        <v>603</v>
      </c>
      <c r="B20" s="652" t="s">
        <v>618</v>
      </c>
      <c r="C20" s="653"/>
      <c r="D20" s="653"/>
      <c r="E20" s="654"/>
      <c r="F20" s="655"/>
      <c r="G20" s="656"/>
      <c r="H20" s="657"/>
      <c r="I20" s="657"/>
      <c r="J20" s="657"/>
      <c r="K20" s="657"/>
      <c r="L20" s="657"/>
      <c r="M20" s="657"/>
      <c r="N20" s="657"/>
      <c r="O20" s="657"/>
      <c r="P20" s="657"/>
      <c r="Q20" s="657"/>
    </row>
    <row r="21" spans="1:17" s="506" customFormat="1" ht="13.8">
      <c r="A21" s="660"/>
      <c r="B21" s="545" t="s">
        <v>619</v>
      </c>
      <c r="C21" s="546" t="s">
        <v>615</v>
      </c>
      <c r="D21" s="546">
        <v>15</v>
      </c>
      <c r="E21" s="547">
        <v>43723.752187500002</v>
      </c>
      <c r="F21" s="658">
        <f t="shared" ref="F21:F22" si="1">D21*E21</f>
        <v>655856.28281250002</v>
      </c>
      <c r="G21" s="659">
        <f>F21/'REKAP TOTAL'!F44</f>
        <v>5.3939581950242762E-5</v>
      </c>
      <c r="H21" s="527"/>
      <c r="I21" s="527"/>
      <c r="J21" s="527"/>
      <c r="K21" s="527"/>
      <c r="L21" s="527"/>
      <c r="M21" s="527"/>
      <c r="N21" s="527"/>
      <c r="O21" s="527"/>
      <c r="P21" s="527"/>
      <c r="Q21" s="527"/>
    </row>
    <row r="22" spans="1:17" s="506" customFormat="1" ht="13.8">
      <c r="A22" s="2049" t="s">
        <v>603</v>
      </c>
      <c r="B22" s="545" t="s">
        <v>620</v>
      </c>
      <c r="C22" s="546" t="s">
        <v>262</v>
      </c>
      <c r="D22" s="546">
        <v>2</v>
      </c>
      <c r="E22" s="661">
        <v>180815.25</v>
      </c>
      <c r="F22" s="658">
        <f t="shared" si="1"/>
        <v>361630.5</v>
      </c>
      <c r="G22" s="659">
        <f>F22/'REKAP TOTAL'!F44</f>
        <v>2.9741573728331288E-5</v>
      </c>
      <c r="H22" s="527"/>
      <c r="I22" s="527"/>
      <c r="J22" s="527"/>
      <c r="K22" s="527"/>
      <c r="L22" s="527"/>
      <c r="M22" s="527"/>
      <c r="N22" s="527"/>
      <c r="O22" s="527"/>
      <c r="P22" s="527"/>
      <c r="Q22" s="527"/>
    </row>
    <row r="23" spans="1:17" s="506" customFormat="1">
      <c r="A23" s="662"/>
      <c r="B23" s="545"/>
      <c r="C23" s="546"/>
      <c r="D23" s="546"/>
      <c r="E23" s="663"/>
      <c r="F23" s="658"/>
      <c r="G23" s="664"/>
      <c r="H23" s="527"/>
      <c r="I23" s="527"/>
      <c r="J23" s="527"/>
      <c r="K23" s="527"/>
      <c r="L23" s="527"/>
      <c r="M23" s="527"/>
      <c r="N23" s="527"/>
      <c r="O23" s="527"/>
      <c r="P23" s="527"/>
      <c r="Q23" s="527"/>
    </row>
    <row r="24" spans="1:17" s="506" customFormat="1" ht="13.8">
      <c r="A24" s="2049" t="s">
        <v>603</v>
      </c>
      <c r="B24" s="545" t="s">
        <v>621</v>
      </c>
      <c r="C24" s="546" t="s">
        <v>262</v>
      </c>
      <c r="D24" s="665">
        <v>2</v>
      </c>
      <c r="E24" s="666">
        <v>474351.13514249999</v>
      </c>
      <c r="F24" s="658">
        <f>D24*E24</f>
        <v>948702.27028499998</v>
      </c>
      <c r="G24" s="659">
        <f>F24/'REKAP TOTAL'!F44</f>
        <v>7.8024111677296585E-5</v>
      </c>
      <c r="H24" s="527"/>
      <c r="I24" s="527"/>
      <c r="J24" s="527"/>
      <c r="K24" s="527"/>
      <c r="L24" s="527"/>
      <c r="M24" s="527"/>
      <c r="N24" s="527"/>
      <c r="O24" s="527"/>
      <c r="P24" s="527"/>
      <c r="Q24" s="527"/>
    </row>
    <row r="25" spans="1:17" s="506" customFormat="1">
      <c r="A25" s="546"/>
      <c r="B25" s="545"/>
      <c r="C25" s="546"/>
      <c r="D25" s="546"/>
      <c r="E25" s="547"/>
      <c r="F25" s="658"/>
      <c r="G25" s="664"/>
      <c r="H25" s="527"/>
      <c r="I25" s="527"/>
      <c r="J25" s="527"/>
      <c r="K25" s="527"/>
      <c r="L25" s="527"/>
      <c r="M25" s="527"/>
      <c r="N25" s="527"/>
      <c r="O25" s="527"/>
      <c r="P25" s="527"/>
      <c r="Q25" s="527"/>
    </row>
    <row r="26" spans="1:17" s="505" customFormat="1" ht="13.8">
      <c r="A26" s="2049" t="s">
        <v>603</v>
      </c>
      <c r="B26" s="541" t="s">
        <v>622</v>
      </c>
      <c r="C26" s="542" t="s">
        <v>623</v>
      </c>
      <c r="D26" s="542">
        <v>1</v>
      </c>
      <c r="E26" s="547">
        <v>218588.139</v>
      </c>
      <c r="F26" s="658">
        <f>D26*E26</f>
        <v>218588.139</v>
      </c>
      <c r="G26" s="659">
        <f>F26/'REKAP TOTAL'!F44</f>
        <v>1.7977342210370051E-5</v>
      </c>
      <c r="H26" s="551"/>
      <c r="I26" s="551"/>
      <c r="J26" s="551"/>
      <c r="K26" s="551"/>
      <c r="L26" s="551"/>
      <c r="M26" s="551"/>
      <c r="N26" s="551"/>
      <c r="O26" s="551"/>
      <c r="P26" s="551"/>
      <c r="Q26" s="551"/>
    </row>
    <row r="27" spans="1:17" s="505" customFormat="1">
      <c r="A27" s="561"/>
      <c r="B27" s="541"/>
      <c r="C27" s="542"/>
      <c r="D27" s="542"/>
      <c r="E27" s="547"/>
      <c r="F27" s="658"/>
      <c r="G27" s="667"/>
      <c r="H27" s="551"/>
      <c r="I27" s="551"/>
      <c r="J27" s="551"/>
      <c r="K27" s="551"/>
      <c r="L27" s="551"/>
      <c r="M27" s="551"/>
      <c r="N27" s="551"/>
      <c r="O27" s="551"/>
      <c r="P27" s="551"/>
      <c r="Q27" s="551"/>
    </row>
    <row r="28" spans="1:17" s="505" customFormat="1">
      <c r="A28" s="650">
        <v>2</v>
      </c>
      <c r="B28" s="559" t="s">
        <v>624</v>
      </c>
      <c r="C28" s="560"/>
      <c r="D28" s="542"/>
      <c r="E28" s="547"/>
      <c r="F28" s="658"/>
      <c r="G28" s="667"/>
      <c r="H28" s="551"/>
      <c r="I28" s="551"/>
      <c r="J28" s="551"/>
      <c r="K28" s="551"/>
      <c r="L28" s="551"/>
      <c r="M28" s="551"/>
      <c r="N28" s="551"/>
      <c r="O28" s="551"/>
      <c r="P28" s="551"/>
      <c r="Q28" s="551"/>
    </row>
    <row r="29" spans="1:17" s="505" customFormat="1">
      <c r="A29" s="650"/>
      <c r="B29" s="561" t="s">
        <v>625</v>
      </c>
      <c r="C29" s="560"/>
      <c r="D29" s="542"/>
      <c r="E29" s="547"/>
      <c r="F29" s="658"/>
      <c r="G29" s="667"/>
      <c r="H29" s="551"/>
      <c r="I29" s="551"/>
      <c r="J29" s="551"/>
      <c r="K29" s="551"/>
      <c r="L29" s="551"/>
      <c r="M29" s="551"/>
      <c r="N29" s="551"/>
      <c r="O29" s="551"/>
      <c r="P29" s="551"/>
      <c r="Q29" s="551"/>
    </row>
    <row r="30" spans="1:17" s="505" customFormat="1">
      <c r="A30" s="650">
        <v>2.1</v>
      </c>
      <c r="B30" s="559" t="s">
        <v>626</v>
      </c>
      <c r="C30" s="560"/>
      <c r="D30" s="542"/>
      <c r="E30" s="547"/>
      <c r="F30" s="658"/>
      <c r="G30" s="667"/>
      <c r="H30" s="551"/>
      <c r="I30" s="551"/>
      <c r="J30" s="551"/>
      <c r="K30" s="551"/>
      <c r="L30" s="551"/>
      <c r="M30" s="551"/>
      <c r="N30" s="551"/>
      <c r="O30" s="551"/>
      <c r="P30" s="551"/>
      <c r="Q30" s="551"/>
    </row>
    <row r="31" spans="1:17" s="506" customFormat="1">
      <c r="A31" s="646" t="s">
        <v>185</v>
      </c>
      <c r="B31" s="563" t="s">
        <v>612</v>
      </c>
      <c r="C31" s="546"/>
      <c r="D31" s="546"/>
      <c r="E31" s="547"/>
      <c r="F31" s="658"/>
      <c r="G31" s="649"/>
      <c r="H31" s="527"/>
      <c r="I31" s="527"/>
      <c r="J31" s="527"/>
      <c r="K31" s="527"/>
      <c r="L31" s="527"/>
      <c r="M31" s="527"/>
      <c r="N31" s="527"/>
      <c r="O31" s="527"/>
      <c r="P31" s="527"/>
      <c r="Q31" s="527"/>
    </row>
    <row r="32" spans="1:17" s="505" customFormat="1">
      <c r="A32" s="650"/>
      <c r="B32" s="561" t="s">
        <v>625</v>
      </c>
      <c r="C32" s="560"/>
      <c r="D32" s="542"/>
      <c r="E32" s="547"/>
      <c r="F32" s="658"/>
      <c r="G32" s="667"/>
      <c r="H32" s="551"/>
      <c r="I32" s="551"/>
      <c r="J32" s="551"/>
      <c r="K32" s="551"/>
      <c r="L32" s="551"/>
      <c r="M32" s="551"/>
      <c r="N32" s="551"/>
      <c r="O32" s="551"/>
      <c r="P32" s="551"/>
      <c r="Q32" s="551"/>
    </row>
    <row r="33" spans="1:17" s="505" customFormat="1" ht="13.8">
      <c r="A33" s="2049" t="s">
        <v>603</v>
      </c>
      <c r="B33" s="565" t="s">
        <v>627</v>
      </c>
      <c r="C33" s="542" t="s">
        <v>615</v>
      </c>
      <c r="D33" s="542">
        <v>61</v>
      </c>
      <c r="E33" s="547">
        <v>153634.63500000001</v>
      </c>
      <c r="F33" s="658">
        <f t="shared" ref="F33:F35" si="2">D33*E33</f>
        <v>9371712.7349999994</v>
      </c>
      <c r="G33" s="374">
        <f>F33/'REKAP TOTAL'!F44</f>
        <v>7.707576801977259E-4</v>
      </c>
      <c r="H33" s="551"/>
      <c r="I33" s="551"/>
      <c r="J33" s="551"/>
      <c r="K33" s="551"/>
      <c r="L33" s="551"/>
      <c r="M33" s="551"/>
      <c r="N33" s="551"/>
      <c r="O33" s="551"/>
      <c r="P33" s="551"/>
      <c r="Q33" s="551"/>
    </row>
    <row r="34" spans="1:17" s="506" customFormat="1" ht="13.8">
      <c r="A34" s="2049" t="s">
        <v>603</v>
      </c>
      <c r="B34" s="565" t="s">
        <v>628</v>
      </c>
      <c r="C34" s="546" t="s">
        <v>615</v>
      </c>
      <c r="D34" s="546">
        <v>10</v>
      </c>
      <c r="E34" s="547">
        <v>141794.1525</v>
      </c>
      <c r="F34" s="658">
        <f t="shared" si="2"/>
        <v>1417941.5249999999</v>
      </c>
      <c r="G34" s="374">
        <f>F34/'REKAP TOTAL'!F44</f>
        <v>1.1661575118318283E-4</v>
      </c>
      <c r="H34" s="527"/>
      <c r="I34" s="527"/>
      <c r="J34" s="527"/>
      <c r="K34" s="527"/>
      <c r="L34" s="527"/>
      <c r="M34" s="527"/>
      <c r="N34" s="527"/>
      <c r="O34" s="527"/>
      <c r="P34" s="527"/>
      <c r="Q34" s="527"/>
    </row>
    <row r="35" spans="1:17" s="505" customFormat="1" ht="13.8">
      <c r="A35" s="2049" t="s">
        <v>603</v>
      </c>
      <c r="B35" s="541" t="s">
        <v>622</v>
      </c>
      <c r="C35" s="542" t="s">
        <v>623</v>
      </c>
      <c r="D35" s="542">
        <v>1</v>
      </c>
      <c r="E35" s="547">
        <v>353500</v>
      </c>
      <c r="F35" s="658">
        <f t="shared" si="2"/>
        <v>353500</v>
      </c>
      <c r="G35" s="374">
        <f>F35/'REKAP TOTAL'!F44</f>
        <v>2.9072897095142999E-5</v>
      </c>
      <c r="H35" s="551"/>
      <c r="I35" s="551"/>
      <c r="J35" s="551"/>
      <c r="K35" s="551"/>
      <c r="L35" s="551"/>
      <c r="M35" s="551"/>
      <c r="N35" s="551"/>
      <c r="O35" s="551"/>
      <c r="P35" s="551"/>
      <c r="Q35" s="551"/>
    </row>
    <row r="36" spans="1:17" s="505" customFormat="1">
      <c r="A36" s="561"/>
      <c r="B36" s="541"/>
      <c r="C36" s="542"/>
      <c r="D36" s="542"/>
      <c r="E36" s="547"/>
      <c r="F36" s="658"/>
      <c r="G36" s="667"/>
      <c r="H36" s="551"/>
      <c r="I36" s="551"/>
      <c r="J36" s="551"/>
      <c r="K36" s="551"/>
      <c r="L36" s="551"/>
      <c r="M36" s="551"/>
      <c r="N36" s="551"/>
      <c r="O36" s="551"/>
      <c r="P36" s="551"/>
      <c r="Q36" s="551"/>
    </row>
    <row r="37" spans="1:17" s="506" customFormat="1">
      <c r="A37" s="668">
        <v>2.2000000000000002</v>
      </c>
      <c r="B37" s="563" t="s">
        <v>629</v>
      </c>
      <c r="C37" s="581"/>
      <c r="D37" s="546"/>
      <c r="E37" s="547"/>
      <c r="F37" s="658"/>
      <c r="G37" s="649"/>
      <c r="H37" s="527"/>
      <c r="I37" s="527"/>
      <c r="J37" s="527"/>
      <c r="K37" s="527"/>
      <c r="L37" s="527"/>
      <c r="M37" s="527"/>
      <c r="N37" s="527"/>
      <c r="O37" s="527"/>
      <c r="P37" s="527"/>
      <c r="Q37" s="527"/>
    </row>
    <row r="38" spans="1:17" s="506" customFormat="1">
      <c r="A38" s="668"/>
      <c r="B38" s="567" t="s">
        <v>625</v>
      </c>
      <c r="C38" s="586"/>
      <c r="D38" s="587"/>
      <c r="E38" s="669"/>
      <c r="F38" s="670"/>
      <c r="G38" s="649"/>
      <c r="H38" s="527"/>
      <c r="I38" s="527"/>
      <c r="J38" s="527"/>
      <c r="K38" s="527"/>
      <c r="L38" s="527"/>
      <c r="M38" s="527"/>
      <c r="N38" s="527"/>
      <c r="O38" s="527"/>
      <c r="P38" s="527"/>
      <c r="Q38" s="527"/>
    </row>
    <row r="39" spans="1:17" s="506" customFormat="1">
      <c r="A39" s="671" t="s">
        <v>185</v>
      </c>
      <c r="B39" s="559" t="s">
        <v>612</v>
      </c>
      <c r="C39" s="542"/>
      <c r="D39" s="542"/>
      <c r="E39" s="672"/>
      <c r="F39" s="673"/>
      <c r="G39" s="649"/>
      <c r="H39" s="527"/>
      <c r="I39" s="527"/>
      <c r="J39" s="527"/>
      <c r="K39" s="527"/>
      <c r="L39" s="527"/>
      <c r="M39" s="527"/>
      <c r="N39" s="527"/>
      <c r="O39" s="527"/>
      <c r="P39" s="527"/>
      <c r="Q39" s="527"/>
    </row>
    <row r="40" spans="1:17" s="506" customFormat="1">
      <c r="A40" s="671"/>
      <c r="B40" s="559" t="s">
        <v>630</v>
      </c>
      <c r="C40" s="542"/>
      <c r="D40" s="542"/>
      <c r="E40" s="672"/>
      <c r="F40" s="673"/>
      <c r="G40" s="649"/>
      <c r="H40" s="527"/>
      <c r="I40" s="527"/>
      <c r="J40" s="527"/>
      <c r="K40" s="527"/>
      <c r="L40" s="527"/>
      <c r="M40" s="527"/>
      <c r="N40" s="527"/>
      <c r="O40" s="527"/>
      <c r="P40" s="527"/>
      <c r="Q40" s="527"/>
    </row>
    <row r="41" spans="1:17" s="506" customFormat="1" ht="13.8">
      <c r="A41" s="2049" t="s">
        <v>603</v>
      </c>
      <c r="B41" s="565" t="s">
        <v>631</v>
      </c>
      <c r="C41" s="546" t="s">
        <v>615</v>
      </c>
      <c r="D41" s="546">
        <f>140</f>
        <v>140</v>
      </c>
      <c r="E41" s="672">
        <v>232012.21312500001</v>
      </c>
      <c r="F41" s="658">
        <f t="shared" ref="F41:F42" si="3">D41*E41</f>
        <v>32481709.837499999</v>
      </c>
      <c r="G41" s="374">
        <f>F41/'REKAP TOTAL'!F44</f>
        <v>2.6713929493067368E-3</v>
      </c>
      <c r="H41" s="527"/>
      <c r="I41" s="527"/>
      <c r="J41" s="527"/>
      <c r="K41" s="527"/>
      <c r="L41" s="527"/>
      <c r="M41" s="527"/>
      <c r="N41" s="527"/>
      <c r="O41" s="527"/>
      <c r="P41" s="527"/>
      <c r="Q41" s="527"/>
    </row>
    <row r="42" spans="1:17" s="506" customFormat="1" ht="13.8">
      <c r="A42" s="2049" t="s">
        <v>603</v>
      </c>
      <c r="B42" s="576" t="s">
        <v>632</v>
      </c>
      <c r="C42" s="546" t="s">
        <v>615</v>
      </c>
      <c r="D42" s="546">
        <v>15</v>
      </c>
      <c r="E42" s="672">
        <v>141794.1525</v>
      </c>
      <c r="F42" s="658">
        <f t="shared" si="3"/>
        <v>2126912.2875000001</v>
      </c>
      <c r="G42" s="374">
        <f>F42/'REKAP TOTAL'!F44</f>
        <v>1.7492362677477426E-4</v>
      </c>
      <c r="H42" s="527"/>
      <c r="I42" s="527"/>
      <c r="J42" s="527"/>
      <c r="K42" s="527"/>
      <c r="L42" s="527"/>
      <c r="M42" s="527"/>
      <c r="N42" s="527"/>
      <c r="O42" s="527"/>
      <c r="P42" s="527"/>
      <c r="Q42" s="527"/>
    </row>
    <row r="43" spans="1:17" s="505" customFormat="1">
      <c r="A43" s="561"/>
      <c r="B43" s="541"/>
      <c r="C43" s="542"/>
      <c r="D43" s="542"/>
      <c r="E43" s="672"/>
      <c r="F43" s="673"/>
      <c r="G43" s="667"/>
      <c r="H43" s="551"/>
      <c r="I43" s="551"/>
      <c r="J43" s="551"/>
      <c r="K43" s="551"/>
      <c r="L43" s="551"/>
      <c r="M43" s="551"/>
      <c r="N43" s="551"/>
      <c r="O43" s="551"/>
      <c r="P43" s="551"/>
      <c r="Q43" s="551"/>
    </row>
    <row r="44" spans="1:17" s="506" customFormat="1">
      <c r="A44" s="668">
        <v>2.2999999999999998</v>
      </c>
      <c r="B44" s="563" t="s">
        <v>633</v>
      </c>
      <c r="C44" s="581"/>
      <c r="D44" s="546"/>
      <c r="E44" s="674"/>
      <c r="F44" s="675"/>
      <c r="G44" s="649"/>
      <c r="H44" s="527"/>
      <c r="I44" s="527"/>
      <c r="J44" s="527"/>
      <c r="K44" s="527"/>
      <c r="L44" s="527"/>
      <c r="M44" s="527"/>
      <c r="N44" s="527"/>
      <c r="O44" s="527"/>
      <c r="P44" s="527"/>
      <c r="Q44" s="527"/>
    </row>
    <row r="45" spans="1:17" s="506" customFormat="1">
      <c r="A45" s="668"/>
      <c r="B45" s="567" t="s">
        <v>634</v>
      </c>
      <c r="C45" s="581"/>
      <c r="D45" s="546"/>
      <c r="E45" s="674"/>
      <c r="F45" s="675"/>
      <c r="G45" s="649"/>
      <c r="H45" s="527"/>
      <c r="I45" s="527"/>
      <c r="J45" s="527"/>
      <c r="K45" s="527"/>
      <c r="L45" s="527"/>
      <c r="M45" s="527"/>
      <c r="N45" s="527"/>
      <c r="O45" s="527"/>
      <c r="P45" s="527"/>
      <c r="Q45" s="527"/>
    </row>
    <row r="46" spans="1:17" s="506" customFormat="1" ht="13.8">
      <c r="A46" s="2049" t="s">
        <v>603</v>
      </c>
      <c r="B46" s="576" t="s">
        <v>632</v>
      </c>
      <c r="C46" s="546" t="s">
        <v>615</v>
      </c>
      <c r="D46" s="546">
        <v>5</v>
      </c>
      <c r="E46" s="672">
        <v>71319.950624999998</v>
      </c>
      <c r="F46" s="658">
        <f t="shared" ref="F46:F49" si="4">D46*E46</f>
        <v>356599.75312499999</v>
      </c>
      <c r="G46" s="374">
        <f>F46/'REKAP TOTAL'!F44</f>
        <v>2.9327830061546033E-5</v>
      </c>
      <c r="H46" s="527"/>
      <c r="I46" s="527"/>
      <c r="J46" s="527"/>
      <c r="K46" s="527"/>
      <c r="L46" s="527"/>
      <c r="M46" s="527"/>
      <c r="N46" s="527"/>
      <c r="O46" s="527"/>
      <c r="P46" s="527"/>
      <c r="Q46" s="527"/>
    </row>
    <row r="47" spans="1:17" s="506" customFormat="1" ht="13.8">
      <c r="A47" s="2049" t="s">
        <v>603</v>
      </c>
      <c r="B47" s="576" t="s">
        <v>635</v>
      </c>
      <c r="C47" s="546" t="s">
        <v>615</v>
      </c>
      <c r="D47" s="546">
        <v>20</v>
      </c>
      <c r="E47" s="672">
        <v>46297.453125</v>
      </c>
      <c r="F47" s="658">
        <f t="shared" si="4"/>
        <v>925949.0625</v>
      </c>
      <c r="G47" s="374">
        <f>F47/'REKAP TOTAL'!F44</f>
        <v>7.6152819828590186E-5</v>
      </c>
      <c r="H47" s="527"/>
      <c r="I47" s="527"/>
      <c r="J47" s="527"/>
      <c r="K47" s="527"/>
      <c r="L47" s="527"/>
      <c r="M47" s="527"/>
      <c r="N47" s="527"/>
      <c r="O47" s="527"/>
      <c r="P47" s="527"/>
      <c r="Q47" s="527"/>
    </row>
    <row r="48" spans="1:17" s="506" customFormat="1" ht="13.8">
      <c r="A48" s="2049" t="s">
        <v>603</v>
      </c>
      <c r="B48" s="545" t="s">
        <v>636</v>
      </c>
      <c r="C48" s="546" t="s">
        <v>262</v>
      </c>
      <c r="D48" s="546">
        <v>1</v>
      </c>
      <c r="E48" s="672">
        <v>250858.96956521799</v>
      </c>
      <c r="F48" s="658">
        <f t="shared" si="4"/>
        <v>250858.96956521799</v>
      </c>
      <c r="G48" s="374">
        <f>F48/'REKAP TOTAL'!F44</f>
        <v>2.0631391817717658E-5</v>
      </c>
      <c r="H48" s="527"/>
      <c r="I48" s="527"/>
      <c r="J48" s="527"/>
      <c r="K48" s="527"/>
      <c r="L48" s="527"/>
      <c r="M48" s="527"/>
      <c r="N48" s="527"/>
      <c r="O48" s="527"/>
      <c r="P48" s="527"/>
      <c r="Q48" s="527"/>
    </row>
    <row r="49" spans="1:17" s="506" customFormat="1" ht="13.8">
      <c r="A49" s="2049" t="s">
        <v>603</v>
      </c>
      <c r="B49" s="545" t="s">
        <v>622</v>
      </c>
      <c r="C49" s="546" t="s">
        <v>623</v>
      </c>
      <c r="D49" s="546">
        <v>1</v>
      </c>
      <c r="E49" s="672">
        <v>190890</v>
      </c>
      <c r="F49" s="658">
        <f t="shared" si="4"/>
        <v>190890</v>
      </c>
      <c r="G49" s="374">
        <f>F49/'REKAP TOTAL'!F44</f>
        <v>1.569936443137722E-5</v>
      </c>
      <c r="H49" s="527"/>
      <c r="I49" s="527"/>
      <c r="J49" s="527"/>
      <c r="K49" s="527"/>
      <c r="L49" s="527"/>
      <c r="M49" s="527"/>
      <c r="N49" s="527"/>
      <c r="O49" s="527"/>
      <c r="P49" s="527"/>
      <c r="Q49" s="527"/>
    </row>
    <row r="50" spans="1:17" s="506" customFormat="1">
      <c r="A50" s="592"/>
      <c r="B50" s="545"/>
      <c r="C50" s="546"/>
      <c r="D50" s="546"/>
      <c r="E50" s="674"/>
      <c r="F50" s="675"/>
      <c r="G50" s="649"/>
      <c r="H50" s="527"/>
      <c r="I50" s="527"/>
      <c r="J50" s="527"/>
      <c r="K50" s="527"/>
      <c r="L50" s="527"/>
      <c r="M50" s="527"/>
      <c r="N50" s="527"/>
      <c r="O50" s="527"/>
      <c r="P50" s="527"/>
      <c r="Q50" s="527"/>
    </row>
    <row r="51" spans="1:17" s="505" customFormat="1" ht="16.5" customHeight="1">
      <c r="A51" s="650">
        <v>3</v>
      </c>
      <c r="B51" s="559" t="s">
        <v>637</v>
      </c>
      <c r="C51" s="560"/>
      <c r="D51" s="542"/>
      <c r="E51" s="672"/>
      <c r="F51" s="673"/>
      <c r="G51" s="667"/>
      <c r="H51" s="551"/>
      <c r="I51" s="551"/>
      <c r="J51" s="551"/>
      <c r="K51" s="551"/>
      <c r="L51" s="551"/>
      <c r="M51" s="551"/>
      <c r="N51" s="551"/>
      <c r="O51" s="551"/>
      <c r="P51" s="551"/>
      <c r="Q51" s="551"/>
    </row>
    <row r="52" spans="1:17" s="506" customFormat="1" ht="16.5" customHeight="1">
      <c r="A52" s="646"/>
      <c r="B52" s="563" t="s">
        <v>612</v>
      </c>
      <c r="C52" s="546"/>
      <c r="D52" s="546"/>
      <c r="E52" s="672"/>
      <c r="F52" s="673"/>
      <c r="G52" s="649"/>
      <c r="H52" s="527"/>
      <c r="I52" s="527"/>
      <c r="J52" s="527"/>
      <c r="K52" s="527"/>
      <c r="L52" s="527"/>
      <c r="M52" s="527"/>
      <c r="N52" s="527"/>
      <c r="O52" s="527"/>
      <c r="P52" s="527"/>
      <c r="Q52" s="527"/>
    </row>
    <row r="53" spans="1:17" s="505" customFormat="1" ht="16.5" customHeight="1">
      <c r="A53" s="646" t="s">
        <v>185</v>
      </c>
      <c r="B53" s="559" t="s">
        <v>638</v>
      </c>
      <c r="C53" s="560"/>
      <c r="D53" s="542"/>
      <c r="E53" s="672"/>
      <c r="F53" s="673"/>
      <c r="G53" s="667"/>
      <c r="H53" s="551"/>
      <c r="I53" s="551"/>
      <c r="J53" s="551"/>
      <c r="K53" s="551"/>
      <c r="L53" s="551"/>
      <c r="M53" s="551"/>
      <c r="N53" s="551"/>
      <c r="O53" s="551"/>
      <c r="P53" s="551"/>
      <c r="Q53" s="551"/>
    </row>
    <row r="54" spans="1:17" s="505" customFormat="1" ht="16.5" customHeight="1">
      <c r="A54" s="650"/>
      <c r="B54" s="561" t="s">
        <v>639</v>
      </c>
      <c r="C54" s="560"/>
      <c r="D54" s="542"/>
      <c r="E54" s="672"/>
      <c r="F54" s="673"/>
      <c r="G54" s="667"/>
      <c r="H54" s="551"/>
      <c r="I54" s="551"/>
      <c r="J54" s="551"/>
      <c r="K54" s="551"/>
      <c r="L54" s="551"/>
      <c r="M54" s="551"/>
      <c r="N54" s="551"/>
      <c r="O54" s="551"/>
      <c r="P54" s="551"/>
      <c r="Q54" s="551"/>
    </row>
    <row r="55" spans="1:17" s="505" customFormat="1" ht="16.5" customHeight="1">
      <c r="A55" s="2049" t="s">
        <v>603</v>
      </c>
      <c r="B55" s="565" t="s">
        <v>640</v>
      </c>
      <c r="C55" s="542" t="s">
        <v>262</v>
      </c>
      <c r="D55" s="542">
        <v>1</v>
      </c>
      <c r="E55" s="672">
        <v>466872.5</v>
      </c>
      <c r="F55" s="658">
        <f t="shared" ref="F55:F56" si="5">D55*E55</f>
        <v>466872.5</v>
      </c>
      <c r="G55" s="374">
        <f>F55/'REKAP TOTAL'!F44</f>
        <v>3.8396990520656717E-5</v>
      </c>
      <c r="H55" s="551"/>
      <c r="I55" s="551"/>
      <c r="J55" s="551"/>
      <c r="K55" s="551"/>
      <c r="L55" s="551"/>
      <c r="M55" s="551"/>
      <c r="N55" s="551"/>
      <c r="O55" s="551"/>
      <c r="P55" s="551"/>
      <c r="Q55" s="551"/>
    </row>
    <row r="56" spans="1:17" s="506" customFormat="1" ht="16.5" customHeight="1">
      <c r="A56" s="546"/>
      <c r="B56" s="576" t="s">
        <v>641</v>
      </c>
      <c r="C56" s="546" t="s">
        <v>262</v>
      </c>
      <c r="D56" s="546">
        <v>4</v>
      </c>
      <c r="E56" s="661">
        <v>504303.1</v>
      </c>
      <c r="F56" s="658">
        <f t="shared" si="5"/>
        <v>2017212.4</v>
      </c>
      <c r="G56" s="374">
        <f>F56/'REKAP TOTAL'!F44</f>
        <v>1.6590157998372398E-4</v>
      </c>
      <c r="H56" s="527"/>
      <c r="I56" s="527"/>
      <c r="J56" s="527"/>
      <c r="K56" s="527"/>
      <c r="L56" s="527"/>
      <c r="M56" s="527"/>
      <c r="N56" s="527"/>
      <c r="O56" s="527"/>
      <c r="P56" s="527"/>
      <c r="Q56" s="527"/>
    </row>
    <row r="57" spans="1:17" s="505" customFormat="1">
      <c r="A57" s="542"/>
      <c r="B57" s="565"/>
      <c r="C57" s="542"/>
      <c r="D57" s="542"/>
      <c r="E57" s="672"/>
      <c r="F57" s="673"/>
      <c r="G57" s="667"/>
      <c r="H57" s="551"/>
      <c r="I57" s="551"/>
      <c r="J57" s="551"/>
      <c r="K57" s="551"/>
      <c r="L57" s="551"/>
      <c r="M57" s="551"/>
      <c r="N57" s="551"/>
      <c r="O57" s="551"/>
      <c r="P57" s="551"/>
      <c r="Q57" s="551"/>
    </row>
    <row r="58" spans="1:17" s="506" customFormat="1">
      <c r="A58" s="662" t="s">
        <v>188</v>
      </c>
      <c r="B58" s="563" t="s">
        <v>642</v>
      </c>
      <c r="C58" s="546"/>
      <c r="D58" s="546"/>
      <c r="E58" s="674"/>
      <c r="F58" s="675"/>
      <c r="G58" s="649"/>
      <c r="H58" s="527"/>
      <c r="I58" s="527"/>
      <c r="J58" s="527"/>
      <c r="K58" s="527"/>
      <c r="L58" s="527"/>
      <c r="M58" s="527"/>
      <c r="N58" s="527"/>
      <c r="O58" s="527"/>
      <c r="P58" s="527"/>
      <c r="Q58" s="527"/>
    </row>
    <row r="59" spans="1:17" s="506" customFormat="1">
      <c r="A59" s="546"/>
      <c r="B59" s="561" t="s">
        <v>639</v>
      </c>
      <c r="C59" s="546"/>
      <c r="D59" s="546"/>
      <c r="E59" s="674"/>
      <c r="F59" s="675"/>
      <c r="G59" s="649"/>
      <c r="H59" s="527"/>
      <c r="I59" s="527"/>
      <c r="J59" s="527"/>
      <c r="K59" s="527"/>
      <c r="L59" s="527"/>
      <c r="M59" s="527"/>
      <c r="N59" s="527"/>
      <c r="O59" s="527"/>
      <c r="P59" s="527"/>
      <c r="Q59" s="527"/>
    </row>
    <row r="60" spans="1:17" s="506" customFormat="1" ht="13.8">
      <c r="A60" s="2049" t="s">
        <v>603</v>
      </c>
      <c r="B60" s="576" t="s">
        <v>643</v>
      </c>
      <c r="C60" s="546" t="s">
        <v>262</v>
      </c>
      <c r="D60" s="546">
        <v>2</v>
      </c>
      <c r="E60" s="676">
        <v>364862.5</v>
      </c>
      <c r="F60" s="658">
        <f>D60*E60</f>
        <v>729725</v>
      </c>
      <c r="G60" s="374">
        <f>F60/'REKAP TOTAL'!F44</f>
        <v>6.0014766146402334E-5</v>
      </c>
      <c r="H60" s="527"/>
      <c r="I60" s="527"/>
      <c r="J60" s="527"/>
      <c r="K60" s="527"/>
      <c r="L60" s="527"/>
      <c r="M60" s="527"/>
      <c r="N60" s="527"/>
      <c r="O60" s="527"/>
      <c r="P60" s="527"/>
      <c r="Q60" s="527"/>
    </row>
    <row r="61" spans="1:17" s="506" customFormat="1">
      <c r="A61" s="567"/>
      <c r="B61" s="577"/>
      <c r="C61" s="581"/>
      <c r="D61" s="546"/>
      <c r="E61" s="674"/>
      <c r="F61" s="673"/>
      <c r="G61" s="649"/>
      <c r="H61" s="527"/>
      <c r="I61" s="527"/>
      <c r="J61" s="527"/>
      <c r="K61" s="527"/>
      <c r="L61" s="527"/>
      <c r="M61" s="527"/>
      <c r="N61" s="527"/>
      <c r="O61" s="527"/>
      <c r="P61" s="527"/>
      <c r="Q61" s="527"/>
    </row>
    <row r="62" spans="1:17" s="506" customFormat="1" ht="15" customHeight="1">
      <c r="A62" s="646">
        <v>4</v>
      </c>
      <c r="B62" s="677" t="s">
        <v>644</v>
      </c>
      <c r="C62" s="581"/>
      <c r="D62" s="546"/>
      <c r="E62" s="672"/>
      <c r="F62" s="673"/>
      <c r="G62" s="649"/>
      <c r="H62" s="527"/>
      <c r="I62" s="527"/>
      <c r="J62" s="527"/>
      <c r="K62" s="527"/>
      <c r="L62" s="527"/>
      <c r="M62" s="527"/>
      <c r="N62" s="527"/>
      <c r="O62" s="527"/>
      <c r="P62" s="527"/>
      <c r="Q62" s="527"/>
    </row>
    <row r="63" spans="1:17" s="506" customFormat="1" ht="15" customHeight="1">
      <c r="A63" s="646"/>
      <c r="B63" s="567" t="s">
        <v>625</v>
      </c>
      <c r="C63" s="581"/>
      <c r="D63" s="546"/>
      <c r="E63" s="672"/>
      <c r="F63" s="673"/>
      <c r="G63" s="649"/>
      <c r="H63" s="527"/>
      <c r="I63" s="527"/>
      <c r="J63" s="527"/>
      <c r="K63" s="527"/>
      <c r="L63" s="527"/>
      <c r="M63" s="527"/>
      <c r="N63" s="527"/>
      <c r="O63" s="527"/>
      <c r="P63" s="527"/>
      <c r="Q63" s="527"/>
    </row>
    <row r="64" spans="1:17" s="506" customFormat="1" ht="15" customHeight="1">
      <c r="A64" s="662"/>
      <c r="B64" s="563" t="s">
        <v>612</v>
      </c>
      <c r="C64" s="546"/>
      <c r="D64" s="546"/>
      <c r="E64" s="672"/>
      <c r="F64" s="673"/>
      <c r="G64" s="649"/>
      <c r="H64" s="527"/>
      <c r="I64" s="527"/>
      <c r="J64" s="527"/>
      <c r="K64" s="527"/>
      <c r="L64" s="527"/>
      <c r="M64" s="527"/>
      <c r="N64" s="527"/>
      <c r="O64" s="527"/>
      <c r="P64" s="527"/>
      <c r="Q64" s="527"/>
    </row>
    <row r="65" spans="1:17" s="506" customFormat="1" ht="15" customHeight="1">
      <c r="A65" s="2049" t="s">
        <v>603</v>
      </c>
      <c r="B65" s="576" t="s">
        <v>645</v>
      </c>
      <c r="C65" s="642" t="s">
        <v>615</v>
      </c>
      <c r="D65" s="642">
        <f>7*24</f>
        <v>168</v>
      </c>
      <c r="E65" s="678">
        <v>449398.80562499998</v>
      </c>
      <c r="F65" s="658">
        <f>D65*E65</f>
        <v>75498999.344999999</v>
      </c>
      <c r="G65" s="374">
        <f>F65/'REKAP TOTAL'!F44</f>
        <v>6.2092634759362197E-3</v>
      </c>
      <c r="H65" s="527"/>
      <c r="I65" s="527"/>
      <c r="J65" s="527"/>
      <c r="K65" s="527"/>
      <c r="L65" s="527"/>
      <c r="M65" s="527"/>
      <c r="N65" s="527"/>
      <c r="O65" s="527"/>
      <c r="P65" s="527"/>
      <c r="Q65" s="527"/>
    </row>
    <row r="66" spans="1:17" s="506" customFormat="1">
      <c r="A66" s="646"/>
      <c r="B66" s="576"/>
      <c r="C66" s="546"/>
      <c r="D66" s="546"/>
      <c r="E66" s="647"/>
      <c r="F66" s="658"/>
      <c r="G66" s="649"/>
      <c r="H66" s="527"/>
      <c r="I66" s="527"/>
      <c r="J66" s="527"/>
      <c r="K66" s="527"/>
      <c r="L66" s="527"/>
      <c r="M66" s="527"/>
      <c r="N66" s="527"/>
      <c r="O66" s="527"/>
      <c r="P66" s="527"/>
      <c r="Q66" s="527"/>
    </row>
    <row r="67" spans="1:17" s="506" customFormat="1">
      <c r="A67" s="646">
        <v>5</v>
      </c>
      <c r="B67" s="677" t="s">
        <v>646</v>
      </c>
      <c r="C67" s="581"/>
      <c r="D67" s="546"/>
      <c r="E67" s="647"/>
      <c r="F67" s="658"/>
      <c r="G67" s="649"/>
      <c r="H67" s="527"/>
      <c r="I67" s="527"/>
      <c r="J67" s="527"/>
      <c r="K67" s="527"/>
      <c r="L67" s="527"/>
      <c r="M67" s="527"/>
      <c r="N67" s="527"/>
      <c r="O67" s="527"/>
      <c r="P67" s="527"/>
      <c r="Q67" s="527"/>
    </row>
    <row r="68" spans="1:17" s="506" customFormat="1">
      <c r="A68" s="646"/>
      <c r="B68" s="567" t="s">
        <v>625</v>
      </c>
      <c r="C68" s="581"/>
      <c r="D68" s="546"/>
      <c r="E68" s="647"/>
      <c r="F68" s="658"/>
      <c r="G68" s="649"/>
      <c r="H68" s="527"/>
      <c r="I68" s="527"/>
      <c r="J68" s="527"/>
      <c r="K68" s="527"/>
      <c r="L68" s="527"/>
      <c r="M68" s="527"/>
      <c r="N68" s="527"/>
      <c r="O68" s="527"/>
      <c r="P68" s="527"/>
      <c r="Q68" s="527"/>
    </row>
    <row r="69" spans="1:17" s="506" customFormat="1">
      <c r="A69" s="646"/>
      <c r="B69" s="567" t="s">
        <v>647</v>
      </c>
      <c r="C69" s="581"/>
      <c r="D69" s="546"/>
      <c r="E69" s="647"/>
      <c r="F69" s="658"/>
      <c r="G69" s="649"/>
      <c r="H69" s="527"/>
      <c r="I69" s="527"/>
      <c r="J69" s="527"/>
      <c r="K69" s="527"/>
      <c r="L69" s="527"/>
      <c r="M69" s="527"/>
      <c r="N69" s="527"/>
      <c r="O69" s="527"/>
      <c r="P69" s="527"/>
      <c r="Q69" s="527"/>
    </row>
    <row r="70" spans="1:17" s="506" customFormat="1" ht="13.8">
      <c r="A70" s="662"/>
      <c r="B70" s="563" t="s">
        <v>612</v>
      </c>
      <c r="C70" s="546"/>
      <c r="D70" s="546"/>
      <c r="E70" s="672"/>
      <c r="F70" s="673"/>
      <c r="G70" s="374"/>
      <c r="H70" s="527"/>
      <c r="I70" s="527"/>
      <c r="J70" s="527"/>
      <c r="K70" s="527"/>
      <c r="L70" s="527"/>
      <c r="M70" s="527"/>
      <c r="N70" s="527"/>
      <c r="O70" s="527"/>
      <c r="P70" s="527"/>
      <c r="Q70" s="527"/>
    </row>
    <row r="71" spans="1:17" s="506" customFormat="1" ht="13.8">
      <c r="A71" s="2049" t="s">
        <v>603</v>
      </c>
      <c r="B71" s="576" t="s">
        <v>648</v>
      </c>
      <c r="C71" s="546" t="s">
        <v>615</v>
      </c>
      <c r="D71" s="546">
        <f>45+15</f>
        <v>60</v>
      </c>
      <c r="E71" s="548">
        <v>603376.60074999998</v>
      </c>
      <c r="F71" s="658">
        <f t="shared" ref="F71:F73" si="6">D71*E71</f>
        <v>36202596.045000002</v>
      </c>
      <c r="G71" s="374">
        <f>F71/'REKAP TOTAL'!F44</f>
        <v>2.9774097578311623E-3</v>
      </c>
      <c r="H71" s="527"/>
      <c r="I71" s="527"/>
      <c r="J71" s="527"/>
      <c r="K71" s="527"/>
      <c r="L71" s="527"/>
      <c r="M71" s="527"/>
      <c r="N71" s="527"/>
      <c r="O71" s="527"/>
      <c r="P71" s="527"/>
      <c r="Q71" s="527"/>
    </row>
    <row r="72" spans="1:17" s="506" customFormat="1" ht="13.8">
      <c r="A72" s="2049" t="s">
        <v>603</v>
      </c>
      <c r="B72" s="576" t="s">
        <v>649</v>
      </c>
      <c r="C72" s="546" t="s">
        <v>615</v>
      </c>
      <c r="D72" s="546">
        <v>33</v>
      </c>
      <c r="E72" s="548">
        <v>373552.22437499999</v>
      </c>
      <c r="F72" s="658">
        <f t="shared" si="6"/>
        <v>12327223.404375</v>
      </c>
      <c r="G72" s="374">
        <f>F72/'REKAP TOTAL'!F44</f>
        <v>1.0138277157121151E-3</v>
      </c>
      <c r="H72" s="527"/>
      <c r="I72" s="527"/>
      <c r="J72" s="527"/>
      <c r="K72" s="527"/>
      <c r="L72" s="527"/>
      <c r="M72" s="527"/>
      <c r="N72" s="527"/>
      <c r="O72" s="527"/>
      <c r="P72" s="527"/>
      <c r="Q72" s="527"/>
    </row>
    <row r="73" spans="1:17" s="506" customFormat="1" ht="13.8">
      <c r="A73" s="2049" t="s">
        <v>603</v>
      </c>
      <c r="B73" s="576" t="s">
        <v>645</v>
      </c>
      <c r="C73" s="546" t="s">
        <v>615</v>
      </c>
      <c r="D73" s="546">
        <v>46</v>
      </c>
      <c r="E73" s="548">
        <v>449398.80562499998</v>
      </c>
      <c r="F73" s="658">
        <f t="shared" si="6"/>
        <v>20672345.05875</v>
      </c>
      <c r="G73" s="374">
        <f>F73/'REKAP TOTAL'!F44</f>
        <v>1.7001554755539648E-3</v>
      </c>
      <c r="H73" s="527"/>
      <c r="I73" s="527"/>
      <c r="J73" s="527"/>
      <c r="K73" s="527"/>
      <c r="L73" s="527"/>
      <c r="M73" s="527"/>
      <c r="N73" s="527"/>
      <c r="O73" s="527"/>
      <c r="P73" s="527"/>
      <c r="Q73" s="527"/>
    </row>
    <row r="74" spans="1:17" s="628" customFormat="1">
      <c r="A74" s="662"/>
      <c r="B74" s="679"/>
      <c r="C74" s="680"/>
      <c r="D74" s="587"/>
      <c r="E74" s="681"/>
      <c r="F74" s="585"/>
      <c r="G74" s="595"/>
      <c r="H74" s="523"/>
      <c r="I74" s="523"/>
      <c r="J74" s="523"/>
      <c r="K74" s="523"/>
      <c r="L74" s="523"/>
      <c r="M74" s="523"/>
      <c r="N74" s="523"/>
      <c r="O74" s="523"/>
      <c r="P74" s="523"/>
      <c r="Q74" s="523"/>
    </row>
    <row r="75" spans="1:17" s="506" customFormat="1">
      <c r="A75" s="662"/>
      <c r="B75" s="563" t="s">
        <v>650</v>
      </c>
      <c r="C75" s="546"/>
      <c r="D75" s="546"/>
      <c r="E75" s="568"/>
      <c r="F75" s="658"/>
      <c r="G75" s="649"/>
      <c r="H75" s="527"/>
      <c r="I75" s="527"/>
      <c r="J75" s="527"/>
      <c r="K75" s="527"/>
      <c r="L75" s="527"/>
      <c r="M75" s="527"/>
      <c r="N75" s="527"/>
      <c r="O75" s="527"/>
      <c r="P75" s="527"/>
      <c r="Q75" s="527"/>
    </row>
    <row r="76" spans="1:17" s="506" customFormat="1" ht="13.8">
      <c r="A76" s="2049" t="s">
        <v>603</v>
      </c>
      <c r="B76" s="576" t="s">
        <v>645</v>
      </c>
      <c r="C76" s="546" t="s">
        <v>615</v>
      </c>
      <c r="D76" s="546">
        <f>2*24</f>
        <v>48</v>
      </c>
      <c r="E76" s="548">
        <v>449398.80562499998</v>
      </c>
      <c r="F76" s="658">
        <f>D76*E76</f>
        <v>21571142.670000002</v>
      </c>
      <c r="G76" s="374">
        <f>F76/'REKAP TOTAL'!F44</f>
        <v>1.77407527883892E-3</v>
      </c>
      <c r="H76" s="527"/>
      <c r="I76" s="527"/>
      <c r="J76" s="527"/>
      <c r="K76" s="527"/>
      <c r="L76" s="527"/>
      <c r="M76" s="527"/>
      <c r="N76" s="527"/>
      <c r="O76" s="527"/>
      <c r="P76" s="527"/>
      <c r="Q76" s="527"/>
    </row>
    <row r="77" spans="1:17" s="506" customFormat="1">
      <c r="A77" s="646"/>
      <c r="B77" s="576"/>
      <c r="C77" s="546"/>
      <c r="D77" s="546"/>
      <c r="E77" s="568"/>
      <c r="F77" s="658"/>
      <c r="G77" s="649"/>
      <c r="H77" s="527"/>
      <c r="I77" s="527"/>
      <c r="J77" s="527"/>
      <c r="K77" s="527"/>
      <c r="L77" s="527"/>
      <c r="M77" s="527"/>
      <c r="N77" s="527"/>
      <c r="O77" s="527"/>
      <c r="P77" s="527"/>
      <c r="Q77" s="527"/>
    </row>
    <row r="78" spans="1:17" s="506" customFormat="1">
      <c r="A78" s="646">
        <v>6</v>
      </c>
      <c r="B78" s="677" t="s">
        <v>651</v>
      </c>
      <c r="C78" s="546"/>
      <c r="D78" s="546"/>
      <c r="E78" s="568"/>
      <c r="F78" s="658"/>
      <c r="G78" s="649"/>
      <c r="H78" s="527"/>
      <c r="I78" s="527"/>
      <c r="J78" s="527"/>
      <c r="K78" s="527"/>
      <c r="L78" s="527"/>
      <c r="M78" s="527"/>
      <c r="N78" s="527"/>
      <c r="O78" s="527"/>
      <c r="P78" s="527"/>
      <c r="Q78" s="527"/>
    </row>
    <row r="79" spans="1:17" s="506" customFormat="1">
      <c r="A79" s="546"/>
      <c r="B79" s="567" t="s">
        <v>652</v>
      </c>
      <c r="C79" s="546"/>
      <c r="D79" s="546"/>
      <c r="E79" s="568"/>
      <c r="F79" s="658"/>
      <c r="G79" s="649"/>
      <c r="H79" s="527"/>
      <c r="I79" s="527"/>
      <c r="J79" s="527"/>
      <c r="K79" s="527"/>
      <c r="L79" s="527"/>
      <c r="M79" s="527"/>
      <c r="N79" s="527"/>
      <c r="O79" s="527"/>
      <c r="P79" s="527"/>
      <c r="Q79" s="527"/>
    </row>
    <row r="80" spans="1:17" s="506" customFormat="1">
      <c r="A80" s="546"/>
      <c r="B80" s="567" t="s">
        <v>653</v>
      </c>
      <c r="C80" s="546"/>
      <c r="D80" s="546"/>
      <c r="E80" s="568"/>
      <c r="F80" s="658"/>
      <c r="G80" s="649"/>
      <c r="H80" s="527"/>
      <c r="I80" s="527"/>
      <c r="J80" s="527"/>
      <c r="K80" s="527"/>
      <c r="L80" s="527"/>
      <c r="M80" s="527"/>
      <c r="N80" s="527"/>
      <c r="O80" s="527"/>
      <c r="P80" s="527"/>
      <c r="Q80" s="527"/>
    </row>
    <row r="81" spans="1:17" s="506" customFormat="1" ht="13.8">
      <c r="A81" s="2049" t="s">
        <v>603</v>
      </c>
      <c r="B81" s="576" t="s">
        <v>645</v>
      </c>
      <c r="C81" s="546" t="s">
        <v>262</v>
      </c>
      <c r="D81" s="546">
        <v>24</v>
      </c>
      <c r="E81" s="575">
        <v>637227.9375</v>
      </c>
      <c r="F81" s="658">
        <f>D81*E81</f>
        <v>15293470.5</v>
      </c>
      <c r="G81" s="374">
        <f>F81/'REKAP TOTAL'!F44</f>
        <v>1.2577807470271715E-3</v>
      </c>
      <c r="H81" s="527"/>
      <c r="I81" s="527"/>
      <c r="J81" s="527"/>
      <c r="K81" s="527"/>
      <c r="L81" s="527"/>
      <c r="M81" s="527"/>
      <c r="N81" s="527"/>
      <c r="O81" s="527"/>
      <c r="P81" s="527"/>
      <c r="Q81" s="527"/>
    </row>
    <row r="82" spans="1:17" s="506" customFormat="1">
      <c r="A82" s="682"/>
      <c r="B82" s="567"/>
      <c r="C82" s="581"/>
      <c r="D82" s="546"/>
      <c r="E82" s="568"/>
      <c r="F82" s="658"/>
      <c r="G82" s="649"/>
      <c r="H82" s="527"/>
      <c r="I82" s="527"/>
      <c r="J82" s="527"/>
      <c r="K82" s="527"/>
      <c r="L82" s="527"/>
      <c r="M82" s="527"/>
      <c r="N82" s="527"/>
      <c r="O82" s="527"/>
      <c r="P82" s="527"/>
      <c r="Q82" s="527"/>
    </row>
    <row r="83" spans="1:17" s="506" customFormat="1">
      <c r="A83" s="646" t="s">
        <v>34</v>
      </c>
      <c r="B83" s="563" t="s">
        <v>654</v>
      </c>
      <c r="C83" s="566"/>
      <c r="D83" s="567"/>
      <c r="E83" s="568"/>
      <c r="F83" s="567"/>
      <c r="G83" s="649"/>
      <c r="H83" s="527"/>
      <c r="I83" s="527"/>
      <c r="J83" s="527"/>
      <c r="K83" s="527"/>
      <c r="L83" s="527"/>
      <c r="M83" s="527"/>
      <c r="N83" s="527"/>
      <c r="O83" s="527"/>
      <c r="P83" s="527"/>
      <c r="Q83" s="527"/>
    </row>
    <row r="84" spans="1:17" s="506" customFormat="1">
      <c r="A84" s="683"/>
      <c r="B84" s="563"/>
      <c r="C84" s="566"/>
      <c r="D84" s="567"/>
      <c r="E84" s="568"/>
      <c r="F84" s="567"/>
      <c r="G84" s="649"/>
      <c r="H84" s="527"/>
      <c r="I84" s="527"/>
      <c r="J84" s="527"/>
      <c r="K84" s="527"/>
      <c r="L84" s="527"/>
      <c r="M84" s="527"/>
      <c r="N84" s="527"/>
      <c r="O84" s="527"/>
      <c r="P84" s="527"/>
      <c r="Q84" s="527"/>
    </row>
    <row r="85" spans="1:17" s="506" customFormat="1">
      <c r="A85" s="682" t="s">
        <v>185</v>
      </c>
      <c r="B85" s="563" t="s">
        <v>655</v>
      </c>
      <c r="C85" s="572"/>
      <c r="D85" s="567"/>
      <c r="E85" s="568"/>
      <c r="F85" s="658"/>
      <c r="G85" s="649"/>
      <c r="H85" s="527"/>
      <c r="I85" s="527"/>
      <c r="J85" s="527"/>
      <c r="K85" s="527"/>
      <c r="L85" s="527"/>
      <c r="M85" s="527"/>
      <c r="N85" s="527"/>
      <c r="O85" s="527"/>
      <c r="P85" s="527"/>
      <c r="Q85" s="527"/>
    </row>
    <row r="86" spans="1:17" s="506" customFormat="1">
      <c r="A86" s="567"/>
      <c r="B86" s="567" t="s">
        <v>656</v>
      </c>
      <c r="C86" s="572"/>
      <c r="D86" s="567"/>
      <c r="E86" s="568"/>
      <c r="F86" s="658"/>
      <c r="G86" s="649"/>
      <c r="H86" s="527"/>
      <c r="I86" s="527"/>
      <c r="J86" s="527"/>
      <c r="K86" s="527"/>
      <c r="L86" s="527"/>
      <c r="M86" s="527"/>
      <c r="N86" s="527"/>
      <c r="O86" s="527"/>
      <c r="P86" s="527"/>
      <c r="Q86" s="527"/>
    </row>
    <row r="87" spans="1:17" s="506" customFormat="1">
      <c r="A87" s="682"/>
      <c r="B87" s="567" t="s">
        <v>657</v>
      </c>
      <c r="C87" s="572"/>
      <c r="D87" s="567"/>
      <c r="E87" s="568"/>
      <c r="F87" s="658"/>
      <c r="G87" s="649"/>
      <c r="H87" s="527"/>
      <c r="I87" s="527"/>
      <c r="J87" s="527"/>
      <c r="K87" s="527"/>
      <c r="L87" s="527"/>
      <c r="M87" s="527"/>
      <c r="N87" s="527"/>
      <c r="O87" s="527"/>
      <c r="P87" s="527"/>
      <c r="Q87" s="527"/>
    </row>
    <row r="88" spans="1:17" s="506" customFormat="1" ht="13.8">
      <c r="A88" s="2049" t="s">
        <v>603</v>
      </c>
      <c r="B88" s="574" t="s">
        <v>658</v>
      </c>
      <c r="C88" s="572" t="s">
        <v>623</v>
      </c>
      <c r="D88" s="546">
        <v>1</v>
      </c>
      <c r="E88" s="575">
        <v>3484500</v>
      </c>
      <c r="F88" s="658">
        <f t="shared" ref="F88:F90" si="7">D88*E88</f>
        <v>3484500</v>
      </c>
      <c r="G88" s="374">
        <f>F88/'REKAP TOTAL'!F44</f>
        <v>2.8657569993783812E-4</v>
      </c>
      <c r="H88" s="527"/>
      <c r="I88" s="527"/>
      <c r="J88" s="527"/>
      <c r="K88" s="527"/>
      <c r="L88" s="527"/>
      <c r="M88" s="527"/>
      <c r="N88" s="527"/>
      <c r="O88" s="527"/>
      <c r="P88" s="527"/>
      <c r="Q88" s="527"/>
    </row>
    <row r="89" spans="1:17" s="506" customFormat="1" ht="13.8">
      <c r="A89" s="2049" t="s">
        <v>603</v>
      </c>
      <c r="B89" s="576" t="s">
        <v>659</v>
      </c>
      <c r="C89" s="572" t="s">
        <v>615</v>
      </c>
      <c r="D89" s="546">
        <v>210</v>
      </c>
      <c r="E89" s="575">
        <v>151845.92499999999</v>
      </c>
      <c r="F89" s="658">
        <f t="shared" si="7"/>
        <v>31887644.25</v>
      </c>
      <c r="G89" s="374">
        <f>F89/'REKAP TOTAL'!F44</f>
        <v>2.6225352189159215E-3</v>
      </c>
      <c r="H89" s="527"/>
      <c r="I89" s="527"/>
      <c r="J89" s="527"/>
      <c r="K89" s="527"/>
      <c r="L89" s="527"/>
      <c r="M89" s="527"/>
      <c r="N89" s="527"/>
      <c r="O89" s="527"/>
      <c r="P89" s="527"/>
      <c r="Q89" s="527"/>
    </row>
    <row r="90" spans="1:17" s="506" customFormat="1" ht="13.8">
      <c r="A90" s="2049" t="s">
        <v>603</v>
      </c>
      <c r="B90" s="576" t="s">
        <v>660</v>
      </c>
      <c r="C90" s="572" t="s">
        <v>615</v>
      </c>
      <c r="D90" s="546">
        <f>SUM((13*3)+8)</f>
        <v>47</v>
      </c>
      <c r="E90" s="575">
        <v>94801.63</v>
      </c>
      <c r="F90" s="658">
        <f t="shared" si="7"/>
        <v>4455676.6100000003</v>
      </c>
      <c r="G90" s="374">
        <f>F90/'REKAP TOTAL'!F44</f>
        <v>3.6644816851984615E-4</v>
      </c>
      <c r="H90" s="527"/>
      <c r="I90" s="527"/>
      <c r="J90" s="527"/>
      <c r="K90" s="527"/>
      <c r="L90" s="527"/>
      <c r="M90" s="527"/>
      <c r="N90" s="527"/>
      <c r="O90" s="527"/>
      <c r="P90" s="527"/>
      <c r="Q90" s="527"/>
    </row>
    <row r="91" spans="1:17" s="506" customFormat="1">
      <c r="A91" s="567"/>
      <c r="B91" s="577"/>
      <c r="C91" s="566"/>
      <c r="D91" s="567"/>
      <c r="E91" s="568"/>
      <c r="F91" s="658"/>
      <c r="G91" s="649"/>
      <c r="H91" s="527"/>
      <c r="I91" s="527"/>
      <c r="J91" s="527"/>
      <c r="K91" s="527"/>
      <c r="L91" s="527"/>
      <c r="M91" s="527"/>
      <c r="N91" s="527"/>
      <c r="O91" s="527"/>
      <c r="P91" s="527"/>
      <c r="Q91" s="527"/>
    </row>
    <row r="92" spans="1:17" s="506" customFormat="1">
      <c r="A92" s="2050" t="s">
        <v>188</v>
      </c>
      <c r="B92" s="563" t="s">
        <v>661</v>
      </c>
      <c r="C92" s="572" t="s">
        <v>262</v>
      </c>
      <c r="D92" s="546">
        <v>11</v>
      </c>
      <c r="E92" s="665" t="s">
        <v>662</v>
      </c>
      <c r="F92" s="684" t="s">
        <v>662</v>
      </c>
      <c r="G92" s="649"/>
      <c r="H92" s="527"/>
      <c r="I92" s="527"/>
      <c r="J92" s="527"/>
      <c r="K92" s="527"/>
      <c r="L92" s="527"/>
      <c r="M92" s="527"/>
      <c r="N92" s="527"/>
      <c r="O92" s="527"/>
      <c r="P92" s="527"/>
      <c r="Q92" s="527"/>
    </row>
    <row r="93" spans="1:17" s="629" customFormat="1" ht="13.8">
      <c r="A93" s="2051" t="s">
        <v>603</v>
      </c>
      <c r="B93" s="686" t="s">
        <v>663</v>
      </c>
      <c r="C93" s="687" t="s">
        <v>262</v>
      </c>
      <c r="D93" s="685">
        <f>D92</f>
        <v>11</v>
      </c>
      <c r="E93" s="688">
        <v>524947.5</v>
      </c>
      <c r="F93" s="658">
        <f>D93*E93</f>
        <v>5774422.5</v>
      </c>
      <c r="G93" s="374">
        <f>F93/'REKAP TOTAL'!F44</f>
        <v>4.7490577404916089E-4</v>
      </c>
      <c r="H93" s="689"/>
      <c r="I93" s="689"/>
      <c r="J93" s="689"/>
      <c r="K93" s="689"/>
      <c r="L93" s="689"/>
      <c r="M93" s="689"/>
      <c r="N93" s="689"/>
      <c r="O93" s="689"/>
      <c r="P93" s="689"/>
      <c r="Q93" s="689"/>
    </row>
    <row r="94" spans="1:17" s="506" customFormat="1">
      <c r="A94" s="690"/>
      <c r="B94" s="567"/>
      <c r="C94" s="572"/>
      <c r="D94" s="546"/>
      <c r="E94" s="568"/>
      <c r="F94" s="658"/>
      <c r="G94" s="649"/>
      <c r="H94" s="527"/>
      <c r="I94" s="527"/>
      <c r="J94" s="527"/>
      <c r="K94" s="527"/>
      <c r="L94" s="527"/>
      <c r="M94" s="527"/>
      <c r="N94" s="527"/>
      <c r="O94" s="527"/>
      <c r="P94" s="527"/>
      <c r="Q94" s="527"/>
    </row>
    <row r="95" spans="1:17" s="506" customFormat="1" ht="13.5" customHeight="1">
      <c r="A95" s="2050" t="s">
        <v>195</v>
      </c>
      <c r="B95" s="563" t="s">
        <v>664</v>
      </c>
      <c r="C95" s="572"/>
      <c r="D95" s="546"/>
      <c r="E95" s="568"/>
      <c r="F95" s="658"/>
      <c r="G95" s="649"/>
      <c r="H95" s="527"/>
      <c r="I95" s="527"/>
      <c r="J95" s="527"/>
      <c r="K95" s="527"/>
      <c r="L95" s="527"/>
      <c r="M95" s="527"/>
      <c r="N95" s="527"/>
      <c r="O95" s="527"/>
      <c r="P95" s="527"/>
      <c r="Q95" s="527"/>
    </row>
    <row r="96" spans="1:17" s="506" customFormat="1">
      <c r="A96" s="662"/>
      <c r="B96" s="567" t="s">
        <v>665</v>
      </c>
      <c r="C96" s="572"/>
      <c r="D96" s="546"/>
      <c r="E96" s="568"/>
      <c r="F96" s="658"/>
      <c r="G96" s="649"/>
      <c r="H96" s="527"/>
      <c r="I96" s="527"/>
      <c r="J96" s="527"/>
      <c r="K96" s="527"/>
      <c r="L96" s="527"/>
      <c r="M96" s="527"/>
      <c r="N96" s="527"/>
      <c r="O96" s="527"/>
      <c r="P96" s="527"/>
      <c r="Q96" s="527"/>
    </row>
    <row r="97" spans="1:17" s="506" customFormat="1" ht="13.8">
      <c r="A97" s="2049" t="s">
        <v>603</v>
      </c>
      <c r="B97" s="589" t="s">
        <v>659</v>
      </c>
      <c r="C97" s="572" t="s">
        <v>262</v>
      </c>
      <c r="D97" s="546">
        <v>1</v>
      </c>
      <c r="E97" s="691">
        <v>778088.85</v>
      </c>
      <c r="F97" s="658">
        <f t="shared" ref="F97:F99" si="8">D97*E97</f>
        <v>778088.85</v>
      </c>
      <c r="G97" s="374">
        <f>F97/'REKAP TOTAL'!F44</f>
        <v>6.3992353796119253E-5</v>
      </c>
      <c r="H97" s="527"/>
      <c r="I97" s="527"/>
      <c r="J97" s="527"/>
      <c r="K97" s="527"/>
      <c r="L97" s="527"/>
      <c r="M97" s="527"/>
      <c r="N97" s="527"/>
      <c r="O97" s="527"/>
      <c r="P97" s="527"/>
      <c r="Q97" s="527"/>
    </row>
    <row r="98" spans="1:17" s="506" customFormat="1" ht="13.8">
      <c r="A98" s="2049" t="s">
        <v>603</v>
      </c>
      <c r="B98" s="576" t="s">
        <v>660</v>
      </c>
      <c r="C98" s="572" t="s">
        <v>262</v>
      </c>
      <c r="D98" s="546">
        <v>13</v>
      </c>
      <c r="E98" s="575">
        <v>634153.14500999998</v>
      </c>
      <c r="F98" s="658">
        <f t="shared" si="8"/>
        <v>8243990.8851300003</v>
      </c>
      <c r="G98" s="374">
        <f>F98/'REKAP TOTAL'!F44</f>
        <v>6.7801046296090902E-4</v>
      </c>
      <c r="H98" s="527"/>
      <c r="I98" s="527"/>
      <c r="J98" s="527"/>
      <c r="K98" s="527"/>
      <c r="L98" s="527"/>
      <c r="M98" s="527"/>
      <c r="N98" s="527"/>
      <c r="O98" s="527"/>
      <c r="P98" s="527"/>
      <c r="Q98" s="527"/>
    </row>
    <row r="99" spans="1:17" s="506" customFormat="1" ht="13.8">
      <c r="A99" s="2049" t="s">
        <v>603</v>
      </c>
      <c r="B99" s="576" t="s">
        <v>666</v>
      </c>
      <c r="C99" s="572" t="s">
        <v>262</v>
      </c>
      <c r="D99" s="546">
        <v>2</v>
      </c>
      <c r="E99" s="575">
        <v>634153.14500999998</v>
      </c>
      <c r="F99" s="658">
        <f t="shared" si="8"/>
        <v>1268306.29002</v>
      </c>
      <c r="G99" s="374">
        <f>F99/'REKAP TOTAL'!F44</f>
        <v>1.0430930199398599E-4</v>
      </c>
      <c r="H99" s="527"/>
      <c r="I99" s="527"/>
      <c r="J99" s="527"/>
      <c r="K99" s="527"/>
      <c r="L99" s="527"/>
      <c r="M99" s="527"/>
      <c r="N99" s="527"/>
      <c r="O99" s="527"/>
      <c r="P99" s="527"/>
      <c r="Q99" s="527"/>
    </row>
    <row r="100" spans="1:17" s="506" customFormat="1">
      <c r="A100" s="690"/>
      <c r="B100" s="545"/>
      <c r="C100" s="572"/>
      <c r="D100" s="546"/>
      <c r="E100" s="568"/>
      <c r="F100" s="658"/>
      <c r="G100" s="649"/>
      <c r="H100" s="527"/>
      <c r="I100" s="527"/>
      <c r="J100" s="527"/>
      <c r="K100" s="527"/>
      <c r="L100" s="527"/>
      <c r="M100" s="527"/>
      <c r="N100" s="527"/>
      <c r="O100" s="527"/>
      <c r="P100" s="527"/>
      <c r="Q100" s="527"/>
    </row>
    <row r="101" spans="1:17" s="506" customFormat="1">
      <c r="A101" s="646" t="s">
        <v>34</v>
      </c>
      <c r="B101" s="563" t="s">
        <v>667</v>
      </c>
      <c r="C101" s="581"/>
      <c r="D101" s="546"/>
      <c r="E101" s="568"/>
      <c r="F101" s="658"/>
      <c r="G101" s="649"/>
      <c r="H101" s="527"/>
      <c r="I101" s="527"/>
      <c r="J101" s="527"/>
      <c r="K101" s="527"/>
      <c r="L101" s="527"/>
      <c r="M101" s="527"/>
      <c r="N101" s="527"/>
      <c r="O101" s="527"/>
      <c r="P101" s="527"/>
      <c r="Q101" s="527"/>
    </row>
    <row r="102" spans="1:17" s="506" customFormat="1">
      <c r="A102" s="567"/>
      <c r="B102" s="563"/>
      <c r="C102" s="581"/>
      <c r="D102" s="546"/>
      <c r="E102" s="568"/>
      <c r="F102" s="658"/>
      <c r="G102" s="649"/>
      <c r="H102" s="527"/>
      <c r="I102" s="527"/>
      <c r="J102" s="527"/>
      <c r="K102" s="527"/>
      <c r="L102" s="527"/>
      <c r="M102" s="527"/>
      <c r="N102" s="527"/>
      <c r="O102" s="527"/>
      <c r="P102" s="527"/>
      <c r="Q102" s="527"/>
    </row>
    <row r="103" spans="1:17" s="506" customFormat="1">
      <c r="A103" s="563">
        <v>1</v>
      </c>
      <c r="B103" s="563" t="s">
        <v>668</v>
      </c>
      <c r="C103" s="581"/>
      <c r="D103" s="546"/>
      <c r="E103" s="568"/>
      <c r="F103" s="658"/>
      <c r="G103" s="649"/>
      <c r="H103" s="527"/>
      <c r="I103" s="527"/>
      <c r="J103" s="527"/>
      <c r="K103" s="527"/>
      <c r="L103" s="527"/>
      <c r="M103" s="527"/>
      <c r="N103" s="527"/>
      <c r="O103" s="527"/>
      <c r="P103" s="527"/>
      <c r="Q103" s="527"/>
    </row>
    <row r="104" spans="1:17" s="506" customFormat="1">
      <c r="A104" s="668"/>
      <c r="B104" s="563" t="s">
        <v>612</v>
      </c>
      <c r="C104" s="581"/>
      <c r="D104" s="546"/>
      <c r="E104" s="568"/>
      <c r="F104" s="658"/>
      <c r="G104" s="649"/>
      <c r="H104" s="527"/>
      <c r="I104" s="527"/>
      <c r="J104" s="527"/>
      <c r="K104" s="527"/>
      <c r="L104" s="527"/>
      <c r="M104" s="527"/>
      <c r="N104" s="527"/>
      <c r="O104" s="527"/>
      <c r="P104" s="527"/>
      <c r="Q104" s="527"/>
    </row>
    <row r="105" spans="1:17" s="506" customFormat="1" ht="13.8">
      <c r="A105" s="2052" t="s">
        <v>603</v>
      </c>
      <c r="B105" s="567" t="s">
        <v>669</v>
      </c>
      <c r="C105" s="581" t="s">
        <v>135</v>
      </c>
      <c r="D105" s="546">
        <v>1</v>
      </c>
      <c r="E105" s="575">
        <v>734926.5</v>
      </c>
      <c r="F105" s="658">
        <f>D105*E105</f>
        <v>734926.5</v>
      </c>
      <c r="G105" s="374">
        <f>F105/'REKAP TOTAL'!F44</f>
        <v>6.0442553060802289E-5</v>
      </c>
      <c r="H105" s="527"/>
      <c r="I105" s="527"/>
      <c r="J105" s="527"/>
      <c r="K105" s="527"/>
      <c r="L105" s="527"/>
      <c r="M105" s="527"/>
      <c r="N105" s="527"/>
      <c r="O105" s="527"/>
      <c r="P105" s="527"/>
      <c r="Q105" s="527"/>
    </row>
    <row r="106" spans="1:17" s="506" customFormat="1">
      <c r="A106" s="662"/>
      <c r="B106" s="567" t="s">
        <v>670</v>
      </c>
      <c r="C106" s="581"/>
      <c r="D106" s="546"/>
      <c r="E106" s="568"/>
      <c r="F106" s="658"/>
      <c r="G106" s="649"/>
      <c r="H106" s="527"/>
      <c r="I106" s="527"/>
      <c r="J106" s="527"/>
      <c r="K106" s="527"/>
      <c r="L106" s="527"/>
      <c r="M106" s="527"/>
      <c r="N106" s="527"/>
      <c r="O106" s="527"/>
      <c r="P106" s="527"/>
      <c r="Q106" s="527"/>
    </row>
    <row r="107" spans="1:17" s="506" customFormat="1">
      <c r="A107" s="662"/>
      <c r="B107" s="567" t="s">
        <v>671</v>
      </c>
      <c r="C107" s="581"/>
      <c r="D107" s="546"/>
      <c r="E107" s="568"/>
      <c r="F107" s="658"/>
      <c r="G107" s="649"/>
      <c r="H107" s="527"/>
      <c r="I107" s="527"/>
      <c r="J107" s="527"/>
      <c r="K107" s="527"/>
      <c r="L107" s="527"/>
      <c r="M107" s="527"/>
      <c r="N107" s="527"/>
      <c r="O107" s="527"/>
      <c r="P107" s="527"/>
      <c r="Q107" s="527"/>
    </row>
    <row r="108" spans="1:17" s="506" customFormat="1">
      <c r="A108" s="693"/>
      <c r="B108" s="585" t="s">
        <v>672</v>
      </c>
      <c r="C108" s="586"/>
      <c r="D108" s="587"/>
      <c r="E108" s="588"/>
      <c r="F108" s="658"/>
      <c r="G108" s="649"/>
      <c r="H108" s="527"/>
      <c r="I108" s="527"/>
      <c r="J108" s="527"/>
      <c r="K108" s="527"/>
      <c r="L108" s="527"/>
      <c r="M108" s="527"/>
      <c r="N108" s="527"/>
      <c r="O108" s="527"/>
      <c r="P108" s="527"/>
      <c r="Q108" s="527"/>
    </row>
    <row r="109" spans="1:17" s="506" customFormat="1">
      <c r="A109" s="693"/>
      <c r="B109" s="585"/>
      <c r="C109" s="586"/>
      <c r="D109" s="587"/>
      <c r="E109" s="588"/>
      <c r="F109" s="658"/>
      <c r="G109" s="649"/>
      <c r="H109" s="527"/>
      <c r="I109" s="527"/>
      <c r="J109" s="527"/>
      <c r="K109" s="527"/>
      <c r="L109" s="527"/>
      <c r="M109" s="527"/>
      <c r="N109" s="527"/>
      <c r="O109" s="527"/>
      <c r="P109" s="527"/>
      <c r="Q109" s="527"/>
    </row>
    <row r="110" spans="1:17" s="506" customFormat="1" ht="15" customHeight="1">
      <c r="A110" s="646">
        <v>2</v>
      </c>
      <c r="B110" s="563" t="s">
        <v>673</v>
      </c>
      <c r="C110" s="581"/>
      <c r="D110" s="546"/>
      <c r="E110" s="568"/>
      <c r="F110" s="658"/>
      <c r="G110" s="649"/>
      <c r="H110" s="527"/>
      <c r="I110" s="527"/>
      <c r="J110" s="527"/>
      <c r="K110" s="527"/>
      <c r="L110" s="527"/>
      <c r="M110" s="527"/>
      <c r="N110" s="527"/>
      <c r="O110" s="527"/>
      <c r="P110" s="527"/>
      <c r="Q110" s="527"/>
    </row>
    <row r="111" spans="1:17" s="506" customFormat="1" ht="15" customHeight="1">
      <c r="A111" s="662"/>
      <c r="B111" s="567" t="s">
        <v>674</v>
      </c>
      <c r="C111" s="581"/>
      <c r="D111" s="546"/>
      <c r="E111" s="568"/>
      <c r="F111" s="658"/>
      <c r="G111" s="649"/>
      <c r="H111" s="527"/>
      <c r="I111" s="527"/>
      <c r="J111" s="527"/>
      <c r="K111" s="527"/>
      <c r="L111" s="527"/>
      <c r="M111" s="527"/>
      <c r="N111" s="527"/>
      <c r="O111" s="527"/>
      <c r="P111" s="527"/>
      <c r="Q111" s="527"/>
    </row>
    <row r="112" spans="1:17" s="506" customFormat="1" ht="15" customHeight="1">
      <c r="A112" s="546"/>
      <c r="B112" s="567" t="s">
        <v>675</v>
      </c>
      <c r="C112" s="581"/>
      <c r="D112" s="546"/>
      <c r="E112" s="568"/>
      <c r="F112" s="658"/>
      <c r="G112" s="649"/>
      <c r="H112" s="527"/>
      <c r="I112" s="527"/>
      <c r="J112" s="527"/>
      <c r="K112" s="527"/>
      <c r="L112" s="527"/>
      <c r="M112" s="527"/>
      <c r="N112" s="527"/>
      <c r="O112" s="527"/>
      <c r="P112" s="527"/>
      <c r="Q112" s="527"/>
    </row>
    <row r="113" spans="1:17" s="506" customFormat="1" ht="15" customHeight="1">
      <c r="A113" s="546"/>
      <c r="B113" s="567" t="s">
        <v>676</v>
      </c>
      <c r="C113" s="581"/>
      <c r="D113" s="546"/>
      <c r="E113" s="568"/>
      <c r="F113" s="658"/>
      <c r="G113" s="649"/>
      <c r="H113" s="527"/>
      <c r="I113" s="527"/>
      <c r="J113" s="527"/>
      <c r="K113" s="527"/>
      <c r="L113" s="527"/>
      <c r="M113" s="527"/>
      <c r="N113" s="527"/>
      <c r="O113" s="527"/>
      <c r="P113" s="527"/>
      <c r="Q113" s="527"/>
    </row>
    <row r="114" spans="1:17" s="506" customFormat="1" ht="15" customHeight="1">
      <c r="A114" s="646" t="s">
        <v>677</v>
      </c>
      <c r="B114" s="563" t="s">
        <v>678</v>
      </c>
      <c r="C114" s="581"/>
      <c r="D114" s="546"/>
      <c r="E114" s="568"/>
      <c r="F114" s="658"/>
      <c r="G114" s="649"/>
      <c r="H114" s="527"/>
      <c r="I114" s="527"/>
      <c r="J114" s="527"/>
      <c r="K114" s="527"/>
      <c r="L114" s="527"/>
      <c r="M114" s="527"/>
      <c r="N114" s="527"/>
      <c r="O114" s="527"/>
      <c r="P114" s="527"/>
      <c r="Q114" s="527"/>
    </row>
    <row r="115" spans="1:17" s="506" customFormat="1" ht="15" customHeight="1">
      <c r="A115" s="646"/>
      <c r="B115" s="563" t="s">
        <v>612</v>
      </c>
      <c r="C115" s="581"/>
      <c r="D115" s="546"/>
      <c r="E115" s="568"/>
      <c r="F115" s="658"/>
      <c r="G115" s="649"/>
      <c r="H115" s="527"/>
      <c r="I115" s="527"/>
      <c r="J115" s="527"/>
      <c r="K115" s="527"/>
      <c r="L115" s="527"/>
      <c r="M115" s="527"/>
      <c r="N115" s="527"/>
      <c r="O115" s="527"/>
      <c r="P115" s="527"/>
      <c r="Q115" s="527"/>
    </row>
    <row r="116" spans="1:17" s="506" customFormat="1" ht="15" customHeight="1">
      <c r="A116" s="2049" t="s">
        <v>603</v>
      </c>
      <c r="B116" s="563" t="s">
        <v>679</v>
      </c>
      <c r="C116" s="581"/>
      <c r="D116" s="546"/>
      <c r="E116" s="568"/>
      <c r="F116" s="658"/>
      <c r="G116" s="649"/>
      <c r="H116" s="527"/>
      <c r="I116" s="527"/>
      <c r="J116" s="527"/>
      <c r="K116" s="527"/>
      <c r="L116" s="527"/>
      <c r="M116" s="527"/>
      <c r="N116" s="527"/>
      <c r="O116" s="527"/>
      <c r="P116" s="527"/>
      <c r="Q116" s="527"/>
    </row>
    <row r="117" spans="1:17" s="506" customFormat="1" ht="15" customHeight="1">
      <c r="A117" s="646"/>
      <c r="B117" s="567" t="s">
        <v>680</v>
      </c>
      <c r="C117" s="581" t="s">
        <v>681</v>
      </c>
      <c r="D117" s="546">
        <v>20</v>
      </c>
      <c r="E117" s="575">
        <v>75320.244999999995</v>
      </c>
      <c r="F117" s="658">
        <f>D117*E117</f>
        <v>1506404.9</v>
      </c>
      <c r="G117" s="374">
        <f>F117/'REKAP TOTAL'!F44</f>
        <v>1.2389124368124236E-4</v>
      </c>
      <c r="H117" s="527"/>
      <c r="I117" s="527"/>
      <c r="J117" s="527"/>
      <c r="K117" s="527"/>
      <c r="L117" s="527"/>
      <c r="M117" s="527"/>
      <c r="N117" s="527"/>
      <c r="O117" s="527"/>
      <c r="P117" s="527"/>
      <c r="Q117" s="527"/>
    </row>
    <row r="118" spans="1:17" s="506" customFormat="1" ht="15" customHeight="1">
      <c r="A118" s="646"/>
      <c r="B118" s="567"/>
      <c r="C118" s="581"/>
      <c r="D118" s="546"/>
      <c r="E118" s="568"/>
      <c r="F118" s="694"/>
      <c r="G118" s="649"/>
      <c r="H118" s="527"/>
      <c r="I118" s="527"/>
      <c r="J118" s="527"/>
      <c r="K118" s="527"/>
      <c r="L118" s="527"/>
      <c r="M118" s="527"/>
      <c r="N118" s="527"/>
      <c r="O118" s="527"/>
      <c r="P118" s="527"/>
      <c r="Q118" s="527"/>
    </row>
    <row r="119" spans="1:17" s="506" customFormat="1" ht="15" customHeight="1">
      <c r="A119" s="2049" t="s">
        <v>603</v>
      </c>
      <c r="B119" s="563" t="s">
        <v>682</v>
      </c>
      <c r="C119" s="581"/>
      <c r="D119" s="546"/>
      <c r="E119" s="568"/>
      <c r="F119" s="694"/>
      <c r="G119" s="649"/>
      <c r="H119" s="527"/>
      <c r="I119" s="527"/>
      <c r="J119" s="527"/>
      <c r="K119" s="527"/>
      <c r="L119" s="527"/>
      <c r="M119" s="527"/>
      <c r="N119" s="527"/>
      <c r="O119" s="527"/>
      <c r="P119" s="527"/>
      <c r="Q119" s="527"/>
    </row>
    <row r="120" spans="1:17" s="506" customFormat="1" ht="15" customHeight="1">
      <c r="A120" s="646"/>
      <c r="B120" s="567" t="s">
        <v>683</v>
      </c>
      <c r="C120" s="581" t="s">
        <v>681</v>
      </c>
      <c r="D120" s="546">
        <v>20</v>
      </c>
      <c r="E120" s="575">
        <v>95773.755000000005</v>
      </c>
      <c r="F120" s="658">
        <f>D120*E120</f>
        <v>1915475.1</v>
      </c>
      <c r="G120" s="374">
        <f>F120/'REKAP TOTAL'!F44</f>
        <v>1.5753440019974186E-4</v>
      </c>
      <c r="H120" s="527"/>
      <c r="I120" s="527"/>
      <c r="J120" s="527"/>
      <c r="K120" s="527"/>
      <c r="L120" s="527"/>
      <c r="M120" s="527"/>
      <c r="N120" s="527"/>
      <c r="O120" s="527"/>
      <c r="P120" s="527"/>
      <c r="Q120" s="527"/>
    </row>
    <row r="121" spans="1:17" s="506" customFormat="1">
      <c r="A121" s="646"/>
      <c r="B121" s="567"/>
      <c r="C121" s="581"/>
      <c r="D121" s="546"/>
      <c r="E121" s="568"/>
      <c r="F121" s="694"/>
      <c r="G121" s="649"/>
      <c r="H121" s="527"/>
      <c r="I121" s="527"/>
      <c r="J121" s="527"/>
      <c r="K121" s="527"/>
      <c r="L121" s="527"/>
      <c r="M121" s="527"/>
      <c r="N121" s="527"/>
      <c r="O121" s="527"/>
      <c r="P121" s="527"/>
      <c r="Q121" s="527"/>
    </row>
    <row r="122" spans="1:17" s="506" customFormat="1" ht="15.75" customHeight="1">
      <c r="A122" s="646" t="s">
        <v>684</v>
      </c>
      <c r="B122" s="563" t="s">
        <v>685</v>
      </c>
      <c r="C122" s="581"/>
      <c r="D122" s="546"/>
      <c r="E122" s="568"/>
      <c r="F122" s="694"/>
      <c r="G122" s="649"/>
      <c r="H122" s="527"/>
      <c r="I122" s="527"/>
      <c r="J122" s="527"/>
      <c r="K122" s="527"/>
      <c r="L122" s="527"/>
      <c r="M122" s="527"/>
      <c r="N122" s="527"/>
      <c r="O122" s="527"/>
      <c r="P122" s="527"/>
      <c r="Q122" s="527"/>
    </row>
    <row r="123" spans="1:17" s="506" customFormat="1" ht="15.75" customHeight="1">
      <c r="A123" s="646"/>
      <c r="B123" s="563" t="s">
        <v>612</v>
      </c>
      <c r="C123" s="581"/>
      <c r="D123" s="546"/>
      <c r="E123" s="568"/>
      <c r="F123" s="694"/>
      <c r="G123" s="649"/>
      <c r="H123" s="527"/>
      <c r="I123" s="527"/>
      <c r="J123" s="527"/>
      <c r="K123" s="527"/>
      <c r="L123" s="527"/>
      <c r="M123" s="527"/>
      <c r="N123" s="527"/>
      <c r="O123" s="527"/>
      <c r="P123" s="527"/>
      <c r="Q123" s="527"/>
    </row>
    <row r="124" spans="1:17" s="506" customFormat="1" ht="15.75" customHeight="1">
      <c r="A124" s="2052" t="s">
        <v>603</v>
      </c>
      <c r="B124" s="576" t="s">
        <v>619</v>
      </c>
      <c r="C124" s="581" t="s">
        <v>681</v>
      </c>
      <c r="D124" s="546">
        <v>17</v>
      </c>
      <c r="E124" s="575">
        <v>38846.114999999998</v>
      </c>
      <c r="F124" s="658">
        <f>D124*E124</f>
        <v>660383.95499999996</v>
      </c>
      <c r="G124" s="374">
        <f>F124/'REKAP TOTAL'!F44</f>
        <v>5.4311951250349482E-5</v>
      </c>
      <c r="H124" s="527"/>
      <c r="I124" s="527"/>
      <c r="J124" s="527"/>
      <c r="K124" s="527"/>
      <c r="L124" s="527"/>
      <c r="M124" s="527"/>
      <c r="N124" s="527"/>
      <c r="O124" s="527"/>
      <c r="P124" s="527"/>
      <c r="Q124" s="527"/>
    </row>
    <row r="125" spans="1:17" s="506" customFormat="1" ht="15.75" customHeight="1">
      <c r="A125" s="646"/>
      <c r="B125" s="576"/>
      <c r="C125" s="581"/>
      <c r="D125" s="546"/>
      <c r="E125" s="568"/>
      <c r="F125" s="694"/>
      <c r="G125" s="649"/>
      <c r="H125" s="527"/>
      <c r="I125" s="527"/>
      <c r="J125" s="527"/>
      <c r="K125" s="527"/>
      <c r="L125" s="527"/>
      <c r="M125" s="527"/>
      <c r="N125" s="527"/>
      <c r="O125" s="527"/>
      <c r="P125" s="527"/>
      <c r="Q125" s="527"/>
    </row>
    <row r="126" spans="1:17" s="506" customFormat="1" ht="15.75" customHeight="1">
      <c r="A126" s="646" t="s">
        <v>686</v>
      </c>
      <c r="B126" s="563" t="s">
        <v>687</v>
      </c>
      <c r="C126" s="581"/>
      <c r="D126" s="546"/>
      <c r="E126" s="568"/>
      <c r="F126" s="694"/>
      <c r="G126" s="649"/>
      <c r="H126" s="527"/>
      <c r="I126" s="527"/>
      <c r="J126" s="527"/>
      <c r="K126" s="527"/>
      <c r="L126" s="527"/>
      <c r="M126" s="527"/>
      <c r="N126" s="527"/>
      <c r="O126" s="527"/>
      <c r="P126" s="527"/>
      <c r="Q126" s="527"/>
    </row>
    <row r="127" spans="1:17" s="506" customFormat="1" ht="15.75" customHeight="1">
      <c r="A127" s="646"/>
      <c r="B127" s="563" t="s">
        <v>612</v>
      </c>
      <c r="C127" s="581"/>
      <c r="D127" s="546"/>
      <c r="E127" s="568"/>
      <c r="F127" s="694"/>
      <c r="G127" s="649"/>
      <c r="H127" s="527"/>
      <c r="I127" s="527"/>
      <c r="J127" s="527"/>
      <c r="K127" s="527"/>
      <c r="L127" s="527"/>
      <c r="M127" s="527"/>
      <c r="N127" s="527"/>
      <c r="O127" s="527"/>
      <c r="P127" s="527"/>
      <c r="Q127" s="527"/>
    </row>
    <row r="128" spans="1:17" s="506" customFormat="1" ht="15.75" customHeight="1">
      <c r="A128" s="2052" t="s">
        <v>603</v>
      </c>
      <c r="B128" s="576" t="s">
        <v>688</v>
      </c>
      <c r="C128" s="546" t="s">
        <v>615</v>
      </c>
      <c r="D128" s="546">
        <v>12</v>
      </c>
      <c r="E128" s="695">
        <v>232012.21312500001</v>
      </c>
      <c r="F128" s="658">
        <f>D128*E128</f>
        <v>2784146.5575000001</v>
      </c>
      <c r="G128" s="374">
        <f>F128/'REKAP TOTAL'!F44</f>
        <v>2.2897653851200602E-4</v>
      </c>
      <c r="H128" s="527"/>
      <c r="I128" s="527"/>
      <c r="J128" s="527"/>
      <c r="K128" s="527"/>
      <c r="L128" s="527"/>
      <c r="M128" s="527"/>
      <c r="N128" s="527"/>
      <c r="O128" s="527"/>
      <c r="P128" s="527"/>
      <c r="Q128" s="527"/>
    </row>
    <row r="129" spans="1:17" s="506" customFormat="1">
      <c r="A129" s="646"/>
      <c r="B129" s="576"/>
      <c r="C129" s="581"/>
      <c r="D129" s="546"/>
      <c r="E129" s="568"/>
      <c r="F129" s="694"/>
      <c r="G129" s="649"/>
      <c r="H129" s="527"/>
      <c r="I129" s="527"/>
      <c r="J129" s="527"/>
      <c r="K129" s="527"/>
      <c r="L129" s="527"/>
      <c r="M129" s="527"/>
      <c r="N129" s="527"/>
      <c r="O129" s="527"/>
      <c r="P129" s="527"/>
      <c r="Q129" s="527"/>
    </row>
    <row r="130" spans="1:17" s="506" customFormat="1">
      <c r="A130" s="646" t="s">
        <v>689</v>
      </c>
      <c r="B130" s="563" t="s">
        <v>690</v>
      </c>
      <c r="C130" s="581"/>
      <c r="D130" s="546"/>
      <c r="E130" s="568"/>
      <c r="F130" s="694"/>
      <c r="G130" s="649"/>
      <c r="H130" s="527"/>
      <c r="I130" s="527"/>
      <c r="J130" s="527"/>
      <c r="K130" s="527"/>
      <c r="L130" s="527"/>
      <c r="M130" s="527"/>
      <c r="N130" s="527"/>
      <c r="O130" s="527"/>
      <c r="P130" s="527"/>
      <c r="Q130" s="527"/>
    </row>
    <row r="131" spans="1:17" s="506" customFormat="1">
      <c r="A131" s="646"/>
      <c r="B131" s="563" t="s">
        <v>691</v>
      </c>
      <c r="C131" s="581"/>
      <c r="D131" s="546"/>
      <c r="E131" s="568"/>
      <c r="F131" s="694"/>
      <c r="G131" s="649"/>
      <c r="H131" s="527"/>
      <c r="I131" s="527"/>
      <c r="J131" s="527"/>
      <c r="K131" s="527"/>
      <c r="L131" s="527"/>
      <c r="M131" s="527"/>
      <c r="N131" s="527"/>
      <c r="O131" s="527"/>
      <c r="P131" s="527"/>
      <c r="Q131" s="527"/>
    </row>
    <row r="132" spans="1:17" s="506" customFormat="1">
      <c r="A132" s="646"/>
      <c r="B132" s="696" t="s">
        <v>612</v>
      </c>
      <c r="C132" s="581"/>
      <c r="D132" s="546"/>
      <c r="E132" s="568"/>
      <c r="F132" s="694"/>
      <c r="G132" s="649"/>
      <c r="H132" s="527"/>
      <c r="I132" s="527"/>
      <c r="J132" s="527"/>
      <c r="K132" s="527"/>
      <c r="L132" s="527"/>
      <c r="M132" s="527"/>
      <c r="N132" s="527"/>
      <c r="O132" s="527"/>
      <c r="P132" s="527"/>
      <c r="Q132" s="527"/>
    </row>
    <row r="133" spans="1:17" s="506" customFormat="1">
      <c r="A133" s="2049" t="s">
        <v>603</v>
      </c>
      <c r="B133" s="697" t="s">
        <v>692</v>
      </c>
      <c r="C133" s="581"/>
      <c r="D133" s="546"/>
      <c r="E133" s="568"/>
      <c r="F133" s="694"/>
      <c r="G133" s="649"/>
      <c r="H133" s="527"/>
      <c r="I133" s="527"/>
      <c r="J133" s="527"/>
      <c r="K133" s="527"/>
      <c r="L133" s="527"/>
      <c r="M133" s="527"/>
      <c r="N133" s="527"/>
      <c r="O133" s="527"/>
      <c r="P133" s="527"/>
      <c r="Q133" s="527"/>
    </row>
    <row r="134" spans="1:17" s="506" customFormat="1" ht="13.8">
      <c r="A134" s="646"/>
      <c r="B134" s="697" t="s">
        <v>693</v>
      </c>
      <c r="C134" s="581" t="s">
        <v>103</v>
      </c>
      <c r="D134" s="546">
        <v>12</v>
      </c>
      <c r="E134" s="575">
        <v>256407.69</v>
      </c>
      <c r="F134" s="658">
        <f>D134*E134</f>
        <v>3076892.28</v>
      </c>
      <c r="G134" s="374">
        <f>F134/'REKAP TOTAL'!F44</f>
        <v>2.5305282214789222E-4</v>
      </c>
      <c r="H134" s="527"/>
      <c r="I134" s="527"/>
      <c r="J134" s="527"/>
      <c r="K134" s="527"/>
      <c r="L134" s="527"/>
      <c r="M134" s="527"/>
      <c r="N134" s="527"/>
      <c r="O134" s="527"/>
      <c r="P134" s="527"/>
      <c r="Q134" s="527"/>
    </row>
    <row r="135" spans="1:17" s="506" customFormat="1">
      <c r="A135" s="646"/>
      <c r="B135" s="698"/>
      <c r="C135" s="581"/>
      <c r="D135" s="546"/>
      <c r="E135" s="568"/>
      <c r="F135" s="694"/>
      <c r="G135" s="649"/>
      <c r="H135" s="527"/>
      <c r="I135" s="527"/>
      <c r="J135" s="527"/>
      <c r="K135" s="527"/>
      <c r="L135" s="527"/>
      <c r="M135" s="527"/>
      <c r="N135" s="527"/>
      <c r="O135" s="527"/>
      <c r="P135" s="527"/>
      <c r="Q135" s="527"/>
    </row>
    <row r="136" spans="1:17" s="506" customFormat="1">
      <c r="A136" s="646" t="s">
        <v>694</v>
      </c>
      <c r="B136" s="563" t="s">
        <v>695</v>
      </c>
      <c r="C136" s="581"/>
      <c r="D136" s="546"/>
      <c r="E136" s="568"/>
      <c r="F136" s="694"/>
      <c r="G136" s="649"/>
      <c r="H136" s="527"/>
      <c r="I136" s="527"/>
      <c r="J136" s="527"/>
      <c r="K136" s="527"/>
      <c r="L136" s="527"/>
      <c r="M136" s="527"/>
      <c r="N136" s="527"/>
      <c r="O136" s="527"/>
      <c r="P136" s="527"/>
      <c r="Q136" s="527"/>
    </row>
    <row r="137" spans="1:17" s="506" customFormat="1">
      <c r="A137" s="646"/>
      <c r="B137" s="563" t="s">
        <v>612</v>
      </c>
      <c r="C137" s="581"/>
      <c r="D137" s="546"/>
      <c r="E137" s="568"/>
      <c r="F137" s="694"/>
      <c r="G137" s="649"/>
      <c r="H137" s="527"/>
      <c r="I137" s="527"/>
      <c r="J137" s="527"/>
      <c r="K137" s="527"/>
      <c r="L137" s="527"/>
      <c r="M137" s="527"/>
      <c r="N137" s="527"/>
      <c r="O137" s="527"/>
      <c r="P137" s="527"/>
      <c r="Q137" s="527"/>
    </row>
    <row r="138" spans="1:17" s="630" customFormat="1">
      <c r="A138" s="2053" t="s">
        <v>603</v>
      </c>
      <c r="B138" s="563" t="s">
        <v>696</v>
      </c>
      <c r="C138" s="699"/>
      <c r="D138" s="700"/>
      <c r="E138" s="701"/>
      <c r="F138" s="702"/>
      <c r="G138" s="703"/>
      <c r="H138" s="704"/>
      <c r="I138" s="704"/>
      <c r="J138" s="704"/>
      <c r="K138" s="704"/>
      <c r="L138" s="704"/>
      <c r="M138" s="704"/>
      <c r="N138" s="704"/>
      <c r="O138" s="704"/>
      <c r="P138" s="704"/>
      <c r="Q138" s="704"/>
    </row>
    <row r="139" spans="1:17" s="506" customFormat="1" ht="14.4">
      <c r="A139" s="692"/>
      <c r="B139" s="697" t="s">
        <v>697</v>
      </c>
      <c r="C139" s="546" t="s">
        <v>262</v>
      </c>
      <c r="D139" s="546">
        <v>1</v>
      </c>
      <c r="E139" s="705">
        <v>413736.4</v>
      </c>
      <c r="F139" s="658">
        <f>D139*E139</f>
        <v>413736.4</v>
      </c>
      <c r="G139" s="374">
        <f>F139/'REKAP TOTAL'!F44</f>
        <v>3.4026918760155367E-5</v>
      </c>
      <c r="H139" s="527"/>
      <c r="I139" s="527"/>
      <c r="J139" s="527"/>
      <c r="K139" s="527"/>
      <c r="L139" s="527"/>
      <c r="M139" s="527"/>
      <c r="N139" s="527"/>
      <c r="O139" s="527"/>
      <c r="P139" s="527"/>
      <c r="Q139" s="527"/>
    </row>
    <row r="140" spans="1:17" s="506" customFormat="1" ht="14.4">
      <c r="A140" s="546"/>
      <c r="B140" s="697"/>
      <c r="C140" s="546"/>
      <c r="D140" s="546"/>
      <c r="E140" s="706"/>
      <c r="F140" s="694"/>
      <c r="G140" s="649"/>
      <c r="H140" s="527"/>
      <c r="I140" s="527"/>
      <c r="J140" s="527"/>
      <c r="K140" s="527"/>
      <c r="L140" s="527"/>
      <c r="M140" s="527"/>
      <c r="N140" s="527"/>
      <c r="O140" s="527"/>
      <c r="P140" s="527"/>
      <c r="Q140" s="527"/>
    </row>
    <row r="141" spans="1:17" s="630" customFormat="1">
      <c r="A141" s="2053" t="s">
        <v>603</v>
      </c>
      <c r="B141" s="563" t="s">
        <v>698</v>
      </c>
      <c r="C141" s="699"/>
      <c r="D141" s="700"/>
      <c r="E141" s="701"/>
      <c r="F141" s="702"/>
      <c r="G141" s="703"/>
      <c r="H141" s="704"/>
      <c r="I141" s="704"/>
      <c r="J141" s="704"/>
      <c r="K141" s="704"/>
      <c r="L141" s="704"/>
      <c r="M141" s="704"/>
      <c r="N141" s="704"/>
      <c r="O141" s="704"/>
      <c r="P141" s="704"/>
      <c r="Q141" s="704"/>
    </row>
    <row r="142" spans="1:17" s="631" customFormat="1" ht="13.8">
      <c r="A142" s="700"/>
      <c r="B142" s="567" t="s">
        <v>699</v>
      </c>
      <c r="C142" s="707" t="s">
        <v>700</v>
      </c>
      <c r="D142" s="708">
        <f>D139</f>
        <v>1</v>
      </c>
      <c r="E142" s="709">
        <v>496483.68</v>
      </c>
      <c r="F142" s="658">
        <f>D142*E142</f>
        <v>496483.68</v>
      </c>
      <c r="G142" s="374">
        <f>F142/'REKAP TOTAL'!F44</f>
        <v>4.0832302512186435E-5</v>
      </c>
      <c r="H142" s="710"/>
      <c r="I142" s="710"/>
      <c r="J142" s="710"/>
      <c r="K142" s="710"/>
      <c r="L142" s="710"/>
      <c r="M142" s="710"/>
      <c r="N142" s="710"/>
      <c r="O142" s="710"/>
      <c r="P142" s="710"/>
      <c r="Q142" s="710"/>
    </row>
    <row r="143" spans="1:17" s="631" customFormat="1">
      <c r="A143" s="700"/>
      <c r="B143" s="567"/>
      <c r="C143" s="699"/>
      <c r="D143" s="700"/>
      <c r="E143" s="701"/>
      <c r="F143" s="702"/>
      <c r="G143" s="711"/>
      <c r="H143" s="710"/>
      <c r="I143" s="710"/>
      <c r="J143" s="710"/>
      <c r="K143" s="710"/>
      <c r="L143" s="710"/>
      <c r="M143" s="710"/>
      <c r="N143" s="710"/>
      <c r="O143" s="710"/>
      <c r="P143" s="710"/>
      <c r="Q143" s="710"/>
    </row>
    <row r="144" spans="1:17" s="631" customFormat="1">
      <c r="A144" s="2053" t="s">
        <v>603</v>
      </c>
      <c r="B144" s="563" t="s">
        <v>701</v>
      </c>
      <c r="C144" s="699"/>
      <c r="D144" s="708"/>
      <c r="E144" s="701"/>
      <c r="F144" s="702"/>
      <c r="G144" s="711"/>
      <c r="H144" s="710"/>
      <c r="I144" s="710"/>
      <c r="J144" s="710"/>
      <c r="K144" s="710"/>
      <c r="L144" s="710"/>
      <c r="M144" s="710"/>
      <c r="N144" s="710"/>
      <c r="O144" s="710"/>
      <c r="P144" s="710"/>
      <c r="Q144" s="710"/>
    </row>
    <row r="145" spans="1:17" s="631" customFormat="1" ht="13.8">
      <c r="A145" s="700"/>
      <c r="B145" s="567" t="s">
        <v>702</v>
      </c>
      <c r="C145" s="707" t="s">
        <v>262</v>
      </c>
      <c r="D145" s="708">
        <v>1</v>
      </c>
      <c r="E145" s="709">
        <v>354631.2</v>
      </c>
      <c r="F145" s="658">
        <f>D145*E145</f>
        <v>354631.2</v>
      </c>
      <c r="G145" s="374">
        <f>F145/'REKAP TOTAL'!F44</f>
        <v>2.9165930365847455E-5</v>
      </c>
      <c r="H145" s="710"/>
      <c r="I145" s="710"/>
      <c r="J145" s="710"/>
      <c r="K145" s="710"/>
      <c r="L145" s="710"/>
      <c r="M145" s="710"/>
      <c r="N145" s="710"/>
      <c r="O145" s="710"/>
      <c r="P145" s="710"/>
      <c r="Q145" s="710"/>
    </row>
    <row r="146" spans="1:17" s="506" customFormat="1">
      <c r="A146" s="646"/>
      <c r="B146" s="697"/>
      <c r="C146" s="581"/>
      <c r="D146" s="546"/>
      <c r="E146" s="568"/>
      <c r="F146" s="694"/>
      <c r="G146" s="649"/>
      <c r="H146" s="527"/>
      <c r="I146" s="527"/>
      <c r="J146" s="527"/>
      <c r="K146" s="527"/>
      <c r="L146" s="527"/>
      <c r="M146" s="527"/>
      <c r="N146" s="527"/>
      <c r="O146" s="527"/>
      <c r="P146" s="527"/>
      <c r="Q146" s="527"/>
    </row>
    <row r="147" spans="1:17" s="506" customFormat="1">
      <c r="A147" s="646">
        <v>3</v>
      </c>
      <c r="B147" s="563" t="s">
        <v>703</v>
      </c>
      <c r="C147" s="546"/>
      <c r="D147" s="590"/>
      <c r="E147" s="567"/>
      <c r="F147" s="694"/>
      <c r="G147" s="649"/>
      <c r="H147" s="527"/>
      <c r="I147" s="527"/>
      <c r="J147" s="527"/>
      <c r="K147" s="527"/>
      <c r="L147" s="527"/>
      <c r="M147" s="527"/>
      <c r="N147" s="527"/>
      <c r="O147" s="527"/>
      <c r="P147" s="527"/>
      <c r="Q147" s="527"/>
    </row>
    <row r="148" spans="1:17" s="506" customFormat="1">
      <c r="A148" s="668"/>
      <c r="B148" s="563" t="s">
        <v>612</v>
      </c>
      <c r="C148" s="591"/>
      <c r="D148" s="592"/>
      <c r="E148" s="568"/>
      <c r="F148" s="694"/>
      <c r="G148" s="649"/>
      <c r="H148" s="527"/>
      <c r="I148" s="527"/>
      <c r="J148" s="527"/>
      <c r="K148" s="527"/>
      <c r="L148" s="527"/>
      <c r="M148" s="527"/>
      <c r="N148" s="527"/>
      <c r="O148" s="527"/>
      <c r="P148" s="527"/>
      <c r="Q148" s="527"/>
    </row>
    <row r="149" spans="1:17" s="506" customFormat="1" ht="13.8">
      <c r="A149" s="2052" t="s">
        <v>603</v>
      </c>
      <c r="B149" s="567" t="s">
        <v>704</v>
      </c>
      <c r="C149" s="592" t="s">
        <v>135</v>
      </c>
      <c r="D149" s="592">
        <v>1</v>
      </c>
      <c r="E149" s="575">
        <v>583275</v>
      </c>
      <c r="F149" s="658">
        <f>D149*E149</f>
        <v>583275</v>
      </c>
      <c r="G149" s="374">
        <f>F149/'REKAP TOTAL'!F44</f>
        <v>4.7970280206985947E-5</v>
      </c>
      <c r="H149" s="527"/>
      <c r="I149" s="527"/>
      <c r="J149" s="527"/>
      <c r="K149" s="527"/>
      <c r="L149" s="527"/>
      <c r="M149" s="527"/>
      <c r="N149" s="527"/>
      <c r="O149" s="527"/>
      <c r="P149" s="527"/>
      <c r="Q149" s="527"/>
    </row>
    <row r="150" spans="1:17" s="506" customFormat="1">
      <c r="A150" s="668"/>
      <c r="B150" s="567" t="s">
        <v>705</v>
      </c>
      <c r="C150" s="592"/>
      <c r="D150" s="593"/>
      <c r="E150" s="567"/>
      <c r="F150" s="694"/>
      <c r="G150" s="649"/>
      <c r="H150" s="527"/>
      <c r="I150" s="527"/>
      <c r="J150" s="527"/>
      <c r="K150" s="527"/>
      <c r="L150" s="527"/>
      <c r="M150" s="527"/>
      <c r="N150" s="527"/>
      <c r="O150" s="527"/>
      <c r="P150" s="527"/>
      <c r="Q150" s="527"/>
    </row>
    <row r="151" spans="1:17" s="506" customFormat="1">
      <c r="A151" s="668"/>
      <c r="B151" s="567" t="s">
        <v>706</v>
      </c>
      <c r="C151" s="592"/>
      <c r="D151" s="593"/>
      <c r="E151" s="567"/>
      <c r="F151" s="694"/>
      <c r="G151" s="649"/>
      <c r="H151" s="527"/>
      <c r="I151" s="527"/>
      <c r="J151" s="527"/>
      <c r="K151" s="527"/>
      <c r="L151" s="527"/>
      <c r="M151" s="527"/>
      <c r="N151" s="527"/>
      <c r="O151" s="527"/>
      <c r="P151" s="527"/>
      <c r="Q151" s="527"/>
    </row>
    <row r="152" spans="1:17" s="506" customFormat="1">
      <c r="A152" s="668"/>
      <c r="B152" s="567"/>
      <c r="C152" s="592"/>
      <c r="D152" s="593"/>
      <c r="E152" s="568"/>
      <c r="F152" s="694"/>
      <c r="G152" s="649"/>
      <c r="H152" s="527"/>
      <c r="I152" s="527"/>
      <c r="J152" s="527"/>
      <c r="K152" s="527"/>
      <c r="L152" s="527"/>
      <c r="M152" s="527"/>
      <c r="N152" s="527"/>
      <c r="O152" s="527"/>
      <c r="P152" s="527"/>
      <c r="Q152" s="527"/>
    </row>
    <row r="153" spans="1:17" s="506" customFormat="1" ht="13.8">
      <c r="A153" s="2052" t="s">
        <v>603</v>
      </c>
      <c r="B153" s="567" t="s">
        <v>707</v>
      </c>
      <c r="C153" s="592" t="s">
        <v>135</v>
      </c>
      <c r="D153" s="592">
        <v>1</v>
      </c>
      <c r="E153" s="575">
        <v>1289329.3875</v>
      </c>
      <c r="F153" s="658">
        <f>D153*E153</f>
        <v>1289329.3875</v>
      </c>
      <c r="G153" s="374">
        <f>F153/'REKAP TOTAL'!F44</f>
        <v>1.0603830439754243E-4</v>
      </c>
      <c r="H153" s="527"/>
      <c r="I153" s="527"/>
      <c r="J153" s="527"/>
      <c r="K153" s="527"/>
      <c r="L153" s="527"/>
      <c r="M153" s="527"/>
      <c r="N153" s="527"/>
      <c r="O153" s="527"/>
      <c r="P153" s="527"/>
      <c r="Q153" s="527"/>
    </row>
    <row r="154" spans="1:17" s="506" customFormat="1">
      <c r="A154" s="668"/>
      <c r="B154" s="567" t="s">
        <v>708</v>
      </c>
      <c r="C154" s="592"/>
      <c r="D154" s="593"/>
      <c r="E154" s="567"/>
      <c r="F154" s="694"/>
      <c r="G154" s="649"/>
      <c r="H154" s="527"/>
      <c r="I154" s="527"/>
      <c r="J154" s="527"/>
      <c r="K154" s="527"/>
      <c r="L154" s="527"/>
      <c r="M154" s="527"/>
      <c r="N154" s="527"/>
      <c r="O154" s="527"/>
      <c r="P154" s="527"/>
      <c r="Q154" s="527"/>
    </row>
    <row r="155" spans="1:17" s="506" customFormat="1">
      <c r="A155" s="668"/>
      <c r="B155" s="567" t="s">
        <v>709</v>
      </c>
      <c r="C155" s="592"/>
      <c r="D155" s="593"/>
      <c r="E155" s="567"/>
      <c r="F155" s="694"/>
      <c r="G155" s="649"/>
      <c r="H155" s="527"/>
      <c r="I155" s="527"/>
      <c r="J155" s="527"/>
      <c r="K155" s="527"/>
      <c r="L155" s="527"/>
      <c r="M155" s="527"/>
      <c r="N155" s="527"/>
      <c r="O155" s="527"/>
      <c r="P155" s="527"/>
      <c r="Q155" s="527"/>
    </row>
    <row r="156" spans="1:17" s="506" customFormat="1">
      <c r="A156" s="668"/>
      <c r="B156" s="567"/>
      <c r="C156" s="592"/>
      <c r="D156" s="593"/>
      <c r="E156" s="568"/>
      <c r="F156" s="694"/>
      <c r="G156" s="649"/>
      <c r="H156" s="527"/>
      <c r="I156" s="527"/>
      <c r="J156" s="527"/>
      <c r="K156" s="527"/>
      <c r="L156" s="527"/>
      <c r="M156" s="527"/>
      <c r="N156" s="527"/>
      <c r="O156" s="527"/>
      <c r="P156" s="527"/>
      <c r="Q156" s="527"/>
    </row>
    <row r="157" spans="1:17" s="506" customFormat="1" ht="13.8">
      <c r="A157" s="2052" t="s">
        <v>603</v>
      </c>
      <c r="B157" s="567" t="s">
        <v>710</v>
      </c>
      <c r="C157" s="592" t="s">
        <v>135</v>
      </c>
      <c r="D157" s="592">
        <v>1</v>
      </c>
      <c r="E157" s="575">
        <v>1289329.3875</v>
      </c>
      <c r="F157" s="658">
        <f>D157*E157</f>
        <v>1289329.3875</v>
      </c>
      <c r="G157" s="374">
        <f>F157/'REKAP TOTAL'!F44</f>
        <v>1.0603830439754243E-4</v>
      </c>
      <c r="H157" s="527"/>
      <c r="I157" s="527"/>
      <c r="J157" s="527"/>
      <c r="K157" s="527"/>
      <c r="L157" s="527"/>
      <c r="M157" s="527"/>
      <c r="N157" s="527"/>
      <c r="O157" s="527"/>
      <c r="P157" s="527"/>
      <c r="Q157" s="527"/>
    </row>
    <row r="158" spans="1:17" s="506" customFormat="1">
      <c r="A158" s="668"/>
      <c r="B158" s="567" t="s">
        <v>711</v>
      </c>
      <c r="C158" s="592"/>
      <c r="D158" s="593"/>
      <c r="E158" s="567"/>
      <c r="F158" s="694"/>
      <c r="G158" s="649"/>
      <c r="H158" s="527"/>
      <c r="I158" s="527"/>
      <c r="J158" s="527"/>
      <c r="K158" s="527"/>
      <c r="L158" s="527"/>
      <c r="M158" s="527"/>
      <c r="N158" s="527"/>
      <c r="O158" s="527"/>
      <c r="P158" s="527"/>
      <c r="Q158" s="527"/>
    </row>
    <row r="159" spans="1:17" s="506" customFormat="1">
      <c r="A159" s="668"/>
      <c r="B159" s="567" t="s">
        <v>709</v>
      </c>
      <c r="C159" s="592"/>
      <c r="D159" s="593"/>
      <c r="E159" s="567"/>
      <c r="F159" s="694"/>
      <c r="G159" s="649"/>
      <c r="H159" s="527"/>
      <c r="I159" s="527"/>
      <c r="J159" s="527"/>
      <c r="K159" s="527"/>
      <c r="L159" s="527"/>
      <c r="M159" s="527"/>
      <c r="N159" s="527"/>
      <c r="O159" s="527"/>
      <c r="P159" s="527"/>
      <c r="Q159" s="527"/>
    </row>
    <row r="160" spans="1:17" s="506" customFormat="1">
      <c r="A160" s="668"/>
      <c r="B160" s="567"/>
      <c r="C160" s="592"/>
      <c r="D160" s="593"/>
      <c r="E160" s="568"/>
      <c r="F160" s="694"/>
      <c r="G160" s="649"/>
      <c r="H160" s="527"/>
      <c r="I160" s="527"/>
      <c r="J160" s="527"/>
      <c r="K160" s="527"/>
      <c r="L160" s="527"/>
      <c r="M160" s="527"/>
      <c r="N160" s="527"/>
      <c r="O160" s="527"/>
      <c r="P160" s="527"/>
      <c r="Q160" s="527"/>
    </row>
    <row r="161" spans="1:17" s="506" customFormat="1" ht="13.8">
      <c r="A161" s="2052" t="s">
        <v>603</v>
      </c>
      <c r="B161" s="567" t="s">
        <v>692</v>
      </c>
      <c r="C161" s="592" t="s">
        <v>135</v>
      </c>
      <c r="D161" s="592">
        <v>1</v>
      </c>
      <c r="E161" s="575">
        <v>13433000</v>
      </c>
      <c r="F161" s="658">
        <f>D161*E161</f>
        <v>13433000</v>
      </c>
      <c r="G161" s="374">
        <f>F161/'REKAP TOTAL'!F44</f>
        <v>1.1047700896154339E-3</v>
      </c>
      <c r="H161" s="527"/>
      <c r="I161" s="527"/>
      <c r="J161" s="527"/>
      <c r="K161" s="527"/>
      <c r="L161" s="527"/>
      <c r="M161" s="527"/>
      <c r="N161" s="527"/>
      <c r="O161" s="527"/>
      <c r="P161" s="527"/>
      <c r="Q161" s="527"/>
    </row>
    <row r="162" spans="1:17" s="506" customFormat="1">
      <c r="A162" s="668"/>
      <c r="B162" s="567" t="s">
        <v>712</v>
      </c>
      <c r="C162" s="592"/>
      <c r="D162" s="593"/>
      <c r="E162" s="567"/>
      <c r="F162" s="694"/>
      <c r="G162" s="649"/>
      <c r="H162" s="527"/>
      <c r="I162" s="527"/>
      <c r="J162" s="527"/>
      <c r="K162" s="527"/>
      <c r="L162" s="527"/>
      <c r="M162" s="527"/>
      <c r="N162" s="527"/>
      <c r="O162" s="527"/>
      <c r="P162" s="527"/>
      <c r="Q162" s="527"/>
    </row>
    <row r="163" spans="1:17" s="506" customFormat="1">
      <c r="A163" s="668"/>
      <c r="B163" s="567" t="s">
        <v>713</v>
      </c>
      <c r="C163" s="592"/>
      <c r="D163" s="593"/>
      <c r="E163" s="567"/>
      <c r="F163" s="694"/>
      <c r="G163" s="649"/>
      <c r="H163" s="527"/>
      <c r="I163" s="527"/>
      <c r="J163" s="527"/>
      <c r="K163" s="527"/>
      <c r="L163" s="527"/>
      <c r="M163" s="527"/>
      <c r="N163" s="527"/>
      <c r="O163" s="527"/>
      <c r="P163" s="527"/>
      <c r="Q163" s="527"/>
    </row>
    <row r="164" spans="1:17" s="628" customFormat="1">
      <c r="A164" s="668"/>
      <c r="B164" s="567"/>
      <c r="C164" s="592"/>
      <c r="D164" s="593"/>
      <c r="E164" s="568"/>
      <c r="F164" s="694"/>
      <c r="G164" s="595"/>
      <c r="H164" s="523"/>
      <c r="I164" s="523"/>
      <c r="J164" s="523"/>
      <c r="K164" s="523"/>
      <c r="L164" s="523"/>
      <c r="M164" s="523"/>
      <c r="N164" s="523"/>
      <c r="O164" s="523"/>
      <c r="P164" s="523"/>
      <c r="Q164" s="523"/>
    </row>
    <row r="165" spans="1:17" s="506" customFormat="1">
      <c r="A165" s="646" t="s">
        <v>24</v>
      </c>
      <c r="B165" s="712" t="s">
        <v>601</v>
      </c>
      <c r="C165" s="566"/>
      <c r="D165" s="567"/>
      <c r="E165" s="568"/>
      <c r="F165" s="713"/>
      <c r="G165" s="649"/>
      <c r="H165" s="527"/>
      <c r="I165" s="527"/>
      <c r="J165" s="527"/>
      <c r="K165" s="527"/>
      <c r="L165" s="527"/>
      <c r="M165" s="527"/>
      <c r="N165" s="527"/>
      <c r="O165" s="527"/>
      <c r="P165" s="527"/>
      <c r="Q165" s="527"/>
    </row>
    <row r="166" spans="1:17" s="506" customFormat="1">
      <c r="A166" s="646">
        <v>1</v>
      </c>
      <c r="B166" s="597" t="s">
        <v>602</v>
      </c>
      <c r="C166" s="566"/>
      <c r="D166" s="567"/>
      <c r="E166" s="598"/>
      <c r="F166" s="713"/>
      <c r="G166" s="649"/>
      <c r="H166" s="527"/>
      <c r="I166" s="527"/>
      <c r="J166" s="527"/>
      <c r="K166" s="527"/>
      <c r="L166" s="527"/>
      <c r="M166" s="527"/>
      <c r="N166" s="527"/>
      <c r="O166" s="527"/>
      <c r="P166" s="527"/>
      <c r="Q166" s="527"/>
    </row>
    <row r="167" spans="1:17" s="506" customFormat="1">
      <c r="A167" s="646" t="s">
        <v>714</v>
      </c>
      <c r="B167" s="597" t="s">
        <v>715</v>
      </c>
      <c r="C167" s="566"/>
      <c r="D167" s="567"/>
      <c r="E167" s="598"/>
      <c r="F167" s="713"/>
      <c r="G167" s="649"/>
      <c r="H167" s="527"/>
      <c r="I167" s="527"/>
      <c r="J167" s="527"/>
      <c r="K167" s="527"/>
      <c r="L167" s="527"/>
      <c r="M167" s="527"/>
      <c r="N167" s="527"/>
      <c r="O167" s="527"/>
      <c r="P167" s="527"/>
      <c r="Q167" s="527"/>
    </row>
    <row r="168" spans="1:17" s="507" customFormat="1">
      <c r="A168" s="714"/>
      <c r="B168" s="601" t="s">
        <v>716</v>
      </c>
      <c r="C168" s="602"/>
      <c r="D168" s="602"/>
      <c r="E168" s="603"/>
      <c r="F168" s="715"/>
      <c r="G168" s="716"/>
      <c r="H168" s="605"/>
      <c r="I168" s="605"/>
      <c r="J168" s="605"/>
      <c r="K168" s="605"/>
      <c r="L168" s="605"/>
      <c r="M168" s="605"/>
      <c r="N168" s="605"/>
      <c r="O168" s="605"/>
      <c r="P168" s="605"/>
      <c r="Q168" s="605"/>
    </row>
    <row r="169" spans="1:17" s="506" customFormat="1">
      <c r="A169" s="646"/>
      <c r="B169" s="717" t="s">
        <v>612</v>
      </c>
      <c r="C169" s="718"/>
      <c r="D169" s="592"/>
      <c r="E169" s="598"/>
      <c r="F169" s="713"/>
      <c r="G169" s="649"/>
      <c r="H169" s="527"/>
      <c r="I169" s="527"/>
      <c r="J169" s="527"/>
      <c r="K169" s="527"/>
      <c r="L169" s="527"/>
      <c r="M169" s="527"/>
      <c r="N169" s="527"/>
      <c r="O169" s="527"/>
      <c r="P169" s="527"/>
      <c r="Q169" s="527"/>
    </row>
    <row r="170" spans="1:17" s="506" customFormat="1" ht="13.8">
      <c r="A170" s="2052" t="s">
        <v>603</v>
      </c>
      <c r="B170" s="686" t="s">
        <v>717</v>
      </c>
      <c r="C170" s="592" t="s">
        <v>623</v>
      </c>
      <c r="D170" s="592">
        <v>1</v>
      </c>
      <c r="E170" s="575">
        <v>1767500</v>
      </c>
      <c r="F170" s="658">
        <f t="shared" ref="F170:F172" si="9">D170*E170</f>
        <v>1767500</v>
      </c>
      <c r="G170" s="374">
        <f>F170/'REKAP TOTAL'!F44</f>
        <v>1.4536448547571498E-4</v>
      </c>
      <c r="H170" s="527"/>
      <c r="I170" s="527"/>
      <c r="J170" s="527"/>
      <c r="K170" s="527"/>
      <c r="L170" s="527"/>
      <c r="M170" s="527"/>
      <c r="N170" s="527"/>
      <c r="O170" s="527"/>
      <c r="P170" s="527"/>
      <c r="Q170" s="527"/>
    </row>
    <row r="171" spans="1:17" s="506" customFormat="1" ht="13.8">
      <c r="A171" s="2052" t="s">
        <v>603</v>
      </c>
      <c r="B171" s="686" t="s">
        <v>718</v>
      </c>
      <c r="C171" s="592" t="s">
        <v>623</v>
      </c>
      <c r="D171" s="592">
        <v>1</v>
      </c>
      <c r="E171" s="575">
        <v>2652890.2400000002</v>
      </c>
      <c r="F171" s="658">
        <f t="shared" si="9"/>
        <v>2652890.2400000002</v>
      </c>
      <c r="G171" s="374">
        <f>F171/'REKAP TOTAL'!F44</f>
        <v>2.1818162645609397E-4</v>
      </c>
      <c r="H171" s="527"/>
      <c r="I171" s="527"/>
      <c r="J171" s="527"/>
      <c r="K171" s="527"/>
      <c r="L171" s="527"/>
      <c r="M171" s="527"/>
      <c r="N171" s="527"/>
      <c r="O171" s="527"/>
      <c r="P171" s="527"/>
      <c r="Q171" s="527"/>
    </row>
    <row r="172" spans="1:17" s="506" customFormat="1" ht="13.8">
      <c r="A172" s="2052" t="s">
        <v>603</v>
      </c>
      <c r="B172" s="686" t="s">
        <v>719</v>
      </c>
      <c r="C172" s="592" t="s">
        <v>88</v>
      </c>
      <c r="D172" s="592">
        <v>82</v>
      </c>
      <c r="E172" s="575">
        <v>323523.20000000001</v>
      </c>
      <c r="F172" s="658">
        <f t="shared" si="9"/>
        <v>26528902.399999999</v>
      </c>
      <c r="G172" s="374">
        <f>F172/'REKAP TOTAL'!F44</f>
        <v>2.1818162645609392E-3</v>
      </c>
      <c r="H172" s="527"/>
      <c r="I172" s="527"/>
      <c r="J172" s="527"/>
      <c r="K172" s="527"/>
      <c r="L172" s="527"/>
      <c r="M172" s="527"/>
      <c r="N172" s="527"/>
      <c r="O172" s="527"/>
      <c r="P172" s="527"/>
      <c r="Q172" s="527"/>
    </row>
    <row r="173" spans="1:17" s="506" customFormat="1">
      <c r="A173" s="567"/>
      <c r="B173" s="719"/>
      <c r="C173" s="567"/>
      <c r="D173" s="567"/>
      <c r="E173" s="720"/>
      <c r="F173" s="713"/>
      <c r="G173" s="649"/>
      <c r="H173" s="527"/>
      <c r="I173" s="527"/>
      <c r="J173" s="527"/>
      <c r="K173" s="527"/>
      <c r="L173" s="527"/>
      <c r="M173" s="527"/>
      <c r="N173" s="527"/>
      <c r="O173" s="527"/>
      <c r="P173" s="527"/>
      <c r="Q173" s="527"/>
    </row>
    <row r="174" spans="1:17" s="506" customFormat="1">
      <c r="A174" s="646" t="s">
        <v>720</v>
      </c>
      <c r="B174" s="712" t="s">
        <v>721</v>
      </c>
      <c r="C174" s="718"/>
      <c r="D174" s="592"/>
      <c r="E174" s="598"/>
      <c r="F174" s="713"/>
      <c r="G174" s="649"/>
      <c r="H174" s="527"/>
      <c r="I174" s="527"/>
      <c r="J174" s="527"/>
      <c r="K174" s="527"/>
      <c r="L174" s="527"/>
      <c r="M174" s="527"/>
      <c r="N174" s="527"/>
      <c r="O174" s="527"/>
      <c r="P174" s="527"/>
      <c r="Q174" s="527"/>
    </row>
    <row r="175" spans="1:17" s="506" customFormat="1">
      <c r="A175" s="646"/>
      <c r="B175" s="717" t="s">
        <v>612</v>
      </c>
      <c r="C175" s="718"/>
      <c r="D175" s="592"/>
      <c r="E175" s="598"/>
      <c r="F175" s="713"/>
      <c r="G175" s="649"/>
      <c r="H175" s="527"/>
      <c r="I175" s="527"/>
      <c r="J175" s="527"/>
      <c r="K175" s="527"/>
      <c r="L175" s="527"/>
      <c r="M175" s="527"/>
      <c r="N175" s="527"/>
      <c r="O175" s="527"/>
      <c r="P175" s="527"/>
      <c r="Q175" s="527"/>
    </row>
    <row r="176" spans="1:17" s="506" customFormat="1" ht="13.8">
      <c r="A176" s="2052" t="s">
        <v>603</v>
      </c>
      <c r="B176" s="686" t="s">
        <v>722</v>
      </c>
      <c r="C176" s="718" t="s">
        <v>262</v>
      </c>
      <c r="D176" s="592">
        <v>2</v>
      </c>
      <c r="E176" s="575">
        <v>7243718.2661289601</v>
      </c>
      <c r="F176" s="658">
        <f>D176*E176</f>
        <v>14487436.5322579</v>
      </c>
      <c r="G176" s="374">
        <f>F176/'REKAP TOTAL'!F44</f>
        <v>1.1914901031817517E-3</v>
      </c>
      <c r="H176" s="527"/>
      <c r="I176" s="527"/>
      <c r="J176" s="527"/>
      <c r="K176" s="527"/>
      <c r="L176" s="527"/>
      <c r="M176" s="527"/>
      <c r="N176" s="527"/>
      <c r="O176" s="527"/>
      <c r="P176" s="527"/>
      <c r="Q176" s="527"/>
    </row>
    <row r="177" spans="1:17" s="506" customFormat="1">
      <c r="A177" s="567"/>
      <c r="B177" s="686" t="s">
        <v>723</v>
      </c>
      <c r="C177" s="567"/>
      <c r="D177" s="567"/>
      <c r="E177" s="598"/>
      <c r="F177" s="713"/>
      <c r="G177" s="649"/>
      <c r="H177" s="527"/>
      <c r="I177" s="527"/>
      <c r="J177" s="527"/>
      <c r="K177" s="527"/>
      <c r="L177" s="527"/>
      <c r="M177" s="527"/>
      <c r="N177" s="527"/>
      <c r="O177" s="527"/>
      <c r="P177" s="527"/>
      <c r="Q177" s="527"/>
    </row>
    <row r="178" spans="1:17" s="506" customFormat="1">
      <c r="A178" s="567"/>
      <c r="B178" s="686" t="s">
        <v>724</v>
      </c>
      <c r="C178" s="567"/>
      <c r="D178" s="567"/>
      <c r="E178" s="598"/>
      <c r="F178" s="713"/>
      <c r="G178" s="649"/>
      <c r="H178" s="527"/>
      <c r="I178" s="527"/>
      <c r="J178" s="527"/>
      <c r="K178" s="527"/>
      <c r="L178" s="527"/>
      <c r="M178" s="527"/>
      <c r="N178" s="527"/>
      <c r="O178" s="527"/>
      <c r="P178" s="527"/>
      <c r="Q178" s="527"/>
    </row>
    <row r="179" spans="1:17" s="506" customFormat="1">
      <c r="A179" s="567"/>
      <c r="B179" s="686" t="s">
        <v>725</v>
      </c>
      <c r="C179" s="567"/>
      <c r="D179" s="567"/>
      <c r="E179" s="598"/>
      <c r="F179" s="713"/>
      <c r="G179" s="649"/>
      <c r="H179" s="527"/>
      <c r="I179" s="527"/>
      <c r="J179" s="527"/>
      <c r="K179" s="527"/>
      <c r="L179" s="527"/>
      <c r="M179" s="527"/>
      <c r="N179" s="527"/>
      <c r="O179" s="527"/>
      <c r="P179" s="527"/>
      <c r="Q179" s="527"/>
    </row>
    <row r="180" spans="1:17" s="506" customFormat="1">
      <c r="A180" s="567"/>
      <c r="B180" s="686" t="s">
        <v>726</v>
      </c>
      <c r="C180" s="567"/>
      <c r="D180" s="567"/>
      <c r="E180" s="598"/>
      <c r="F180" s="713"/>
      <c r="G180" s="649"/>
      <c r="H180" s="527"/>
      <c r="I180" s="527"/>
      <c r="J180" s="527"/>
      <c r="K180" s="527"/>
      <c r="L180" s="527"/>
      <c r="M180" s="527"/>
      <c r="N180" s="527"/>
      <c r="O180" s="527"/>
      <c r="P180" s="527"/>
      <c r="Q180" s="527"/>
    </row>
    <row r="181" spans="1:17" s="506" customFormat="1">
      <c r="A181" s="567"/>
      <c r="B181" s="719"/>
      <c r="C181" s="567"/>
      <c r="D181" s="567"/>
      <c r="E181" s="598"/>
      <c r="F181" s="713"/>
      <c r="G181" s="649"/>
      <c r="H181" s="527"/>
      <c r="I181" s="527"/>
      <c r="J181" s="527"/>
      <c r="K181" s="527"/>
      <c r="L181" s="527"/>
      <c r="M181" s="527"/>
      <c r="N181" s="527"/>
      <c r="O181" s="527"/>
      <c r="P181" s="527"/>
      <c r="Q181" s="527"/>
    </row>
    <row r="182" spans="1:17" s="506" customFormat="1">
      <c r="A182" s="646" t="s">
        <v>727</v>
      </c>
      <c r="B182" s="712" t="s">
        <v>728</v>
      </c>
      <c r="C182" s="567"/>
      <c r="D182" s="567"/>
      <c r="E182" s="568"/>
      <c r="F182" s="721"/>
      <c r="G182" s="649"/>
      <c r="H182" s="527"/>
      <c r="I182" s="527"/>
      <c r="J182" s="527"/>
      <c r="K182" s="527"/>
      <c r="L182" s="527"/>
      <c r="M182" s="527"/>
      <c r="N182" s="527"/>
      <c r="O182" s="527"/>
      <c r="P182" s="527"/>
      <c r="Q182" s="527"/>
    </row>
    <row r="183" spans="1:17" s="506" customFormat="1">
      <c r="A183" s="646"/>
      <c r="B183" s="717" t="s">
        <v>612</v>
      </c>
      <c r="C183" s="718"/>
      <c r="D183" s="592"/>
      <c r="E183" s="568"/>
      <c r="F183" s="713"/>
      <c r="G183" s="649"/>
      <c r="H183" s="527"/>
      <c r="I183" s="527"/>
      <c r="J183" s="527"/>
      <c r="K183" s="527"/>
      <c r="L183" s="527"/>
      <c r="M183" s="527"/>
      <c r="N183" s="527"/>
      <c r="O183" s="527"/>
      <c r="P183" s="527"/>
      <c r="Q183" s="527"/>
    </row>
    <row r="184" spans="1:17" s="506" customFormat="1" ht="13.8">
      <c r="A184" s="2054" t="s">
        <v>603</v>
      </c>
      <c r="B184" s="722" t="s">
        <v>729</v>
      </c>
      <c r="C184" s="718" t="s">
        <v>262</v>
      </c>
      <c r="D184" s="592">
        <v>4</v>
      </c>
      <c r="E184" s="575">
        <v>3007132.59</v>
      </c>
      <c r="F184" s="658">
        <f t="shared" ref="F184:F185" si="10">D184*E184</f>
        <v>12028530.359999999</v>
      </c>
      <c r="G184" s="374">
        <f>F184/'REKAP TOTAL'!F44</f>
        <v>9.8926230654054694E-4</v>
      </c>
      <c r="H184" s="527"/>
      <c r="I184" s="527"/>
      <c r="J184" s="527"/>
      <c r="K184" s="527"/>
      <c r="L184" s="527"/>
      <c r="M184" s="527"/>
      <c r="N184" s="527"/>
      <c r="O184" s="527"/>
      <c r="P184" s="527"/>
      <c r="Q184" s="527"/>
    </row>
    <row r="185" spans="1:17" s="506" customFormat="1" ht="13.8">
      <c r="A185" s="2054" t="s">
        <v>603</v>
      </c>
      <c r="B185" s="722" t="s">
        <v>730</v>
      </c>
      <c r="C185" s="723" t="s">
        <v>262</v>
      </c>
      <c r="D185" s="592">
        <v>4</v>
      </c>
      <c r="E185" s="575">
        <v>882203.4375</v>
      </c>
      <c r="F185" s="658">
        <f t="shared" si="10"/>
        <v>3528813.75</v>
      </c>
      <c r="G185" s="374">
        <f>F185/'REKAP TOTAL'!F44</f>
        <v>2.9022019525226498E-4</v>
      </c>
      <c r="H185" s="527"/>
      <c r="I185" s="527"/>
      <c r="J185" s="527"/>
      <c r="K185" s="527"/>
      <c r="L185" s="527"/>
      <c r="M185" s="527"/>
      <c r="N185" s="527"/>
      <c r="O185" s="527"/>
      <c r="P185" s="527"/>
      <c r="Q185" s="527"/>
    </row>
    <row r="186" spans="1:17" s="506" customFormat="1">
      <c r="A186" s="693"/>
      <c r="B186" s="724"/>
      <c r="C186" s="680"/>
      <c r="D186" s="587"/>
      <c r="E186" s="588"/>
      <c r="F186" s="725"/>
      <c r="G186" s="726"/>
      <c r="H186" s="727"/>
      <c r="I186" s="727"/>
      <c r="J186" s="727"/>
      <c r="K186" s="727"/>
      <c r="L186" s="727"/>
      <c r="M186" s="727"/>
      <c r="N186" s="727"/>
      <c r="O186" s="727"/>
      <c r="P186" s="727"/>
      <c r="Q186" s="727"/>
    </row>
    <row r="187" spans="1:17" s="506" customFormat="1" ht="13.8">
      <c r="A187" s="728"/>
      <c r="B187" s="729" t="s">
        <v>608</v>
      </c>
      <c r="C187" s="730"/>
      <c r="D187" s="731"/>
      <c r="E187" s="732"/>
      <c r="F187" s="733">
        <f>SUM(F11:F186)</f>
        <v>380853441.87844598</v>
      </c>
      <c r="G187" s="392">
        <f>F187/'REKAP TOTAL'!F44</f>
        <v>3.1322525952087933E-2</v>
      </c>
      <c r="H187" s="625"/>
      <c r="I187" s="625"/>
      <c r="J187" s="625"/>
      <c r="K187" s="625"/>
      <c r="L187" s="625"/>
      <c r="M187" s="625"/>
      <c r="N187" s="625"/>
      <c r="O187" s="625"/>
      <c r="P187" s="625"/>
      <c r="Q187" s="626"/>
    </row>
  </sheetData>
  <mergeCells count="8">
    <mergeCell ref="Q8:Q9"/>
    <mergeCell ref="H8:J8"/>
    <mergeCell ref="K8:M8"/>
    <mergeCell ref="A8:A9"/>
    <mergeCell ref="B8:B9"/>
    <mergeCell ref="C8:C9"/>
    <mergeCell ref="D8:D9"/>
    <mergeCell ref="G8:G9"/>
  </mergeCells>
  <pageMargins left="0.74803149606299202" right="0.74803149606299202" top="0.98425196850393704" bottom="0.98425196850393704" header="0.511811023622047" footer="0.511811023622047"/>
  <pageSetup paperSize="9" scale="39" fitToHeight="0" orientation="portrait" r:id="rId1"/>
  <headerFooter alignWithMargins="0">
    <oddFooter>&amp;C&amp;A&amp;RPage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87"/>
  <sheetViews>
    <sheetView showGridLines="0" view="pageBreakPreview" topLeftCell="A40" zoomScaleNormal="93" workbookViewId="0">
      <selection activeCell="F44" sqref="F44:H45"/>
    </sheetView>
  </sheetViews>
  <sheetFormatPr defaultColWidth="9" defaultRowHeight="13.2"/>
  <cols>
    <col min="1" max="1" width="4.5546875" style="508" customWidth="1"/>
    <col min="2" max="2" width="86.44140625" style="508" customWidth="1"/>
    <col min="3" max="3" width="6" style="508" customWidth="1"/>
    <col min="4" max="4" width="7.33203125" style="508" customWidth="1"/>
    <col min="5" max="5" width="13.6640625" style="509" hidden="1" customWidth="1"/>
    <col min="6" max="6" width="16.109375" style="508" hidden="1" customWidth="1"/>
    <col min="7" max="8" width="9.109375" style="508"/>
    <col min="9" max="9" width="13.33203125" style="508" customWidth="1"/>
    <col min="10" max="11" width="9.109375" style="508"/>
    <col min="12" max="12" width="13.21875" style="508" customWidth="1"/>
    <col min="13" max="14" width="9.109375" style="508"/>
    <col min="15" max="15" width="15" style="508" customWidth="1"/>
    <col min="16" max="256" width="9.109375" style="508"/>
    <col min="257" max="257" width="4.5546875" style="508" customWidth="1"/>
    <col min="258" max="258" width="55.44140625" style="508" customWidth="1"/>
    <col min="259" max="259" width="6.88671875" style="508" customWidth="1"/>
    <col min="260" max="260" width="8.109375" style="508" customWidth="1"/>
    <col min="261" max="261" width="13.6640625" style="508" customWidth="1"/>
    <col min="262" max="262" width="16.109375" style="508" customWidth="1"/>
    <col min="263" max="512" width="9.109375" style="508"/>
    <col min="513" max="513" width="4.5546875" style="508" customWidth="1"/>
    <col min="514" max="514" width="55.44140625" style="508" customWidth="1"/>
    <col min="515" max="515" width="6.88671875" style="508" customWidth="1"/>
    <col min="516" max="516" width="8.109375" style="508" customWidth="1"/>
    <col min="517" max="517" width="13.6640625" style="508" customWidth="1"/>
    <col min="518" max="518" width="16.109375" style="508" customWidth="1"/>
    <col min="519" max="768" width="9.109375" style="508"/>
    <col min="769" max="769" width="4.5546875" style="508" customWidth="1"/>
    <col min="770" max="770" width="55.44140625" style="508" customWidth="1"/>
    <col min="771" max="771" width="6.88671875" style="508" customWidth="1"/>
    <col min="772" max="772" width="8.109375" style="508" customWidth="1"/>
    <col min="773" max="773" width="13.6640625" style="508" customWidth="1"/>
    <col min="774" max="774" width="16.109375" style="508" customWidth="1"/>
    <col min="775" max="1024" width="9.109375" style="508"/>
    <col min="1025" max="1025" width="4.5546875" style="508" customWidth="1"/>
    <col min="1026" max="1026" width="55.44140625" style="508" customWidth="1"/>
    <col min="1027" max="1027" width="6.88671875" style="508" customWidth="1"/>
    <col min="1028" max="1028" width="8.109375" style="508" customWidth="1"/>
    <col min="1029" max="1029" width="13.6640625" style="508" customWidth="1"/>
    <col min="1030" max="1030" width="16.109375" style="508" customWidth="1"/>
    <col min="1031" max="1280" width="9.109375" style="508"/>
    <col min="1281" max="1281" width="4.5546875" style="508" customWidth="1"/>
    <col min="1282" max="1282" width="55.44140625" style="508" customWidth="1"/>
    <col min="1283" max="1283" width="6.88671875" style="508" customWidth="1"/>
    <col min="1284" max="1284" width="8.109375" style="508" customWidth="1"/>
    <col min="1285" max="1285" width="13.6640625" style="508" customWidth="1"/>
    <col min="1286" max="1286" width="16.109375" style="508" customWidth="1"/>
    <col min="1287" max="1536" width="9.109375" style="508"/>
    <col min="1537" max="1537" width="4.5546875" style="508" customWidth="1"/>
    <col min="1538" max="1538" width="55.44140625" style="508" customWidth="1"/>
    <col min="1539" max="1539" width="6.88671875" style="508" customWidth="1"/>
    <col min="1540" max="1540" width="8.109375" style="508" customWidth="1"/>
    <col min="1541" max="1541" width="13.6640625" style="508" customWidth="1"/>
    <col min="1542" max="1542" width="16.109375" style="508" customWidth="1"/>
    <col min="1543" max="1792" width="9.109375" style="508"/>
    <col min="1793" max="1793" width="4.5546875" style="508" customWidth="1"/>
    <col min="1794" max="1794" width="55.44140625" style="508" customWidth="1"/>
    <col min="1795" max="1795" width="6.88671875" style="508" customWidth="1"/>
    <col min="1796" max="1796" width="8.109375" style="508" customWidth="1"/>
    <col min="1797" max="1797" width="13.6640625" style="508" customWidth="1"/>
    <col min="1798" max="1798" width="16.109375" style="508" customWidth="1"/>
    <col min="1799" max="2048" width="9.109375" style="508"/>
    <col min="2049" max="2049" width="4.5546875" style="508" customWidth="1"/>
    <col min="2050" max="2050" width="55.44140625" style="508" customWidth="1"/>
    <col min="2051" max="2051" width="6.88671875" style="508" customWidth="1"/>
    <col min="2052" max="2052" width="8.109375" style="508" customWidth="1"/>
    <col min="2053" max="2053" width="13.6640625" style="508" customWidth="1"/>
    <col min="2054" max="2054" width="16.109375" style="508" customWidth="1"/>
    <col min="2055" max="2304" width="9.109375" style="508"/>
    <col min="2305" max="2305" width="4.5546875" style="508" customWidth="1"/>
    <col min="2306" max="2306" width="55.44140625" style="508" customWidth="1"/>
    <col min="2307" max="2307" width="6.88671875" style="508" customWidth="1"/>
    <col min="2308" max="2308" width="8.109375" style="508" customWidth="1"/>
    <col min="2309" max="2309" width="13.6640625" style="508" customWidth="1"/>
    <col min="2310" max="2310" width="16.109375" style="508" customWidth="1"/>
    <col min="2311" max="2560" width="9.109375" style="508"/>
    <col min="2561" max="2561" width="4.5546875" style="508" customWidth="1"/>
    <col min="2562" max="2562" width="55.44140625" style="508" customWidth="1"/>
    <col min="2563" max="2563" width="6.88671875" style="508" customWidth="1"/>
    <col min="2564" max="2564" width="8.109375" style="508" customWidth="1"/>
    <col min="2565" max="2565" width="13.6640625" style="508" customWidth="1"/>
    <col min="2566" max="2566" width="16.109375" style="508" customWidth="1"/>
    <col min="2567" max="2816" width="9.109375" style="508"/>
    <col min="2817" max="2817" width="4.5546875" style="508" customWidth="1"/>
    <col min="2818" max="2818" width="55.44140625" style="508" customWidth="1"/>
    <col min="2819" max="2819" width="6.88671875" style="508" customWidth="1"/>
    <col min="2820" max="2820" width="8.109375" style="508" customWidth="1"/>
    <col min="2821" max="2821" width="13.6640625" style="508" customWidth="1"/>
    <col min="2822" max="2822" width="16.109375" style="508" customWidth="1"/>
    <col min="2823" max="3072" width="9.109375" style="508"/>
    <col min="3073" max="3073" width="4.5546875" style="508" customWidth="1"/>
    <col min="3074" max="3074" width="55.44140625" style="508" customWidth="1"/>
    <col min="3075" max="3075" width="6.88671875" style="508" customWidth="1"/>
    <col min="3076" max="3076" width="8.109375" style="508" customWidth="1"/>
    <col min="3077" max="3077" width="13.6640625" style="508" customWidth="1"/>
    <col min="3078" max="3078" width="16.109375" style="508" customWidth="1"/>
    <col min="3079" max="3328" width="9.109375" style="508"/>
    <col min="3329" max="3329" width="4.5546875" style="508" customWidth="1"/>
    <col min="3330" max="3330" width="55.44140625" style="508" customWidth="1"/>
    <col min="3331" max="3331" width="6.88671875" style="508" customWidth="1"/>
    <col min="3332" max="3332" width="8.109375" style="508" customWidth="1"/>
    <col min="3333" max="3333" width="13.6640625" style="508" customWidth="1"/>
    <col min="3334" max="3334" width="16.109375" style="508" customWidth="1"/>
    <col min="3335" max="3584" width="9.109375" style="508"/>
    <col min="3585" max="3585" width="4.5546875" style="508" customWidth="1"/>
    <col min="3586" max="3586" width="55.44140625" style="508" customWidth="1"/>
    <col min="3587" max="3587" width="6.88671875" style="508" customWidth="1"/>
    <col min="3588" max="3588" width="8.109375" style="508" customWidth="1"/>
    <col min="3589" max="3589" width="13.6640625" style="508" customWidth="1"/>
    <col min="3590" max="3590" width="16.109375" style="508" customWidth="1"/>
    <col min="3591" max="3840" width="9.109375" style="508"/>
    <col min="3841" max="3841" width="4.5546875" style="508" customWidth="1"/>
    <col min="3842" max="3842" width="55.44140625" style="508" customWidth="1"/>
    <col min="3843" max="3843" width="6.88671875" style="508" customWidth="1"/>
    <col min="3844" max="3844" width="8.109375" style="508" customWidth="1"/>
    <col min="3845" max="3845" width="13.6640625" style="508" customWidth="1"/>
    <col min="3846" max="3846" width="16.109375" style="508" customWidth="1"/>
    <col min="3847" max="4096" width="9.109375" style="508"/>
    <col min="4097" max="4097" width="4.5546875" style="508" customWidth="1"/>
    <col min="4098" max="4098" width="55.44140625" style="508" customWidth="1"/>
    <col min="4099" max="4099" width="6.88671875" style="508" customWidth="1"/>
    <col min="4100" max="4100" width="8.109375" style="508" customWidth="1"/>
    <col min="4101" max="4101" width="13.6640625" style="508" customWidth="1"/>
    <col min="4102" max="4102" width="16.109375" style="508" customWidth="1"/>
    <col min="4103" max="4352" width="9.109375" style="508"/>
    <col min="4353" max="4353" width="4.5546875" style="508" customWidth="1"/>
    <col min="4354" max="4354" width="55.44140625" style="508" customWidth="1"/>
    <col min="4355" max="4355" width="6.88671875" style="508" customWidth="1"/>
    <col min="4356" max="4356" width="8.109375" style="508" customWidth="1"/>
    <col min="4357" max="4357" width="13.6640625" style="508" customWidth="1"/>
    <col min="4358" max="4358" width="16.109375" style="508" customWidth="1"/>
    <col min="4359" max="4608" width="9.109375" style="508"/>
    <col min="4609" max="4609" width="4.5546875" style="508" customWidth="1"/>
    <col min="4610" max="4610" width="55.44140625" style="508" customWidth="1"/>
    <col min="4611" max="4611" width="6.88671875" style="508" customWidth="1"/>
    <col min="4612" max="4612" width="8.109375" style="508" customWidth="1"/>
    <col min="4613" max="4613" width="13.6640625" style="508" customWidth="1"/>
    <col min="4614" max="4614" width="16.109375" style="508" customWidth="1"/>
    <col min="4615" max="4864" width="9.109375" style="508"/>
    <col min="4865" max="4865" width="4.5546875" style="508" customWidth="1"/>
    <col min="4866" max="4866" width="55.44140625" style="508" customWidth="1"/>
    <col min="4867" max="4867" width="6.88671875" style="508" customWidth="1"/>
    <col min="4868" max="4868" width="8.109375" style="508" customWidth="1"/>
    <col min="4869" max="4869" width="13.6640625" style="508" customWidth="1"/>
    <col min="4870" max="4870" width="16.109375" style="508" customWidth="1"/>
    <col min="4871" max="5120" width="9.109375" style="508"/>
    <col min="5121" max="5121" width="4.5546875" style="508" customWidth="1"/>
    <col min="5122" max="5122" width="55.44140625" style="508" customWidth="1"/>
    <col min="5123" max="5123" width="6.88671875" style="508" customWidth="1"/>
    <col min="5124" max="5124" width="8.109375" style="508" customWidth="1"/>
    <col min="5125" max="5125" width="13.6640625" style="508" customWidth="1"/>
    <col min="5126" max="5126" width="16.109375" style="508" customWidth="1"/>
    <col min="5127" max="5376" width="9.109375" style="508"/>
    <col min="5377" max="5377" width="4.5546875" style="508" customWidth="1"/>
    <col min="5378" max="5378" width="55.44140625" style="508" customWidth="1"/>
    <col min="5379" max="5379" width="6.88671875" style="508" customWidth="1"/>
    <col min="5380" max="5380" width="8.109375" style="508" customWidth="1"/>
    <col min="5381" max="5381" width="13.6640625" style="508" customWidth="1"/>
    <col min="5382" max="5382" width="16.109375" style="508" customWidth="1"/>
    <col min="5383" max="5632" width="9.109375" style="508"/>
    <col min="5633" max="5633" width="4.5546875" style="508" customWidth="1"/>
    <col min="5634" max="5634" width="55.44140625" style="508" customWidth="1"/>
    <col min="5635" max="5635" width="6.88671875" style="508" customWidth="1"/>
    <col min="5636" max="5636" width="8.109375" style="508" customWidth="1"/>
    <col min="5637" max="5637" width="13.6640625" style="508" customWidth="1"/>
    <col min="5638" max="5638" width="16.109375" style="508" customWidth="1"/>
    <col min="5639" max="5888" width="9.109375" style="508"/>
    <col min="5889" max="5889" width="4.5546875" style="508" customWidth="1"/>
    <col min="5890" max="5890" width="55.44140625" style="508" customWidth="1"/>
    <col min="5891" max="5891" width="6.88671875" style="508" customWidth="1"/>
    <col min="5892" max="5892" width="8.109375" style="508" customWidth="1"/>
    <col min="5893" max="5893" width="13.6640625" style="508" customWidth="1"/>
    <col min="5894" max="5894" width="16.109375" style="508" customWidth="1"/>
    <col min="5895" max="6144" width="9.109375" style="508"/>
    <col min="6145" max="6145" width="4.5546875" style="508" customWidth="1"/>
    <col min="6146" max="6146" width="55.44140625" style="508" customWidth="1"/>
    <col min="6147" max="6147" width="6.88671875" style="508" customWidth="1"/>
    <col min="6148" max="6148" width="8.109375" style="508" customWidth="1"/>
    <col min="6149" max="6149" width="13.6640625" style="508" customWidth="1"/>
    <col min="6150" max="6150" width="16.109375" style="508" customWidth="1"/>
    <col min="6151" max="6400" width="9.109375" style="508"/>
    <col min="6401" max="6401" width="4.5546875" style="508" customWidth="1"/>
    <col min="6402" max="6402" width="55.44140625" style="508" customWidth="1"/>
    <col min="6403" max="6403" width="6.88671875" style="508" customWidth="1"/>
    <col min="6404" max="6404" width="8.109375" style="508" customWidth="1"/>
    <col min="6405" max="6405" width="13.6640625" style="508" customWidth="1"/>
    <col min="6406" max="6406" width="16.109375" style="508" customWidth="1"/>
    <col min="6407" max="6656" width="9.109375" style="508"/>
    <col min="6657" max="6657" width="4.5546875" style="508" customWidth="1"/>
    <col min="6658" max="6658" width="55.44140625" style="508" customWidth="1"/>
    <col min="6659" max="6659" width="6.88671875" style="508" customWidth="1"/>
    <col min="6660" max="6660" width="8.109375" style="508" customWidth="1"/>
    <col min="6661" max="6661" width="13.6640625" style="508" customWidth="1"/>
    <col min="6662" max="6662" width="16.109375" style="508" customWidth="1"/>
    <col min="6663" max="6912" width="9.109375" style="508"/>
    <col min="6913" max="6913" width="4.5546875" style="508" customWidth="1"/>
    <col min="6914" max="6914" width="55.44140625" style="508" customWidth="1"/>
    <col min="6915" max="6915" width="6.88671875" style="508" customWidth="1"/>
    <col min="6916" max="6916" width="8.109375" style="508" customWidth="1"/>
    <col min="6917" max="6917" width="13.6640625" style="508" customWidth="1"/>
    <col min="6918" max="6918" width="16.109375" style="508" customWidth="1"/>
    <col min="6919" max="7168" width="9.109375" style="508"/>
    <col min="7169" max="7169" width="4.5546875" style="508" customWidth="1"/>
    <col min="7170" max="7170" width="55.44140625" style="508" customWidth="1"/>
    <col min="7171" max="7171" width="6.88671875" style="508" customWidth="1"/>
    <col min="7172" max="7172" width="8.109375" style="508" customWidth="1"/>
    <col min="7173" max="7173" width="13.6640625" style="508" customWidth="1"/>
    <col min="7174" max="7174" width="16.109375" style="508" customWidth="1"/>
    <col min="7175" max="7424" width="9.109375" style="508"/>
    <col min="7425" max="7425" width="4.5546875" style="508" customWidth="1"/>
    <col min="7426" max="7426" width="55.44140625" style="508" customWidth="1"/>
    <col min="7427" max="7427" width="6.88671875" style="508" customWidth="1"/>
    <col min="7428" max="7428" width="8.109375" style="508" customWidth="1"/>
    <col min="7429" max="7429" width="13.6640625" style="508" customWidth="1"/>
    <col min="7430" max="7430" width="16.109375" style="508" customWidth="1"/>
    <col min="7431" max="7680" width="9.109375" style="508"/>
    <col min="7681" max="7681" width="4.5546875" style="508" customWidth="1"/>
    <col min="7682" max="7682" width="55.44140625" style="508" customWidth="1"/>
    <col min="7683" max="7683" width="6.88671875" style="508" customWidth="1"/>
    <col min="7684" max="7684" width="8.109375" style="508" customWidth="1"/>
    <col min="7685" max="7685" width="13.6640625" style="508" customWidth="1"/>
    <col min="7686" max="7686" width="16.109375" style="508" customWidth="1"/>
    <col min="7687" max="7936" width="9.109375" style="508"/>
    <col min="7937" max="7937" width="4.5546875" style="508" customWidth="1"/>
    <col min="7938" max="7938" width="55.44140625" style="508" customWidth="1"/>
    <col min="7939" max="7939" width="6.88671875" style="508" customWidth="1"/>
    <col min="7940" max="7940" width="8.109375" style="508" customWidth="1"/>
    <col min="7941" max="7941" width="13.6640625" style="508" customWidth="1"/>
    <col min="7942" max="7942" width="16.109375" style="508" customWidth="1"/>
    <col min="7943" max="8192" width="9.109375" style="508"/>
    <col min="8193" max="8193" width="4.5546875" style="508" customWidth="1"/>
    <col min="8194" max="8194" width="55.44140625" style="508" customWidth="1"/>
    <col min="8195" max="8195" width="6.88671875" style="508" customWidth="1"/>
    <col min="8196" max="8196" width="8.109375" style="508" customWidth="1"/>
    <col min="8197" max="8197" width="13.6640625" style="508" customWidth="1"/>
    <col min="8198" max="8198" width="16.109375" style="508" customWidth="1"/>
    <col min="8199" max="8448" width="9.109375" style="508"/>
    <col min="8449" max="8449" width="4.5546875" style="508" customWidth="1"/>
    <col min="8450" max="8450" width="55.44140625" style="508" customWidth="1"/>
    <col min="8451" max="8451" width="6.88671875" style="508" customWidth="1"/>
    <col min="8452" max="8452" width="8.109375" style="508" customWidth="1"/>
    <col min="8453" max="8453" width="13.6640625" style="508" customWidth="1"/>
    <col min="8454" max="8454" width="16.109375" style="508" customWidth="1"/>
    <col min="8455" max="8704" width="9.109375" style="508"/>
    <col min="8705" max="8705" width="4.5546875" style="508" customWidth="1"/>
    <col min="8706" max="8706" width="55.44140625" style="508" customWidth="1"/>
    <col min="8707" max="8707" width="6.88671875" style="508" customWidth="1"/>
    <col min="8708" max="8708" width="8.109375" style="508" customWidth="1"/>
    <col min="8709" max="8709" width="13.6640625" style="508" customWidth="1"/>
    <col min="8710" max="8710" width="16.109375" style="508" customWidth="1"/>
    <col min="8711" max="8960" width="9.109375" style="508"/>
    <col min="8961" max="8961" width="4.5546875" style="508" customWidth="1"/>
    <col min="8962" max="8962" width="55.44140625" style="508" customWidth="1"/>
    <col min="8963" max="8963" width="6.88671875" style="508" customWidth="1"/>
    <col min="8964" max="8964" width="8.109375" style="508" customWidth="1"/>
    <col min="8965" max="8965" width="13.6640625" style="508" customWidth="1"/>
    <col min="8966" max="8966" width="16.109375" style="508" customWidth="1"/>
    <col min="8967" max="9216" width="9.109375" style="508"/>
    <col min="9217" max="9217" width="4.5546875" style="508" customWidth="1"/>
    <col min="9218" max="9218" width="55.44140625" style="508" customWidth="1"/>
    <col min="9219" max="9219" width="6.88671875" style="508" customWidth="1"/>
    <col min="9220" max="9220" width="8.109375" style="508" customWidth="1"/>
    <col min="9221" max="9221" width="13.6640625" style="508" customWidth="1"/>
    <col min="9222" max="9222" width="16.109375" style="508" customWidth="1"/>
    <col min="9223" max="9472" width="9.109375" style="508"/>
    <col min="9473" max="9473" width="4.5546875" style="508" customWidth="1"/>
    <col min="9474" max="9474" width="55.44140625" style="508" customWidth="1"/>
    <col min="9475" max="9475" width="6.88671875" style="508" customWidth="1"/>
    <col min="9476" max="9476" width="8.109375" style="508" customWidth="1"/>
    <col min="9477" max="9477" width="13.6640625" style="508" customWidth="1"/>
    <col min="9478" max="9478" width="16.109375" style="508" customWidth="1"/>
    <col min="9479" max="9728" width="9.109375" style="508"/>
    <col min="9729" max="9729" width="4.5546875" style="508" customWidth="1"/>
    <col min="9730" max="9730" width="55.44140625" style="508" customWidth="1"/>
    <col min="9731" max="9731" width="6.88671875" style="508" customWidth="1"/>
    <col min="9732" max="9732" width="8.109375" style="508" customWidth="1"/>
    <col min="9733" max="9733" width="13.6640625" style="508" customWidth="1"/>
    <col min="9734" max="9734" width="16.109375" style="508" customWidth="1"/>
    <col min="9735" max="9984" width="9.109375" style="508"/>
    <col min="9985" max="9985" width="4.5546875" style="508" customWidth="1"/>
    <col min="9986" max="9986" width="55.44140625" style="508" customWidth="1"/>
    <col min="9987" max="9987" width="6.88671875" style="508" customWidth="1"/>
    <col min="9988" max="9988" width="8.109375" style="508" customWidth="1"/>
    <col min="9989" max="9989" width="13.6640625" style="508" customWidth="1"/>
    <col min="9990" max="9990" width="16.109375" style="508" customWidth="1"/>
    <col min="9991" max="10240" width="9.109375" style="508"/>
    <col min="10241" max="10241" width="4.5546875" style="508" customWidth="1"/>
    <col min="10242" max="10242" width="55.44140625" style="508" customWidth="1"/>
    <col min="10243" max="10243" width="6.88671875" style="508" customWidth="1"/>
    <col min="10244" max="10244" width="8.109375" style="508" customWidth="1"/>
    <col min="10245" max="10245" width="13.6640625" style="508" customWidth="1"/>
    <col min="10246" max="10246" width="16.109375" style="508" customWidth="1"/>
    <col min="10247" max="10496" width="9.109375" style="508"/>
    <col min="10497" max="10497" width="4.5546875" style="508" customWidth="1"/>
    <col min="10498" max="10498" width="55.44140625" style="508" customWidth="1"/>
    <col min="10499" max="10499" width="6.88671875" style="508" customWidth="1"/>
    <col min="10500" max="10500" width="8.109375" style="508" customWidth="1"/>
    <col min="10501" max="10501" width="13.6640625" style="508" customWidth="1"/>
    <col min="10502" max="10502" width="16.109375" style="508" customWidth="1"/>
    <col min="10503" max="10752" width="9.109375" style="508"/>
    <col min="10753" max="10753" width="4.5546875" style="508" customWidth="1"/>
    <col min="10754" max="10754" width="55.44140625" style="508" customWidth="1"/>
    <col min="10755" max="10755" width="6.88671875" style="508" customWidth="1"/>
    <col min="10756" max="10756" width="8.109375" style="508" customWidth="1"/>
    <col min="10757" max="10757" width="13.6640625" style="508" customWidth="1"/>
    <col min="10758" max="10758" width="16.109375" style="508" customWidth="1"/>
    <col min="10759" max="11008" width="9.109375" style="508"/>
    <col min="11009" max="11009" width="4.5546875" style="508" customWidth="1"/>
    <col min="11010" max="11010" width="55.44140625" style="508" customWidth="1"/>
    <col min="11011" max="11011" width="6.88671875" style="508" customWidth="1"/>
    <col min="11012" max="11012" width="8.109375" style="508" customWidth="1"/>
    <col min="11013" max="11013" width="13.6640625" style="508" customWidth="1"/>
    <col min="11014" max="11014" width="16.109375" style="508" customWidth="1"/>
    <col min="11015" max="11264" width="9.109375" style="508"/>
    <col min="11265" max="11265" width="4.5546875" style="508" customWidth="1"/>
    <col min="11266" max="11266" width="55.44140625" style="508" customWidth="1"/>
    <col min="11267" max="11267" width="6.88671875" style="508" customWidth="1"/>
    <col min="11268" max="11268" width="8.109375" style="508" customWidth="1"/>
    <col min="11269" max="11269" width="13.6640625" style="508" customWidth="1"/>
    <col min="11270" max="11270" width="16.109375" style="508" customWidth="1"/>
    <col min="11271" max="11520" width="9.109375" style="508"/>
    <col min="11521" max="11521" width="4.5546875" style="508" customWidth="1"/>
    <col min="11522" max="11522" width="55.44140625" style="508" customWidth="1"/>
    <col min="11523" max="11523" width="6.88671875" style="508" customWidth="1"/>
    <col min="11524" max="11524" width="8.109375" style="508" customWidth="1"/>
    <col min="11525" max="11525" width="13.6640625" style="508" customWidth="1"/>
    <col min="11526" max="11526" width="16.109375" style="508" customWidth="1"/>
    <col min="11527" max="11776" width="9.109375" style="508"/>
    <col min="11777" max="11777" width="4.5546875" style="508" customWidth="1"/>
    <col min="11778" max="11778" width="55.44140625" style="508" customWidth="1"/>
    <col min="11779" max="11779" width="6.88671875" style="508" customWidth="1"/>
    <col min="11780" max="11780" width="8.109375" style="508" customWidth="1"/>
    <col min="11781" max="11781" width="13.6640625" style="508" customWidth="1"/>
    <col min="11782" max="11782" width="16.109375" style="508" customWidth="1"/>
    <col min="11783" max="12032" width="9.109375" style="508"/>
    <col min="12033" max="12033" width="4.5546875" style="508" customWidth="1"/>
    <col min="12034" max="12034" width="55.44140625" style="508" customWidth="1"/>
    <col min="12035" max="12035" width="6.88671875" style="508" customWidth="1"/>
    <col min="12036" max="12036" width="8.109375" style="508" customWidth="1"/>
    <col min="12037" max="12037" width="13.6640625" style="508" customWidth="1"/>
    <col min="12038" max="12038" width="16.109375" style="508" customWidth="1"/>
    <col min="12039" max="12288" width="9.109375" style="508"/>
    <col min="12289" max="12289" width="4.5546875" style="508" customWidth="1"/>
    <col min="12290" max="12290" width="55.44140625" style="508" customWidth="1"/>
    <col min="12291" max="12291" width="6.88671875" style="508" customWidth="1"/>
    <col min="12292" max="12292" width="8.109375" style="508" customWidth="1"/>
    <col min="12293" max="12293" width="13.6640625" style="508" customWidth="1"/>
    <col min="12294" max="12294" width="16.109375" style="508" customWidth="1"/>
    <col min="12295" max="12544" width="9.109375" style="508"/>
    <col min="12545" max="12545" width="4.5546875" style="508" customWidth="1"/>
    <col min="12546" max="12546" width="55.44140625" style="508" customWidth="1"/>
    <col min="12547" max="12547" width="6.88671875" style="508" customWidth="1"/>
    <col min="12548" max="12548" width="8.109375" style="508" customWidth="1"/>
    <col min="12549" max="12549" width="13.6640625" style="508" customWidth="1"/>
    <col min="12550" max="12550" width="16.109375" style="508" customWidth="1"/>
    <col min="12551" max="12800" width="9.109375" style="508"/>
    <col min="12801" max="12801" width="4.5546875" style="508" customWidth="1"/>
    <col min="12802" max="12802" width="55.44140625" style="508" customWidth="1"/>
    <col min="12803" max="12803" width="6.88671875" style="508" customWidth="1"/>
    <col min="12804" max="12804" width="8.109375" style="508" customWidth="1"/>
    <col min="12805" max="12805" width="13.6640625" style="508" customWidth="1"/>
    <col min="12806" max="12806" width="16.109375" style="508" customWidth="1"/>
    <col min="12807" max="13056" width="9.109375" style="508"/>
    <col min="13057" max="13057" width="4.5546875" style="508" customWidth="1"/>
    <col min="13058" max="13058" width="55.44140625" style="508" customWidth="1"/>
    <col min="13059" max="13059" width="6.88671875" style="508" customWidth="1"/>
    <col min="13060" max="13060" width="8.109375" style="508" customWidth="1"/>
    <col min="13061" max="13061" width="13.6640625" style="508" customWidth="1"/>
    <col min="13062" max="13062" width="16.109375" style="508" customWidth="1"/>
    <col min="13063" max="13312" width="9.109375" style="508"/>
    <col min="13313" max="13313" width="4.5546875" style="508" customWidth="1"/>
    <col min="13314" max="13314" width="55.44140625" style="508" customWidth="1"/>
    <col min="13315" max="13315" width="6.88671875" style="508" customWidth="1"/>
    <col min="13316" max="13316" width="8.109375" style="508" customWidth="1"/>
    <col min="13317" max="13317" width="13.6640625" style="508" customWidth="1"/>
    <col min="13318" max="13318" width="16.109375" style="508" customWidth="1"/>
    <col min="13319" max="13568" width="9.109375" style="508"/>
    <col min="13569" max="13569" width="4.5546875" style="508" customWidth="1"/>
    <col min="13570" max="13570" width="55.44140625" style="508" customWidth="1"/>
    <col min="13571" max="13571" width="6.88671875" style="508" customWidth="1"/>
    <col min="13572" max="13572" width="8.109375" style="508" customWidth="1"/>
    <col min="13573" max="13573" width="13.6640625" style="508" customWidth="1"/>
    <col min="13574" max="13574" width="16.109375" style="508" customWidth="1"/>
    <col min="13575" max="13824" width="9.109375" style="508"/>
    <col min="13825" max="13825" width="4.5546875" style="508" customWidth="1"/>
    <col min="13826" max="13826" width="55.44140625" style="508" customWidth="1"/>
    <col min="13827" max="13827" width="6.88671875" style="508" customWidth="1"/>
    <col min="13828" max="13828" width="8.109375" style="508" customWidth="1"/>
    <col min="13829" max="13829" width="13.6640625" style="508" customWidth="1"/>
    <col min="13830" max="13830" width="16.109375" style="508" customWidth="1"/>
    <col min="13831" max="14080" width="9.109375" style="508"/>
    <col min="14081" max="14081" width="4.5546875" style="508" customWidth="1"/>
    <col min="14082" max="14082" width="55.44140625" style="508" customWidth="1"/>
    <col min="14083" max="14083" width="6.88671875" style="508" customWidth="1"/>
    <col min="14084" max="14084" width="8.109375" style="508" customWidth="1"/>
    <col min="14085" max="14085" width="13.6640625" style="508" customWidth="1"/>
    <col min="14086" max="14086" width="16.109375" style="508" customWidth="1"/>
    <col min="14087" max="14336" width="9.109375" style="508"/>
    <col min="14337" max="14337" width="4.5546875" style="508" customWidth="1"/>
    <col min="14338" max="14338" width="55.44140625" style="508" customWidth="1"/>
    <col min="14339" max="14339" width="6.88671875" style="508" customWidth="1"/>
    <col min="14340" max="14340" width="8.109375" style="508" customWidth="1"/>
    <col min="14341" max="14341" width="13.6640625" style="508" customWidth="1"/>
    <col min="14342" max="14342" width="16.109375" style="508" customWidth="1"/>
    <col min="14343" max="14592" width="9.109375" style="508"/>
    <col min="14593" max="14593" width="4.5546875" style="508" customWidth="1"/>
    <col min="14594" max="14594" width="55.44140625" style="508" customWidth="1"/>
    <col min="14595" max="14595" width="6.88671875" style="508" customWidth="1"/>
    <col min="14596" max="14596" width="8.109375" style="508" customWidth="1"/>
    <col min="14597" max="14597" width="13.6640625" style="508" customWidth="1"/>
    <col min="14598" max="14598" width="16.109375" style="508" customWidth="1"/>
    <col min="14599" max="14848" width="9.109375" style="508"/>
    <col min="14849" max="14849" width="4.5546875" style="508" customWidth="1"/>
    <col min="14850" max="14850" width="55.44140625" style="508" customWidth="1"/>
    <col min="14851" max="14851" width="6.88671875" style="508" customWidth="1"/>
    <col min="14852" max="14852" width="8.109375" style="508" customWidth="1"/>
    <col min="14853" max="14853" width="13.6640625" style="508" customWidth="1"/>
    <col min="14854" max="14854" width="16.109375" style="508" customWidth="1"/>
    <col min="14855" max="15104" width="9.109375" style="508"/>
    <col min="15105" max="15105" width="4.5546875" style="508" customWidth="1"/>
    <col min="15106" max="15106" width="55.44140625" style="508" customWidth="1"/>
    <col min="15107" max="15107" width="6.88671875" style="508" customWidth="1"/>
    <col min="15108" max="15108" width="8.109375" style="508" customWidth="1"/>
    <col min="15109" max="15109" width="13.6640625" style="508" customWidth="1"/>
    <col min="15110" max="15110" width="16.109375" style="508" customWidth="1"/>
    <col min="15111" max="15360" width="9.109375" style="508"/>
    <col min="15361" max="15361" width="4.5546875" style="508" customWidth="1"/>
    <col min="15362" max="15362" width="55.44140625" style="508" customWidth="1"/>
    <col min="15363" max="15363" width="6.88671875" style="508" customWidth="1"/>
    <col min="15364" max="15364" width="8.109375" style="508" customWidth="1"/>
    <col min="15365" max="15365" width="13.6640625" style="508" customWidth="1"/>
    <col min="15366" max="15366" width="16.109375" style="508" customWidth="1"/>
    <col min="15367" max="15616" width="9.109375" style="508"/>
    <col min="15617" max="15617" width="4.5546875" style="508" customWidth="1"/>
    <col min="15618" max="15618" width="55.44140625" style="508" customWidth="1"/>
    <col min="15619" max="15619" width="6.88671875" style="508" customWidth="1"/>
    <col min="15620" max="15620" width="8.109375" style="508" customWidth="1"/>
    <col min="15621" max="15621" width="13.6640625" style="508" customWidth="1"/>
    <col min="15622" max="15622" width="16.109375" style="508" customWidth="1"/>
    <col min="15623" max="15872" width="9.109375" style="508"/>
    <col min="15873" max="15873" width="4.5546875" style="508" customWidth="1"/>
    <col min="15874" max="15874" width="55.44140625" style="508" customWidth="1"/>
    <col min="15875" max="15875" width="6.88671875" style="508" customWidth="1"/>
    <col min="15876" max="15876" width="8.109375" style="508" customWidth="1"/>
    <col min="15877" max="15877" width="13.6640625" style="508" customWidth="1"/>
    <col min="15878" max="15878" width="16.109375" style="508" customWidth="1"/>
    <col min="15879" max="16128" width="9.109375" style="508"/>
    <col min="16129" max="16129" width="4.5546875" style="508" customWidth="1"/>
    <col min="16130" max="16130" width="55.44140625" style="508" customWidth="1"/>
    <col min="16131" max="16131" width="6.88671875" style="508" customWidth="1"/>
    <col min="16132" max="16132" width="8.109375" style="508" customWidth="1"/>
    <col min="16133" max="16133" width="13.6640625" style="508" customWidth="1"/>
    <col min="16134" max="16134" width="16.109375" style="508" customWidth="1"/>
    <col min="16135" max="16384" width="9.109375" style="508"/>
  </cols>
  <sheetData>
    <row r="1" spans="1:17" s="505" customFormat="1">
      <c r="A1" s="332" t="str">
        <f>'I. PERSIAPAN'!B1</f>
        <v>PROGRESS MINGGUAN</v>
      </c>
      <c r="B1" s="508"/>
      <c r="C1" s="508"/>
      <c r="D1" s="508"/>
      <c r="E1" s="509"/>
      <c r="F1" s="508"/>
    </row>
    <row r="2" spans="1:17" s="505" customFormat="1">
      <c r="A2" s="332" t="str">
        <f>'I. PERSIAPAN'!B2</f>
        <v>PROYEK SHOWROOM &amp; WORKSHOP</v>
      </c>
      <c r="B2" s="508"/>
      <c r="C2" s="508"/>
      <c r="D2" s="508"/>
      <c r="E2" s="509"/>
      <c r="F2" s="508"/>
    </row>
    <row r="3" spans="1:17" s="505" customFormat="1">
      <c r="A3" s="332" t="str">
        <f>'I. PERSIAPAN'!B3</f>
        <v>DAIHATSU Cabang BATAM-KEPULAUAN RIAU</v>
      </c>
      <c r="B3" s="508"/>
      <c r="C3" s="508"/>
      <c r="D3" s="508"/>
      <c r="E3" s="509"/>
      <c r="F3" s="508"/>
    </row>
    <row r="4" spans="1:17" s="505" customFormat="1">
      <c r="A4" s="332" t="str">
        <f>'I. PERSIAPAN'!B4</f>
        <v xml:space="preserve">PT. ASTRA INTERNATIONAL Tbk </v>
      </c>
      <c r="B4" s="508"/>
      <c r="C4" s="508"/>
      <c r="D4" s="508"/>
      <c r="E4" s="509"/>
      <c r="F4" s="508"/>
    </row>
    <row r="5" spans="1:17" s="505" customFormat="1">
      <c r="A5" s="332" t="str">
        <f>'I. PERSIAPAN'!B5</f>
        <v>PERIODE : 6- 18 April2026</v>
      </c>
      <c r="B5" s="508"/>
      <c r="C5" s="508"/>
      <c r="D5" s="508"/>
      <c r="E5" s="509"/>
      <c r="F5" s="508"/>
    </row>
    <row r="6" spans="1:17" s="505" customFormat="1">
      <c r="A6" s="332" t="str">
        <f>'I. PERSIAPAN'!B6</f>
        <v>MINGGU KE 2 (Dua)</v>
      </c>
      <c r="B6" s="508"/>
      <c r="C6" s="508"/>
      <c r="D6" s="508"/>
      <c r="E6" s="509"/>
      <c r="F6" s="508"/>
    </row>
    <row r="7" spans="1:17" s="505" customFormat="1">
      <c r="A7" s="332"/>
      <c r="B7" s="508"/>
      <c r="C7" s="508"/>
      <c r="D7" s="508"/>
      <c r="E7" s="509"/>
      <c r="F7" s="508"/>
    </row>
    <row r="8" spans="1:17" s="505" customFormat="1" ht="13.8">
      <c r="A8" s="2173" t="s">
        <v>536</v>
      </c>
      <c r="B8" s="2175" t="s">
        <v>547</v>
      </c>
      <c r="C8" s="2175" t="s">
        <v>548</v>
      </c>
      <c r="D8" s="2175" t="s">
        <v>59</v>
      </c>
      <c r="E8" s="510" t="s">
        <v>549</v>
      </c>
      <c r="F8" s="511" t="s">
        <v>550</v>
      </c>
      <c r="G8" s="2161" t="s">
        <v>14</v>
      </c>
      <c r="H8" s="2099" t="s">
        <v>64</v>
      </c>
      <c r="I8" s="2099"/>
      <c r="J8" s="2099"/>
      <c r="K8" s="2099" t="s">
        <v>16</v>
      </c>
      <c r="L8" s="2099"/>
      <c r="M8" s="2099"/>
      <c r="N8" s="336" t="s">
        <v>65</v>
      </c>
      <c r="O8" s="336"/>
      <c r="P8" s="336"/>
      <c r="Q8" s="2103" t="s">
        <v>18</v>
      </c>
    </row>
    <row r="9" spans="1:17" s="505" customFormat="1" ht="13.8">
      <c r="A9" s="2174"/>
      <c r="B9" s="2176"/>
      <c r="C9" s="2176"/>
      <c r="D9" s="2176"/>
      <c r="E9" s="512" t="s">
        <v>551</v>
      </c>
      <c r="F9" s="513" t="s">
        <v>552</v>
      </c>
      <c r="G9" s="2162"/>
      <c r="H9" s="340" t="s">
        <v>20</v>
      </c>
      <c r="I9" s="341" t="s">
        <v>21</v>
      </c>
      <c r="J9" s="342" t="s">
        <v>14</v>
      </c>
      <c r="K9" s="340" t="s">
        <v>20</v>
      </c>
      <c r="L9" s="343" t="s">
        <v>21</v>
      </c>
      <c r="M9" s="343" t="s">
        <v>14</v>
      </c>
      <c r="N9" s="344" t="s">
        <v>20</v>
      </c>
      <c r="O9" s="340" t="s">
        <v>21</v>
      </c>
      <c r="P9" s="342" t="s">
        <v>14</v>
      </c>
      <c r="Q9" s="2105"/>
    </row>
    <row r="10" spans="1:17" s="506" customFormat="1" ht="18" customHeight="1">
      <c r="A10" s="514" t="s">
        <v>32</v>
      </c>
      <c r="B10" s="515" t="s">
        <v>553</v>
      </c>
      <c r="C10" s="516"/>
      <c r="D10" s="517"/>
      <c r="E10" s="518"/>
      <c r="F10" s="519"/>
      <c r="G10" s="520"/>
      <c r="H10" s="520"/>
      <c r="I10" s="520"/>
      <c r="J10" s="520"/>
      <c r="K10" s="520"/>
      <c r="L10" s="520"/>
      <c r="M10" s="520"/>
      <c r="N10" s="520"/>
      <c r="O10" s="520"/>
      <c r="P10" s="520"/>
      <c r="Q10" s="521"/>
    </row>
    <row r="11" spans="1:17" s="506" customFormat="1" ht="18" customHeight="1">
      <c r="A11" s="522"/>
      <c r="B11" s="523" t="s">
        <v>554</v>
      </c>
      <c r="C11" s="523"/>
      <c r="D11" s="524"/>
      <c r="E11" s="525"/>
      <c r="F11" s="526"/>
      <c r="G11" s="527"/>
      <c r="H11" s="527"/>
      <c r="I11" s="527"/>
      <c r="J11" s="527"/>
      <c r="K11" s="527"/>
      <c r="L11" s="527"/>
      <c r="M11" s="527"/>
      <c r="N11" s="527"/>
      <c r="O11" s="527"/>
      <c r="P11" s="527"/>
      <c r="Q11" s="528"/>
    </row>
    <row r="12" spans="1:17" s="506" customFormat="1" ht="18" customHeight="1">
      <c r="A12" s="522"/>
      <c r="B12" s="523" t="s">
        <v>555</v>
      </c>
      <c r="C12" s="523"/>
      <c r="D12" s="524"/>
      <c r="E12" s="525"/>
      <c r="F12" s="526"/>
      <c r="G12" s="527"/>
      <c r="H12" s="527"/>
      <c r="I12" s="527"/>
      <c r="J12" s="527"/>
      <c r="K12" s="527"/>
      <c r="L12" s="527"/>
      <c r="M12" s="527"/>
      <c r="N12" s="527"/>
      <c r="O12" s="527"/>
      <c r="P12" s="527"/>
      <c r="Q12" s="528"/>
    </row>
    <row r="13" spans="1:17" s="506" customFormat="1" ht="18" customHeight="1">
      <c r="A13" s="522"/>
      <c r="B13" s="523" t="s">
        <v>556</v>
      </c>
      <c r="C13" s="523"/>
      <c r="D13" s="524"/>
      <c r="E13" s="525"/>
      <c r="F13" s="526"/>
      <c r="G13" s="527"/>
      <c r="H13" s="527"/>
      <c r="I13" s="527"/>
      <c r="J13" s="527"/>
      <c r="K13" s="527"/>
      <c r="L13" s="527"/>
      <c r="M13" s="527"/>
      <c r="N13" s="527"/>
      <c r="O13" s="527"/>
      <c r="P13" s="527"/>
      <c r="Q13" s="528"/>
    </row>
    <row r="14" spans="1:17" s="506" customFormat="1" ht="12" customHeight="1">
      <c r="A14" s="522"/>
      <c r="B14" s="523"/>
      <c r="C14" s="523"/>
      <c r="D14" s="524"/>
      <c r="E14" s="525"/>
      <c r="F14" s="526"/>
      <c r="G14" s="527"/>
      <c r="H14" s="527"/>
      <c r="I14" s="527"/>
      <c r="J14" s="527"/>
      <c r="K14" s="527"/>
      <c r="L14" s="527"/>
      <c r="M14" s="527"/>
      <c r="N14" s="527"/>
      <c r="O14" s="527"/>
      <c r="P14" s="527"/>
      <c r="Q14" s="528"/>
    </row>
    <row r="15" spans="1:17" s="506" customFormat="1" ht="18" customHeight="1">
      <c r="A15" s="529">
        <v>1</v>
      </c>
      <c r="B15" s="530" t="s">
        <v>609</v>
      </c>
      <c r="C15" s="531"/>
      <c r="D15" s="524"/>
      <c r="E15" s="532"/>
      <c r="F15" s="533"/>
      <c r="G15" s="527"/>
      <c r="H15" s="527"/>
      <c r="I15" s="527"/>
      <c r="J15" s="527"/>
      <c r="K15" s="527"/>
      <c r="L15" s="527"/>
      <c r="M15" s="527"/>
      <c r="N15" s="527"/>
      <c r="O15" s="527"/>
      <c r="P15" s="527"/>
      <c r="Q15" s="528"/>
    </row>
    <row r="16" spans="1:17" s="506" customFormat="1" ht="18" customHeight="1">
      <c r="A16" s="534"/>
      <c r="B16" s="530" t="s">
        <v>610</v>
      </c>
      <c r="C16" s="531"/>
      <c r="D16" s="524"/>
      <c r="E16" s="532"/>
      <c r="F16" s="533"/>
      <c r="G16" s="527"/>
      <c r="H16" s="527"/>
      <c r="I16" s="527"/>
      <c r="J16" s="527"/>
      <c r="K16" s="527"/>
      <c r="L16" s="527"/>
      <c r="M16" s="527"/>
      <c r="N16" s="527"/>
      <c r="O16" s="527"/>
      <c r="P16" s="527"/>
      <c r="Q16" s="528"/>
    </row>
    <row r="17" spans="1:17" s="506" customFormat="1" ht="18" customHeight="1">
      <c r="A17" s="534"/>
      <c r="B17" s="530" t="s">
        <v>611</v>
      </c>
      <c r="C17" s="531"/>
      <c r="D17" s="524"/>
      <c r="E17" s="532"/>
      <c r="F17" s="533"/>
      <c r="G17" s="527"/>
      <c r="H17" s="527"/>
      <c r="I17" s="527"/>
      <c r="J17" s="527"/>
      <c r="K17" s="527"/>
      <c r="L17" s="527"/>
      <c r="M17" s="527"/>
      <c r="N17" s="527"/>
      <c r="O17" s="527"/>
      <c r="P17" s="527"/>
      <c r="Q17" s="528"/>
    </row>
    <row r="18" spans="1:17" s="506" customFormat="1" ht="18" customHeight="1">
      <c r="A18" s="535"/>
      <c r="B18" s="536" t="s">
        <v>612</v>
      </c>
      <c r="C18" s="537"/>
      <c r="D18" s="537"/>
      <c r="E18" s="538"/>
      <c r="F18" s="539"/>
      <c r="G18" s="527"/>
      <c r="H18" s="527"/>
      <c r="I18" s="527"/>
      <c r="J18" s="527"/>
      <c r="K18" s="527"/>
      <c r="L18" s="527"/>
      <c r="M18" s="527"/>
      <c r="N18" s="527"/>
      <c r="O18" s="527"/>
      <c r="P18" s="527"/>
      <c r="Q18" s="528"/>
    </row>
    <row r="19" spans="1:17" s="506" customFormat="1" ht="18" customHeight="1">
      <c r="A19" s="2055" t="s">
        <v>603</v>
      </c>
      <c r="B19" s="541" t="s">
        <v>613</v>
      </c>
      <c r="C19" s="542"/>
      <c r="D19" s="542"/>
      <c r="E19" s="543"/>
      <c r="F19" s="544"/>
      <c r="G19" s="527"/>
      <c r="H19" s="527"/>
      <c r="I19" s="527"/>
      <c r="J19" s="527"/>
      <c r="K19" s="527"/>
      <c r="L19" s="527"/>
      <c r="M19" s="527"/>
      <c r="N19" s="527"/>
      <c r="O19" s="527"/>
      <c r="P19" s="527"/>
      <c r="Q19" s="528"/>
    </row>
    <row r="20" spans="1:17" s="506" customFormat="1" ht="18" customHeight="1">
      <c r="A20" s="540"/>
      <c r="B20" s="545" t="s">
        <v>617</v>
      </c>
      <c r="C20" s="546" t="s">
        <v>615</v>
      </c>
      <c r="D20" s="546">
        <v>4</v>
      </c>
      <c r="E20" s="547">
        <v>32928.790125</v>
      </c>
      <c r="F20" s="548">
        <f>D20*E20</f>
        <v>131715.1605</v>
      </c>
      <c r="G20" s="549">
        <f>F20/'REKAP TOTAL'!F44</f>
        <v>1.0832648676341566E-5</v>
      </c>
      <c r="H20" s="527"/>
      <c r="I20" s="527"/>
      <c r="J20" s="527"/>
      <c r="K20" s="527"/>
      <c r="L20" s="527"/>
      <c r="M20" s="527"/>
      <c r="N20" s="527"/>
      <c r="O20" s="527"/>
      <c r="P20" s="527"/>
      <c r="Q20" s="528"/>
    </row>
    <row r="21" spans="1:17" s="505" customFormat="1" ht="18" customHeight="1">
      <c r="A21" s="550"/>
      <c r="B21" s="541" t="s">
        <v>622</v>
      </c>
      <c r="C21" s="542" t="s">
        <v>623</v>
      </c>
      <c r="D21" s="542">
        <v>1</v>
      </c>
      <c r="E21" s="547">
        <v>89890</v>
      </c>
      <c r="F21" s="548">
        <f>D21*E21</f>
        <v>89890</v>
      </c>
      <c r="G21" s="549">
        <f>F21/'REKAP TOTAL'!F44</f>
        <v>7.3928224041935048E-6</v>
      </c>
      <c r="H21" s="551"/>
      <c r="I21" s="551"/>
      <c r="J21" s="551"/>
      <c r="K21" s="551"/>
      <c r="L21" s="551"/>
      <c r="M21" s="551"/>
      <c r="N21" s="551"/>
      <c r="O21" s="551"/>
      <c r="P21" s="551"/>
      <c r="Q21" s="552"/>
    </row>
    <row r="22" spans="1:17" s="506" customFormat="1">
      <c r="A22" s="553"/>
      <c r="B22" s="554"/>
      <c r="C22" s="555"/>
      <c r="D22" s="555"/>
      <c r="E22" s="556"/>
      <c r="F22" s="557"/>
      <c r="G22" s="527"/>
      <c r="H22" s="527"/>
      <c r="I22" s="527"/>
      <c r="J22" s="527"/>
      <c r="K22" s="527"/>
      <c r="L22" s="527"/>
      <c r="M22" s="527"/>
      <c r="N22" s="527"/>
      <c r="O22" s="527"/>
      <c r="P22" s="527"/>
      <c r="Q22" s="528"/>
    </row>
    <row r="23" spans="1:17" s="505" customFormat="1" ht="15.75" customHeight="1">
      <c r="A23" s="558">
        <v>2</v>
      </c>
      <c r="B23" s="559" t="s">
        <v>624</v>
      </c>
      <c r="C23" s="560"/>
      <c r="D23" s="542"/>
      <c r="E23" s="547"/>
      <c r="F23" s="548"/>
      <c r="G23" s="551"/>
      <c r="H23" s="551"/>
      <c r="I23" s="551"/>
      <c r="J23" s="551"/>
      <c r="K23" s="551"/>
      <c r="L23" s="551"/>
      <c r="M23" s="551"/>
      <c r="N23" s="551"/>
      <c r="O23" s="551"/>
      <c r="P23" s="551"/>
      <c r="Q23" s="552"/>
    </row>
    <row r="24" spans="1:17" s="505" customFormat="1" ht="15.75" customHeight="1">
      <c r="A24" s="558"/>
      <c r="B24" s="561" t="s">
        <v>625</v>
      </c>
      <c r="C24" s="560"/>
      <c r="D24" s="542"/>
      <c r="E24" s="547"/>
      <c r="F24" s="548"/>
      <c r="G24" s="551"/>
      <c r="H24" s="551"/>
      <c r="I24" s="551"/>
      <c r="J24" s="551"/>
      <c r="K24" s="551"/>
      <c r="L24" s="551"/>
      <c r="M24" s="551"/>
      <c r="N24" s="551"/>
      <c r="O24" s="551"/>
      <c r="P24" s="551"/>
      <c r="Q24" s="552"/>
    </row>
    <row r="25" spans="1:17" s="505" customFormat="1" ht="15.75" customHeight="1">
      <c r="A25" s="558">
        <v>2.1</v>
      </c>
      <c r="B25" s="559" t="s">
        <v>626</v>
      </c>
      <c r="C25" s="560"/>
      <c r="D25" s="542"/>
      <c r="E25" s="547"/>
      <c r="F25" s="548"/>
      <c r="G25" s="551"/>
      <c r="H25" s="551"/>
      <c r="I25" s="551"/>
      <c r="J25" s="551"/>
      <c r="K25" s="551"/>
      <c r="L25" s="551"/>
      <c r="M25" s="551"/>
      <c r="N25" s="551"/>
      <c r="O25" s="551"/>
      <c r="P25" s="551"/>
      <c r="Q25" s="552"/>
    </row>
    <row r="26" spans="1:17" s="506" customFormat="1" ht="15.75" customHeight="1">
      <c r="A26" s="562"/>
      <c r="B26" s="563" t="s">
        <v>612</v>
      </c>
      <c r="C26" s="546"/>
      <c r="D26" s="546"/>
      <c r="E26" s="547"/>
      <c r="F26" s="548"/>
      <c r="G26" s="527"/>
      <c r="H26" s="527"/>
      <c r="I26" s="527"/>
      <c r="J26" s="527"/>
      <c r="K26" s="527"/>
      <c r="L26" s="527"/>
      <c r="M26" s="527"/>
      <c r="N26" s="527"/>
      <c r="O26" s="527"/>
      <c r="P26" s="527"/>
      <c r="Q26" s="528"/>
    </row>
    <row r="27" spans="1:17" s="506" customFormat="1" ht="15.75" customHeight="1">
      <c r="A27" s="2055" t="s">
        <v>603</v>
      </c>
      <c r="B27" s="541" t="s">
        <v>613</v>
      </c>
      <c r="C27" s="542"/>
      <c r="D27" s="542"/>
      <c r="E27" s="543"/>
      <c r="F27" s="544"/>
      <c r="G27" s="527"/>
      <c r="H27" s="527"/>
      <c r="I27" s="527"/>
      <c r="J27" s="527"/>
      <c r="K27" s="527"/>
      <c r="L27" s="527"/>
      <c r="M27" s="527"/>
      <c r="N27" s="527"/>
      <c r="O27" s="527"/>
      <c r="P27" s="527"/>
      <c r="Q27" s="528"/>
    </row>
    <row r="28" spans="1:17" s="506" customFormat="1" ht="15.75" customHeight="1">
      <c r="A28" s="564"/>
      <c r="B28" s="565" t="s">
        <v>628</v>
      </c>
      <c r="C28" s="546" t="s">
        <v>615</v>
      </c>
      <c r="D28" s="546">
        <v>3</v>
      </c>
      <c r="E28" s="547">
        <v>141794.1525</v>
      </c>
      <c r="F28" s="548">
        <f t="shared" ref="F28:F29" si="0">D28*E28</f>
        <v>425382.45750000002</v>
      </c>
      <c r="G28" s="549">
        <f>F28/'REKAP TOTAL'!F44</f>
        <v>3.4984725354954854E-5</v>
      </c>
      <c r="H28" s="527"/>
      <c r="I28" s="527"/>
      <c r="J28" s="527"/>
      <c r="K28" s="527"/>
      <c r="L28" s="527"/>
      <c r="M28" s="527"/>
      <c r="N28" s="527"/>
      <c r="O28" s="527"/>
      <c r="P28" s="527"/>
      <c r="Q28" s="528"/>
    </row>
    <row r="29" spans="1:17" s="505" customFormat="1" ht="15.75" customHeight="1">
      <c r="A29" s="550"/>
      <c r="B29" s="541" t="s">
        <v>622</v>
      </c>
      <c r="C29" s="542" t="s">
        <v>623</v>
      </c>
      <c r="D29" s="542">
        <v>1</v>
      </c>
      <c r="E29" s="547">
        <v>136350</v>
      </c>
      <c r="F29" s="548">
        <f t="shared" si="0"/>
        <v>136350</v>
      </c>
      <c r="G29" s="549">
        <f>F29/'REKAP TOTAL'!F44</f>
        <v>1.1213831736698013E-5</v>
      </c>
      <c r="H29" s="551"/>
      <c r="I29" s="551"/>
      <c r="J29" s="551"/>
      <c r="K29" s="551"/>
      <c r="L29" s="551"/>
      <c r="M29" s="551"/>
      <c r="N29" s="551"/>
      <c r="O29" s="551"/>
      <c r="P29" s="551"/>
      <c r="Q29" s="552"/>
    </row>
    <row r="30" spans="1:17" s="505" customFormat="1">
      <c r="A30" s="550"/>
      <c r="B30" s="541"/>
      <c r="C30" s="542"/>
      <c r="D30" s="542"/>
      <c r="E30" s="547"/>
      <c r="F30" s="548"/>
      <c r="G30" s="551"/>
      <c r="H30" s="551"/>
      <c r="I30" s="551"/>
      <c r="J30" s="551"/>
      <c r="K30" s="551"/>
      <c r="L30" s="551"/>
      <c r="M30" s="551"/>
      <c r="N30" s="551"/>
      <c r="O30" s="551"/>
      <c r="P30" s="551"/>
      <c r="Q30" s="552"/>
    </row>
    <row r="31" spans="1:17" s="506" customFormat="1" ht="15.75" customHeight="1">
      <c r="A31" s="562" t="s">
        <v>34</v>
      </c>
      <c r="B31" s="563" t="s">
        <v>654</v>
      </c>
      <c r="C31" s="566"/>
      <c r="D31" s="567"/>
      <c r="E31" s="568"/>
      <c r="F31" s="569"/>
      <c r="G31" s="527"/>
      <c r="H31" s="527"/>
      <c r="I31" s="527"/>
      <c r="J31" s="527"/>
      <c r="K31" s="527"/>
      <c r="L31" s="527"/>
      <c r="M31" s="527"/>
      <c r="N31" s="527"/>
      <c r="O31" s="527"/>
      <c r="P31" s="527"/>
      <c r="Q31" s="528"/>
    </row>
    <row r="32" spans="1:17" s="506" customFormat="1">
      <c r="A32" s="570"/>
      <c r="B32" s="563"/>
      <c r="C32" s="566"/>
      <c r="D32" s="567"/>
      <c r="E32" s="568"/>
      <c r="F32" s="569"/>
      <c r="G32" s="527"/>
      <c r="H32" s="527"/>
      <c r="I32" s="527"/>
      <c r="J32" s="527"/>
      <c r="K32" s="527"/>
      <c r="L32" s="527"/>
      <c r="M32" s="527"/>
      <c r="N32" s="527"/>
      <c r="O32" s="527"/>
      <c r="P32" s="527"/>
      <c r="Q32" s="528"/>
    </row>
    <row r="33" spans="1:17" s="506" customFormat="1">
      <c r="A33" s="571" t="s">
        <v>185</v>
      </c>
      <c r="B33" s="563" t="s">
        <v>655</v>
      </c>
      <c r="C33" s="572"/>
      <c r="D33" s="567"/>
      <c r="E33" s="568"/>
      <c r="F33" s="548"/>
      <c r="G33" s="527"/>
      <c r="H33" s="527"/>
      <c r="I33" s="527"/>
      <c r="J33" s="527"/>
      <c r="K33" s="527"/>
      <c r="L33" s="527"/>
      <c r="M33" s="527"/>
      <c r="N33" s="527"/>
      <c r="O33" s="527"/>
      <c r="P33" s="527"/>
      <c r="Q33" s="528"/>
    </row>
    <row r="34" spans="1:17" s="506" customFormat="1">
      <c r="A34" s="573"/>
      <c r="B34" s="567" t="s">
        <v>656</v>
      </c>
      <c r="C34" s="572"/>
      <c r="D34" s="567"/>
      <c r="E34" s="568"/>
      <c r="F34" s="548"/>
      <c r="G34" s="527"/>
      <c r="H34" s="527"/>
      <c r="I34" s="527"/>
      <c r="J34" s="527"/>
      <c r="K34" s="527"/>
      <c r="L34" s="527"/>
      <c r="M34" s="527"/>
      <c r="N34" s="527"/>
      <c r="O34" s="527"/>
      <c r="P34" s="527"/>
      <c r="Q34" s="528"/>
    </row>
    <row r="35" spans="1:17" s="506" customFormat="1">
      <c r="A35" s="571"/>
      <c r="B35" s="567" t="s">
        <v>657</v>
      </c>
      <c r="C35" s="572"/>
      <c r="D35" s="567"/>
      <c r="E35" s="568"/>
      <c r="F35" s="548"/>
      <c r="G35" s="527"/>
      <c r="H35" s="527"/>
      <c r="I35" s="527"/>
      <c r="J35" s="527"/>
      <c r="K35" s="527"/>
      <c r="L35" s="527"/>
      <c r="M35" s="527"/>
      <c r="N35" s="527"/>
      <c r="O35" s="527"/>
      <c r="P35" s="527"/>
      <c r="Q35" s="528"/>
    </row>
    <row r="36" spans="1:17" s="506" customFormat="1" ht="13.8">
      <c r="A36" s="2048" t="s">
        <v>603</v>
      </c>
      <c r="B36" s="574" t="s">
        <v>731</v>
      </c>
      <c r="C36" s="572" t="s">
        <v>623</v>
      </c>
      <c r="D36" s="546">
        <v>1</v>
      </c>
      <c r="E36" s="575">
        <v>2373500</v>
      </c>
      <c r="F36" s="548">
        <f t="shared" ref="F36:F37" si="1">D36*E36</f>
        <v>2373500</v>
      </c>
      <c r="G36" s="549">
        <f>F36/'REKAP TOTAL'!F44</f>
        <v>1.9520373763881726E-4</v>
      </c>
      <c r="H36" s="527"/>
      <c r="I36" s="527"/>
      <c r="J36" s="527"/>
      <c r="K36" s="527"/>
      <c r="L36" s="527"/>
      <c r="M36" s="527"/>
      <c r="N36" s="527"/>
      <c r="O36" s="527"/>
      <c r="P36" s="527"/>
      <c r="Q36" s="528"/>
    </row>
    <row r="37" spans="1:17" s="506" customFormat="1" ht="13.8">
      <c r="A37" s="2048" t="s">
        <v>603</v>
      </c>
      <c r="B37" s="576" t="s">
        <v>732</v>
      </c>
      <c r="C37" s="572" t="s">
        <v>615</v>
      </c>
      <c r="D37" s="546">
        <v>4</v>
      </c>
      <c r="E37" s="575">
        <v>94801.63</v>
      </c>
      <c r="F37" s="548">
        <f t="shared" si="1"/>
        <v>379206.52</v>
      </c>
      <c r="G37" s="549">
        <f>F37/'REKAP TOTAL'!F44</f>
        <v>3.1187078171901798E-5</v>
      </c>
      <c r="H37" s="527"/>
      <c r="I37" s="527"/>
      <c r="J37" s="527"/>
      <c r="K37" s="527"/>
      <c r="L37" s="527"/>
      <c r="M37" s="527"/>
      <c r="N37" s="527"/>
      <c r="O37" s="527"/>
      <c r="P37" s="527"/>
      <c r="Q37" s="528"/>
    </row>
    <row r="38" spans="1:17" s="506" customFormat="1">
      <c r="A38" s="573"/>
      <c r="B38" s="577"/>
      <c r="C38" s="566"/>
      <c r="D38" s="567"/>
      <c r="E38" s="568"/>
      <c r="F38" s="548"/>
      <c r="G38" s="527"/>
      <c r="H38" s="527"/>
      <c r="I38" s="527"/>
      <c r="J38" s="527"/>
      <c r="K38" s="527"/>
      <c r="L38" s="527"/>
      <c r="M38" s="527"/>
      <c r="N38" s="527"/>
      <c r="O38" s="527"/>
      <c r="P38" s="527"/>
      <c r="Q38" s="528"/>
    </row>
    <row r="39" spans="1:17" s="506" customFormat="1" ht="13.5" customHeight="1">
      <c r="A39" s="2056" t="s">
        <v>188</v>
      </c>
      <c r="B39" s="563" t="s">
        <v>664</v>
      </c>
      <c r="C39" s="572"/>
      <c r="D39" s="546"/>
      <c r="E39" s="568"/>
      <c r="F39" s="548"/>
      <c r="G39" s="527"/>
      <c r="H39" s="527"/>
      <c r="I39" s="527"/>
      <c r="J39" s="527"/>
      <c r="K39" s="527"/>
      <c r="L39" s="527"/>
      <c r="M39" s="527"/>
      <c r="N39" s="527"/>
      <c r="O39" s="527"/>
      <c r="P39" s="527"/>
      <c r="Q39" s="528"/>
    </row>
    <row r="40" spans="1:17" s="506" customFormat="1">
      <c r="A40" s="579"/>
      <c r="B40" s="567" t="s">
        <v>665</v>
      </c>
      <c r="C40" s="572"/>
      <c r="D40" s="546"/>
      <c r="E40" s="568"/>
      <c r="F40" s="548"/>
      <c r="G40" s="527"/>
      <c r="H40" s="527"/>
      <c r="I40" s="527"/>
      <c r="J40" s="527"/>
      <c r="K40" s="527"/>
      <c r="L40" s="527"/>
      <c r="M40" s="527"/>
      <c r="N40" s="527"/>
      <c r="O40" s="527"/>
      <c r="P40" s="527"/>
      <c r="Q40" s="528"/>
    </row>
    <row r="41" spans="1:17" s="506" customFormat="1" ht="13.8">
      <c r="A41" s="2048" t="s">
        <v>603</v>
      </c>
      <c r="B41" s="576" t="s">
        <v>660</v>
      </c>
      <c r="C41" s="572" t="s">
        <v>262</v>
      </c>
      <c r="D41" s="546">
        <v>1</v>
      </c>
      <c r="E41" s="575">
        <v>634153.14500999998</v>
      </c>
      <c r="F41" s="548">
        <f>D41*E41</f>
        <v>634153.14500999998</v>
      </c>
      <c r="G41" s="549">
        <f>F41/'REKAP TOTAL'!F44</f>
        <v>5.2154650996992996E-5</v>
      </c>
      <c r="H41" s="527"/>
      <c r="I41" s="527"/>
      <c r="J41" s="527"/>
      <c r="K41" s="527"/>
      <c r="L41" s="527"/>
      <c r="M41" s="527"/>
      <c r="N41" s="527"/>
      <c r="O41" s="527"/>
      <c r="P41" s="527"/>
      <c r="Q41" s="528"/>
    </row>
    <row r="42" spans="1:17" s="506" customFormat="1">
      <c r="A42" s="580"/>
      <c r="B42" s="545"/>
      <c r="C42" s="572"/>
      <c r="D42" s="546"/>
      <c r="E42" s="568"/>
      <c r="F42" s="548"/>
      <c r="G42" s="527"/>
      <c r="H42" s="527"/>
      <c r="I42" s="527"/>
      <c r="J42" s="527"/>
      <c r="K42" s="527"/>
      <c r="L42" s="527"/>
      <c r="M42" s="527"/>
      <c r="N42" s="527"/>
      <c r="O42" s="527"/>
      <c r="P42" s="527"/>
      <c r="Q42" s="528"/>
    </row>
    <row r="43" spans="1:17" s="506" customFormat="1" ht="15.75" customHeight="1">
      <c r="A43" s="562" t="s">
        <v>24</v>
      </c>
      <c r="B43" s="563" t="s">
        <v>667</v>
      </c>
      <c r="C43" s="581"/>
      <c r="D43" s="546"/>
      <c r="E43" s="568"/>
      <c r="F43" s="548"/>
      <c r="G43" s="527"/>
      <c r="H43" s="527"/>
      <c r="I43" s="527"/>
      <c r="J43" s="527"/>
      <c r="K43" s="527"/>
      <c r="L43" s="527"/>
      <c r="M43" s="527"/>
      <c r="N43" s="527"/>
      <c r="O43" s="527"/>
      <c r="P43" s="527"/>
      <c r="Q43" s="528"/>
    </row>
    <row r="44" spans="1:17" s="506" customFormat="1">
      <c r="A44" s="573"/>
      <c r="B44" s="563"/>
      <c r="C44" s="581"/>
      <c r="D44" s="546"/>
      <c r="E44" s="568"/>
      <c r="F44" s="548"/>
      <c r="G44" s="527"/>
      <c r="H44" s="527"/>
      <c r="I44" s="527"/>
      <c r="J44" s="527"/>
      <c r="K44" s="527"/>
      <c r="L44" s="527"/>
      <c r="M44" s="527"/>
      <c r="N44" s="527"/>
      <c r="O44" s="527"/>
      <c r="P44" s="527"/>
      <c r="Q44" s="528"/>
    </row>
    <row r="45" spans="1:17" s="506" customFormat="1" ht="14.25" customHeight="1">
      <c r="A45" s="582">
        <v>1</v>
      </c>
      <c r="B45" s="563" t="s">
        <v>668</v>
      </c>
      <c r="C45" s="581"/>
      <c r="D45" s="546"/>
      <c r="E45" s="568"/>
      <c r="F45" s="548"/>
      <c r="G45" s="527"/>
      <c r="H45" s="527"/>
      <c r="I45" s="527"/>
      <c r="J45" s="527"/>
      <c r="K45" s="527"/>
      <c r="L45" s="527"/>
      <c r="M45" s="527"/>
      <c r="N45" s="527"/>
      <c r="O45" s="527"/>
      <c r="P45" s="527"/>
      <c r="Q45" s="528"/>
    </row>
    <row r="46" spans="1:17" s="506" customFormat="1" ht="14.25" customHeight="1">
      <c r="A46" s="583"/>
      <c r="B46" s="563" t="s">
        <v>612</v>
      </c>
      <c r="C46" s="581"/>
      <c r="D46" s="546"/>
      <c r="E46" s="568"/>
      <c r="F46" s="548"/>
      <c r="G46" s="527"/>
      <c r="H46" s="527"/>
      <c r="I46" s="527"/>
      <c r="J46" s="527"/>
      <c r="K46" s="527"/>
      <c r="L46" s="527"/>
      <c r="M46" s="527"/>
      <c r="N46" s="527"/>
      <c r="O46" s="527"/>
      <c r="P46" s="527"/>
      <c r="Q46" s="528"/>
    </row>
    <row r="47" spans="1:17" s="506" customFormat="1" ht="14.25" customHeight="1">
      <c r="A47" s="2057" t="s">
        <v>603</v>
      </c>
      <c r="B47" s="567" t="s">
        <v>733</v>
      </c>
      <c r="C47" s="581" t="s">
        <v>135</v>
      </c>
      <c r="D47" s="546">
        <v>1</v>
      </c>
      <c r="E47" s="575">
        <v>734926.5</v>
      </c>
      <c r="F47" s="548">
        <f>D47*E47</f>
        <v>734926.5</v>
      </c>
      <c r="G47" s="549">
        <f>F47/'REKAP TOTAL'!F44</f>
        <v>6.0442553060802289E-5</v>
      </c>
      <c r="H47" s="527"/>
      <c r="I47" s="527"/>
      <c r="J47" s="527"/>
      <c r="K47" s="527"/>
      <c r="L47" s="527"/>
      <c r="M47" s="527"/>
      <c r="N47" s="527"/>
      <c r="O47" s="527"/>
      <c r="P47" s="527"/>
      <c r="Q47" s="528"/>
    </row>
    <row r="48" spans="1:17" s="506" customFormat="1" ht="14.25" customHeight="1">
      <c r="A48" s="579"/>
      <c r="B48" s="567" t="s">
        <v>670</v>
      </c>
      <c r="C48" s="581"/>
      <c r="D48" s="546"/>
      <c r="E48" s="568"/>
      <c r="F48" s="548"/>
      <c r="G48" s="527"/>
      <c r="H48" s="527"/>
      <c r="I48" s="527"/>
      <c r="J48" s="527"/>
      <c r="K48" s="527"/>
      <c r="L48" s="527"/>
      <c r="M48" s="527"/>
      <c r="N48" s="527"/>
      <c r="O48" s="527"/>
      <c r="P48" s="527"/>
      <c r="Q48" s="528"/>
    </row>
    <row r="49" spans="1:17" s="506" customFormat="1" ht="14.25" customHeight="1">
      <c r="A49" s="579"/>
      <c r="B49" s="567" t="s">
        <v>671</v>
      </c>
      <c r="C49" s="581"/>
      <c r="D49" s="546"/>
      <c r="E49" s="568"/>
      <c r="F49" s="548"/>
      <c r="G49" s="527"/>
      <c r="H49" s="527"/>
      <c r="I49" s="527"/>
      <c r="J49" s="527"/>
      <c r="K49" s="527"/>
      <c r="L49" s="527"/>
      <c r="M49" s="527"/>
      <c r="N49" s="527"/>
      <c r="O49" s="527"/>
      <c r="P49" s="527"/>
      <c r="Q49" s="528"/>
    </row>
    <row r="50" spans="1:17" s="506" customFormat="1" ht="14.25" customHeight="1">
      <c r="A50" s="584"/>
      <c r="B50" s="585" t="s">
        <v>672</v>
      </c>
      <c r="C50" s="586"/>
      <c r="D50" s="587"/>
      <c r="E50" s="588"/>
      <c r="F50" s="548"/>
      <c r="G50" s="527"/>
      <c r="H50" s="527"/>
      <c r="I50" s="527"/>
      <c r="J50" s="527"/>
      <c r="K50" s="527"/>
      <c r="L50" s="527"/>
      <c r="M50" s="527"/>
      <c r="N50" s="527"/>
      <c r="O50" s="527"/>
      <c r="P50" s="527"/>
      <c r="Q50" s="528"/>
    </row>
    <row r="51" spans="1:17" s="506" customFormat="1">
      <c r="A51" s="584"/>
      <c r="B51" s="585"/>
      <c r="C51" s="586"/>
      <c r="D51" s="587"/>
      <c r="E51" s="588"/>
      <c r="F51" s="548"/>
      <c r="G51" s="527"/>
      <c r="H51" s="527"/>
      <c r="I51" s="527"/>
      <c r="J51" s="527"/>
      <c r="K51" s="527"/>
      <c r="L51" s="527"/>
      <c r="M51" s="527"/>
      <c r="N51" s="527"/>
      <c r="O51" s="527"/>
      <c r="P51" s="527"/>
      <c r="Q51" s="528"/>
    </row>
    <row r="52" spans="1:17" s="506" customFormat="1" ht="14.25" customHeight="1">
      <c r="A52" s="2057" t="s">
        <v>603</v>
      </c>
      <c r="B52" s="567" t="s">
        <v>734</v>
      </c>
      <c r="C52" s="581" t="s">
        <v>135</v>
      </c>
      <c r="D52" s="546">
        <v>1</v>
      </c>
      <c r="E52" s="575">
        <v>734926.5</v>
      </c>
      <c r="F52" s="548">
        <f>D52*E52</f>
        <v>734926.5</v>
      </c>
      <c r="G52" s="549">
        <f>F52/'REKAP TOTAL'!F44</f>
        <v>6.0442553060802289E-5</v>
      </c>
      <c r="H52" s="527"/>
      <c r="I52" s="527"/>
      <c r="J52" s="527"/>
      <c r="K52" s="527"/>
      <c r="L52" s="527"/>
      <c r="M52" s="527"/>
      <c r="N52" s="527"/>
      <c r="O52" s="527"/>
      <c r="P52" s="527"/>
      <c r="Q52" s="528"/>
    </row>
    <row r="53" spans="1:17" s="506" customFormat="1" ht="14.25" customHeight="1">
      <c r="A53" s="579"/>
      <c r="B53" s="567" t="s">
        <v>670</v>
      </c>
      <c r="C53" s="581"/>
      <c r="D53" s="546"/>
      <c r="E53" s="568"/>
      <c r="F53" s="548"/>
      <c r="G53" s="527"/>
      <c r="H53" s="527"/>
      <c r="I53" s="527"/>
      <c r="J53" s="527"/>
      <c r="K53" s="527"/>
      <c r="L53" s="527"/>
      <c r="M53" s="527"/>
      <c r="N53" s="527"/>
      <c r="O53" s="527"/>
      <c r="P53" s="527"/>
      <c r="Q53" s="528"/>
    </row>
    <row r="54" spans="1:17" s="506" customFormat="1" ht="14.25" customHeight="1">
      <c r="A54" s="579"/>
      <c r="B54" s="567" t="s">
        <v>671</v>
      </c>
      <c r="C54" s="581"/>
      <c r="D54" s="546"/>
      <c r="E54" s="568"/>
      <c r="F54" s="548"/>
      <c r="G54" s="527"/>
      <c r="H54" s="527"/>
      <c r="I54" s="527"/>
      <c r="J54" s="527"/>
      <c r="K54" s="527"/>
      <c r="L54" s="527"/>
      <c r="M54" s="527"/>
      <c r="N54" s="527"/>
      <c r="O54" s="527"/>
      <c r="P54" s="527"/>
      <c r="Q54" s="528"/>
    </row>
    <row r="55" spans="1:17" s="506" customFormat="1" ht="14.25" customHeight="1">
      <c r="A55" s="584"/>
      <c r="B55" s="585" t="s">
        <v>672</v>
      </c>
      <c r="C55" s="586"/>
      <c r="D55" s="587"/>
      <c r="E55" s="588"/>
      <c r="F55" s="548"/>
      <c r="G55" s="527"/>
      <c r="H55" s="527"/>
      <c r="I55" s="527"/>
      <c r="J55" s="527"/>
      <c r="K55" s="527"/>
      <c r="L55" s="527"/>
      <c r="M55" s="527"/>
      <c r="N55" s="527"/>
      <c r="O55" s="527"/>
      <c r="P55" s="527"/>
      <c r="Q55" s="528"/>
    </row>
    <row r="56" spans="1:17" s="506" customFormat="1">
      <c r="A56" s="584"/>
      <c r="B56" s="585"/>
      <c r="C56" s="586"/>
      <c r="D56" s="587"/>
      <c r="E56" s="588"/>
      <c r="F56" s="548"/>
      <c r="G56" s="527"/>
      <c r="H56" s="527"/>
      <c r="I56" s="527"/>
      <c r="J56" s="527"/>
      <c r="K56" s="527"/>
      <c r="L56" s="527"/>
      <c r="M56" s="527"/>
      <c r="N56" s="527"/>
      <c r="O56" s="527"/>
      <c r="P56" s="527"/>
      <c r="Q56" s="528"/>
    </row>
    <row r="57" spans="1:17" s="506" customFormat="1">
      <c r="A57" s="562">
        <v>2</v>
      </c>
      <c r="B57" s="563" t="s">
        <v>673</v>
      </c>
      <c r="C57" s="581"/>
      <c r="D57" s="546"/>
      <c r="E57" s="568"/>
      <c r="F57" s="548"/>
      <c r="G57" s="527"/>
      <c r="H57" s="527"/>
      <c r="I57" s="527"/>
      <c r="J57" s="527"/>
      <c r="K57" s="527"/>
      <c r="L57" s="527"/>
      <c r="M57" s="527"/>
      <c r="N57" s="527"/>
      <c r="O57" s="527"/>
      <c r="P57" s="527"/>
      <c r="Q57" s="528"/>
    </row>
    <row r="58" spans="1:17" s="506" customFormat="1">
      <c r="A58" s="579"/>
      <c r="B58" s="567" t="s">
        <v>674</v>
      </c>
      <c r="C58" s="581"/>
      <c r="D58" s="546"/>
      <c r="E58" s="568"/>
      <c r="F58" s="548"/>
      <c r="G58" s="527"/>
      <c r="H58" s="527"/>
      <c r="I58" s="527"/>
      <c r="J58" s="527"/>
      <c r="K58" s="527"/>
      <c r="L58" s="527"/>
      <c r="M58" s="527"/>
      <c r="N58" s="527"/>
      <c r="O58" s="527"/>
      <c r="P58" s="527"/>
      <c r="Q58" s="528"/>
    </row>
    <row r="59" spans="1:17" s="506" customFormat="1">
      <c r="A59" s="564"/>
      <c r="B59" s="567" t="s">
        <v>675</v>
      </c>
      <c r="C59" s="581"/>
      <c r="D59" s="546"/>
      <c r="E59" s="568"/>
      <c r="F59" s="548"/>
      <c r="G59" s="527"/>
      <c r="H59" s="527"/>
      <c r="I59" s="527"/>
      <c r="J59" s="527"/>
      <c r="K59" s="527"/>
      <c r="L59" s="527"/>
      <c r="M59" s="527"/>
      <c r="N59" s="527"/>
      <c r="O59" s="527"/>
      <c r="P59" s="527"/>
      <c r="Q59" s="528"/>
    </row>
    <row r="60" spans="1:17" s="506" customFormat="1">
      <c r="A60" s="564"/>
      <c r="B60" s="567" t="s">
        <v>676</v>
      </c>
      <c r="C60" s="581"/>
      <c r="D60" s="546"/>
      <c r="E60" s="568"/>
      <c r="F60" s="548"/>
      <c r="G60" s="527"/>
      <c r="H60" s="527"/>
      <c r="I60" s="527"/>
      <c r="J60" s="527"/>
      <c r="K60" s="527"/>
      <c r="L60" s="527"/>
      <c r="M60" s="527"/>
      <c r="N60" s="527"/>
      <c r="O60" s="527"/>
      <c r="P60" s="527"/>
      <c r="Q60" s="528"/>
    </row>
    <row r="61" spans="1:17" s="506" customFormat="1" ht="17.25" customHeight="1">
      <c r="A61" s="562" t="s">
        <v>677</v>
      </c>
      <c r="B61" s="563" t="s">
        <v>678</v>
      </c>
      <c r="C61" s="581"/>
      <c r="D61" s="546"/>
      <c r="E61" s="568"/>
      <c r="F61" s="548"/>
      <c r="G61" s="527"/>
      <c r="H61" s="527"/>
      <c r="I61" s="527"/>
      <c r="J61" s="527"/>
      <c r="K61" s="527"/>
      <c r="L61" s="527"/>
      <c r="M61" s="527"/>
      <c r="N61" s="527"/>
      <c r="O61" s="527"/>
      <c r="P61" s="527"/>
      <c r="Q61" s="528"/>
    </row>
    <row r="62" spans="1:17" s="506" customFormat="1">
      <c r="A62" s="562"/>
      <c r="B62" s="563" t="s">
        <v>612</v>
      </c>
      <c r="C62" s="581"/>
      <c r="D62" s="546"/>
      <c r="E62" s="568"/>
      <c r="F62" s="548"/>
      <c r="G62" s="527"/>
      <c r="H62" s="527"/>
      <c r="I62" s="527"/>
      <c r="J62" s="527"/>
      <c r="K62" s="527"/>
      <c r="L62" s="527"/>
      <c r="M62" s="527"/>
      <c r="N62" s="527"/>
      <c r="O62" s="527"/>
      <c r="P62" s="527"/>
      <c r="Q62" s="528"/>
    </row>
    <row r="63" spans="1:17" s="506" customFormat="1">
      <c r="A63" s="2048" t="s">
        <v>603</v>
      </c>
      <c r="B63" s="563" t="s">
        <v>679</v>
      </c>
      <c r="C63" s="581"/>
      <c r="D63" s="546"/>
      <c r="E63" s="568"/>
      <c r="F63" s="548"/>
      <c r="G63" s="527"/>
      <c r="H63" s="527"/>
      <c r="I63" s="527"/>
      <c r="J63" s="527"/>
      <c r="K63" s="527"/>
      <c r="L63" s="527"/>
      <c r="M63" s="527"/>
      <c r="N63" s="527"/>
      <c r="O63" s="527"/>
      <c r="P63" s="527"/>
      <c r="Q63" s="528"/>
    </row>
    <row r="64" spans="1:17" s="506" customFormat="1" ht="13.8">
      <c r="A64" s="562"/>
      <c r="B64" s="567" t="s">
        <v>680</v>
      </c>
      <c r="C64" s="581" t="s">
        <v>681</v>
      </c>
      <c r="D64" s="546">
        <v>24</v>
      </c>
      <c r="E64" s="575">
        <v>75320.244999999995</v>
      </c>
      <c r="F64" s="548">
        <f>D64*E64</f>
        <v>1807685.88</v>
      </c>
      <c r="G64" s="549">
        <f>F64/'REKAP TOTAL'!F44</f>
        <v>1.4866949241749083E-4</v>
      </c>
      <c r="H64" s="527"/>
      <c r="I64" s="527"/>
      <c r="J64" s="527"/>
      <c r="K64" s="527"/>
      <c r="L64" s="527"/>
      <c r="M64" s="527"/>
      <c r="N64" s="527"/>
      <c r="O64" s="527"/>
      <c r="P64" s="527"/>
      <c r="Q64" s="528"/>
    </row>
    <row r="65" spans="1:17" s="506" customFormat="1">
      <c r="A65" s="562"/>
      <c r="B65" s="567"/>
      <c r="C65" s="581"/>
      <c r="D65" s="546"/>
      <c r="E65" s="568"/>
      <c r="F65" s="548"/>
      <c r="G65" s="527"/>
      <c r="H65" s="527"/>
      <c r="I65" s="527"/>
      <c r="J65" s="527"/>
      <c r="K65" s="527"/>
      <c r="L65" s="527"/>
      <c r="M65" s="527"/>
      <c r="N65" s="527"/>
      <c r="O65" s="527"/>
      <c r="P65" s="527"/>
      <c r="Q65" s="528"/>
    </row>
    <row r="66" spans="1:17" s="506" customFormat="1">
      <c r="A66" s="2048" t="s">
        <v>603</v>
      </c>
      <c r="B66" s="563" t="s">
        <v>682</v>
      </c>
      <c r="C66" s="581"/>
      <c r="D66" s="546"/>
      <c r="E66" s="568"/>
      <c r="F66" s="548"/>
      <c r="G66" s="527"/>
      <c r="H66" s="527"/>
      <c r="I66" s="527"/>
      <c r="J66" s="527"/>
      <c r="K66" s="527"/>
      <c r="L66" s="527"/>
      <c r="M66" s="527"/>
      <c r="N66" s="527"/>
      <c r="O66" s="527"/>
      <c r="P66" s="527"/>
      <c r="Q66" s="528"/>
    </row>
    <row r="67" spans="1:17" s="506" customFormat="1" ht="13.8">
      <c r="A67" s="562"/>
      <c r="B67" s="567" t="s">
        <v>683</v>
      </c>
      <c r="C67" s="581" t="s">
        <v>681</v>
      </c>
      <c r="D67" s="546">
        <v>24</v>
      </c>
      <c r="E67" s="575">
        <v>95773.755000000005</v>
      </c>
      <c r="F67" s="548">
        <f>D67*E67</f>
        <v>2298570.12</v>
      </c>
      <c r="G67" s="549">
        <f>F67/'REKAP TOTAL'!F44</f>
        <v>1.8904128023969021E-4</v>
      </c>
      <c r="H67" s="527"/>
      <c r="I67" s="527"/>
      <c r="J67" s="527"/>
      <c r="K67" s="527"/>
      <c r="L67" s="527"/>
      <c r="M67" s="527"/>
      <c r="N67" s="527"/>
      <c r="O67" s="527"/>
      <c r="P67" s="527"/>
      <c r="Q67" s="528"/>
    </row>
    <row r="68" spans="1:17" s="506" customFormat="1">
      <c r="A68" s="562"/>
      <c r="B68" s="567"/>
      <c r="C68" s="581"/>
      <c r="D68" s="546"/>
      <c r="E68" s="568"/>
      <c r="F68" s="548"/>
      <c r="G68" s="527"/>
      <c r="H68" s="527"/>
      <c r="I68" s="527"/>
      <c r="J68" s="527"/>
      <c r="K68" s="527"/>
      <c r="L68" s="527"/>
      <c r="M68" s="527"/>
      <c r="N68" s="527"/>
      <c r="O68" s="527"/>
      <c r="P68" s="527"/>
      <c r="Q68" s="528"/>
    </row>
    <row r="69" spans="1:17" s="506" customFormat="1">
      <c r="A69" s="562" t="s">
        <v>684</v>
      </c>
      <c r="B69" s="563" t="s">
        <v>685</v>
      </c>
      <c r="C69" s="581"/>
      <c r="D69" s="546"/>
      <c r="E69" s="568"/>
      <c r="F69" s="548"/>
      <c r="G69" s="527"/>
      <c r="H69" s="527"/>
      <c r="I69" s="527"/>
      <c r="J69" s="527"/>
      <c r="K69" s="527"/>
      <c r="L69" s="527"/>
      <c r="M69" s="527"/>
      <c r="N69" s="527"/>
      <c r="O69" s="527"/>
      <c r="P69" s="527"/>
      <c r="Q69" s="528"/>
    </row>
    <row r="70" spans="1:17" s="506" customFormat="1">
      <c r="A70" s="562"/>
      <c r="B70" s="563" t="s">
        <v>612</v>
      </c>
      <c r="C70" s="581"/>
      <c r="D70" s="546"/>
      <c r="E70" s="568"/>
      <c r="F70" s="548"/>
      <c r="G70" s="527"/>
      <c r="H70" s="527"/>
      <c r="I70" s="527"/>
      <c r="J70" s="527"/>
      <c r="K70" s="527"/>
      <c r="L70" s="527"/>
      <c r="M70" s="527"/>
      <c r="N70" s="527"/>
      <c r="O70" s="527"/>
      <c r="P70" s="527"/>
      <c r="Q70" s="528"/>
    </row>
    <row r="71" spans="1:17" s="506" customFormat="1" ht="13.8">
      <c r="A71" s="2058" t="s">
        <v>603</v>
      </c>
      <c r="B71" s="589" t="s">
        <v>735</v>
      </c>
      <c r="C71" s="581" t="s">
        <v>681</v>
      </c>
      <c r="D71" s="546">
        <v>8</v>
      </c>
      <c r="E71" s="575">
        <v>53019.697500000002</v>
      </c>
      <c r="F71" s="548">
        <f t="shared" ref="F71:F72" si="2">D71*E71</f>
        <v>424157.58</v>
      </c>
      <c r="G71" s="549">
        <f>F71/'REKAP TOTAL'!F44</f>
        <v>3.488398776652018E-5</v>
      </c>
      <c r="H71" s="527"/>
      <c r="I71" s="527"/>
      <c r="J71" s="527"/>
      <c r="K71" s="527"/>
      <c r="L71" s="527"/>
      <c r="M71" s="527"/>
      <c r="N71" s="527"/>
      <c r="O71" s="527"/>
      <c r="P71" s="527"/>
      <c r="Q71" s="528"/>
    </row>
    <row r="72" spans="1:17" s="506" customFormat="1" ht="13.8">
      <c r="A72" s="2058" t="s">
        <v>603</v>
      </c>
      <c r="B72" s="576" t="s">
        <v>619</v>
      </c>
      <c r="C72" s="581" t="s">
        <v>681</v>
      </c>
      <c r="D72" s="546">
        <f>30-17</f>
        <v>13</v>
      </c>
      <c r="E72" s="575">
        <v>38846.114999999998</v>
      </c>
      <c r="F72" s="548">
        <f t="shared" si="2"/>
        <v>504999.495</v>
      </c>
      <c r="G72" s="549">
        <f>F72/'REKAP TOTAL'!F44</f>
        <v>4.153266860320843E-5</v>
      </c>
      <c r="H72" s="527"/>
      <c r="I72" s="527"/>
      <c r="J72" s="527"/>
      <c r="K72" s="527"/>
      <c r="L72" s="527"/>
      <c r="M72" s="527"/>
      <c r="N72" s="527"/>
      <c r="O72" s="527"/>
      <c r="P72" s="527"/>
      <c r="Q72" s="528"/>
    </row>
    <row r="73" spans="1:17" s="506" customFormat="1">
      <c r="A73" s="562"/>
      <c r="B73" s="576"/>
      <c r="C73" s="581"/>
      <c r="D73" s="546"/>
      <c r="E73" s="568"/>
      <c r="F73" s="548"/>
      <c r="G73" s="527"/>
      <c r="H73" s="527"/>
      <c r="I73" s="527"/>
      <c r="J73" s="527"/>
      <c r="K73" s="527"/>
      <c r="L73" s="527"/>
      <c r="M73" s="527"/>
      <c r="N73" s="527"/>
      <c r="O73" s="527"/>
      <c r="P73" s="527"/>
      <c r="Q73" s="528"/>
    </row>
    <row r="74" spans="1:17" s="506" customFormat="1">
      <c r="A74" s="562">
        <v>3</v>
      </c>
      <c r="B74" s="563" t="s">
        <v>703</v>
      </c>
      <c r="C74" s="546"/>
      <c r="D74" s="590"/>
      <c r="E74" s="567"/>
      <c r="F74" s="548"/>
      <c r="G74" s="527"/>
      <c r="H74" s="527"/>
      <c r="I74" s="527"/>
      <c r="J74" s="527"/>
      <c r="K74" s="527"/>
      <c r="L74" s="527"/>
      <c r="M74" s="527"/>
      <c r="N74" s="527"/>
      <c r="O74" s="527"/>
      <c r="P74" s="527"/>
      <c r="Q74" s="528"/>
    </row>
    <row r="75" spans="1:17" s="506" customFormat="1">
      <c r="A75" s="583"/>
      <c r="B75" s="563" t="s">
        <v>612</v>
      </c>
      <c r="C75" s="591"/>
      <c r="D75" s="592"/>
      <c r="E75" s="568"/>
      <c r="F75" s="548"/>
      <c r="G75" s="527"/>
      <c r="H75" s="527"/>
      <c r="I75" s="527"/>
      <c r="J75" s="527"/>
      <c r="K75" s="527"/>
      <c r="L75" s="527"/>
      <c r="M75" s="527"/>
      <c r="N75" s="527"/>
      <c r="O75" s="527"/>
      <c r="P75" s="527"/>
      <c r="Q75" s="528"/>
    </row>
    <row r="76" spans="1:17" s="506" customFormat="1" ht="13.8">
      <c r="A76" s="2058" t="s">
        <v>603</v>
      </c>
      <c r="B76" s="567" t="s">
        <v>736</v>
      </c>
      <c r="C76" s="592" t="s">
        <v>135</v>
      </c>
      <c r="D76" s="592">
        <v>1</v>
      </c>
      <c r="E76" s="575">
        <v>873650</v>
      </c>
      <c r="F76" s="548">
        <f>D76*E76</f>
        <v>873650</v>
      </c>
      <c r="G76" s="549">
        <f>F76/'REKAP TOTAL'!F44</f>
        <v>7.1851588535139121E-5</v>
      </c>
      <c r="H76" s="527"/>
      <c r="I76" s="527"/>
      <c r="J76" s="527"/>
      <c r="K76" s="527"/>
      <c r="L76" s="527"/>
      <c r="M76" s="527"/>
      <c r="N76" s="527"/>
      <c r="O76" s="527"/>
      <c r="P76" s="527"/>
      <c r="Q76" s="528"/>
    </row>
    <row r="77" spans="1:17" s="506" customFormat="1">
      <c r="A77" s="583"/>
      <c r="B77" s="567" t="s">
        <v>737</v>
      </c>
      <c r="C77" s="592"/>
      <c r="D77" s="593"/>
      <c r="E77" s="567"/>
      <c r="F77" s="548"/>
      <c r="G77" s="527"/>
      <c r="H77" s="527"/>
      <c r="I77" s="527"/>
      <c r="J77" s="527"/>
      <c r="K77" s="527"/>
      <c r="L77" s="527"/>
      <c r="M77" s="527"/>
      <c r="N77" s="527"/>
      <c r="O77" s="527"/>
      <c r="P77" s="527"/>
      <c r="Q77" s="528"/>
    </row>
    <row r="78" spans="1:17" s="506" customFormat="1">
      <c r="A78" s="583"/>
      <c r="B78" s="567" t="s">
        <v>706</v>
      </c>
      <c r="C78" s="592"/>
      <c r="D78" s="593"/>
      <c r="E78" s="567"/>
      <c r="F78" s="548"/>
      <c r="G78" s="527"/>
      <c r="H78" s="527"/>
      <c r="I78" s="527"/>
      <c r="J78" s="527"/>
      <c r="K78" s="527"/>
      <c r="L78" s="527"/>
      <c r="M78" s="527"/>
      <c r="N78" s="527"/>
      <c r="O78" s="527"/>
      <c r="P78" s="527"/>
      <c r="Q78" s="528"/>
    </row>
    <row r="79" spans="1:17" s="506" customFormat="1">
      <c r="A79" s="583"/>
      <c r="B79" s="567"/>
      <c r="C79" s="592"/>
      <c r="D79" s="593"/>
      <c r="E79" s="568"/>
      <c r="F79" s="548"/>
      <c r="G79" s="527"/>
      <c r="H79" s="527"/>
      <c r="I79" s="527"/>
      <c r="J79" s="527"/>
      <c r="K79" s="527"/>
      <c r="L79" s="527"/>
      <c r="M79" s="527"/>
      <c r="N79" s="527"/>
      <c r="O79" s="527"/>
      <c r="P79" s="527"/>
      <c r="Q79" s="528"/>
    </row>
    <row r="80" spans="1:17" s="506" customFormat="1">
      <c r="A80" s="529" t="s">
        <v>25</v>
      </c>
      <c r="B80" s="594" t="s">
        <v>601</v>
      </c>
      <c r="C80" s="595"/>
      <c r="D80" s="523"/>
      <c r="E80" s="525"/>
      <c r="F80" s="596"/>
      <c r="G80" s="527"/>
      <c r="H80" s="527"/>
      <c r="I80" s="527"/>
      <c r="J80" s="527"/>
      <c r="K80" s="527"/>
      <c r="L80" s="527"/>
      <c r="M80" s="527"/>
      <c r="N80" s="527"/>
      <c r="O80" s="527"/>
      <c r="P80" s="527"/>
      <c r="Q80" s="528"/>
    </row>
    <row r="81" spans="1:17" s="506" customFormat="1">
      <c r="A81" s="562">
        <v>1</v>
      </c>
      <c r="B81" s="597" t="s">
        <v>602</v>
      </c>
      <c r="C81" s="566"/>
      <c r="D81" s="567"/>
      <c r="E81" s="598"/>
      <c r="F81" s="599"/>
      <c r="G81" s="527"/>
      <c r="H81" s="527"/>
      <c r="I81" s="527"/>
      <c r="J81" s="527"/>
      <c r="K81" s="527"/>
      <c r="L81" s="527"/>
      <c r="M81" s="527"/>
      <c r="N81" s="527"/>
      <c r="O81" s="527"/>
      <c r="P81" s="527"/>
      <c r="Q81" s="528"/>
    </row>
    <row r="82" spans="1:17" s="507" customFormat="1">
      <c r="A82" s="600"/>
      <c r="B82" s="601" t="s">
        <v>716</v>
      </c>
      <c r="C82" s="602"/>
      <c r="D82" s="602"/>
      <c r="E82" s="603"/>
      <c r="F82" s="604"/>
      <c r="G82" s="605"/>
      <c r="H82" s="605"/>
      <c r="I82" s="605"/>
      <c r="J82" s="605"/>
      <c r="K82" s="605"/>
      <c r="L82" s="605"/>
      <c r="M82" s="605"/>
      <c r="N82" s="605"/>
      <c r="O82" s="605"/>
      <c r="P82" s="605"/>
      <c r="Q82" s="606"/>
    </row>
    <row r="83" spans="1:17" s="506" customFormat="1">
      <c r="A83" s="529"/>
      <c r="B83" s="607" t="s">
        <v>612</v>
      </c>
      <c r="C83" s="608"/>
      <c r="D83" s="524"/>
      <c r="E83" s="525"/>
      <c r="F83" s="596"/>
      <c r="G83" s="527"/>
      <c r="H83" s="527"/>
      <c r="I83" s="527"/>
      <c r="J83" s="527"/>
      <c r="K83" s="527"/>
      <c r="L83" s="527"/>
      <c r="M83" s="527"/>
      <c r="N83" s="527"/>
      <c r="O83" s="527"/>
      <c r="P83" s="527"/>
      <c r="Q83" s="528"/>
    </row>
    <row r="84" spans="1:17" s="506" customFormat="1" ht="13.8">
      <c r="A84" s="2059" t="s">
        <v>603</v>
      </c>
      <c r="B84" s="609" t="s">
        <v>738</v>
      </c>
      <c r="C84" s="592" t="s">
        <v>623</v>
      </c>
      <c r="D84" s="592">
        <v>1</v>
      </c>
      <c r="E84" s="610">
        <v>3787500</v>
      </c>
      <c r="F84" s="548">
        <f t="shared" ref="F84:F85" si="3">D84*E84</f>
        <v>3787500</v>
      </c>
      <c r="G84" s="549">
        <f>F84/'REKAP TOTAL'!F44</f>
        <v>3.1149532601938929E-4</v>
      </c>
      <c r="H84" s="527"/>
      <c r="I84" s="527"/>
      <c r="J84" s="527"/>
      <c r="K84" s="527"/>
      <c r="L84" s="527"/>
      <c r="M84" s="527"/>
      <c r="N84" s="527"/>
      <c r="O84" s="527"/>
      <c r="P84" s="527"/>
      <c r="Q84" s="528"/>
    </row>
    <row r="85" spans="1:17" s="506" customFormat="1" ht="13.8">
      <c r="A85" s="2059" t="s">
        <v>603</v>
      </c>
      <c r="B85" s="609" t="s">
        <v>739</v>
      </c>
      <c r="C85" s="592" t="s">
        <v>88</v>
      </c>
      <c r="D85" s="592">
        <v>30</v>
      </c>
      <c r="E85" s="610">
        <v>412530.96500000003</v>
      </c>
      <c r="F85" s="548">
        <f t="shared" si="3"/>
        <v>12375928.949999999</v>
      </c>
      <c r="G85" s="549">
        <f>F85/'REKAP TOTAL'!F44</f>
        <v>1.0178334054318278E-3</v>
      </c>
      <c r="H85" s="527"/>
      <c r="I85" s="527"/>
      <c r="J85" s="527"/>
      <c r="K85" s="527"/>
      <c r="L85" s="527"/>
      <c r="M85" s="527"/>
      <c r="N85" s="527"/>
      <c r="O85" s="527"/>
      <c r="P85" s="527"/>
      <c r="Q85" s="528"/>
    </row>
    <row r="86" spans="1:17" s="506" customFormat="1">
      <c r="A86" s="611"/>
      <c r="B86" s="612"/>
      <c r="C86" s="613"/>
      <c r="D86" s="613"/>
      <c r="E86" s="614"/>
      <c r="F86" s="615"/>
      <c r="G86" s="616"/>
      <c r="H86" s="616"/>
      <c r="I86" s="616"/>
      <c r="J86" s="616"/>
      <c r="K86" s="616"/>
      <c r="L86" s="616"/>
      <c r="M86" s="616"/>
      <c r="N86" s="616"/>
      <c r="O86" s="616"/>
      <c r="P86" s="616"/>
      <c r="Q86" s="617"/>
    </row>
    <row r="87" spans="1:17" s="506" customFormat="1" ht="13.8">
      <c r="A87" s="618"/>
      <c r="B87" s="619" t="s">
        <v>608</v>
      </c>
      <c r="C87" s="620"/>
      <c r="D87" s="621"/>
      <c r="E87" s="622"/>
      <c r="F87" s="623">
        <f>SUM(F15:F86)</f>
        <v>27712542.308010001</v>
      </c>
      <c r="G87" s="624">
        <f>F87/'REKAP TOTAL'!F44</f>
        <v>2.2791623501147705E-3</v>
      </c>
      <c r="H87" s="625"/>
      <c r="I87" s="625"/>
      <c r="J87" s="625"/>
      <c r="K87" s="625"/>
      <c r="L87" s="625"/>
      <c r="M87" s="625"/>
      <c r="N87" s="625"/>
      <c r="O87" s="625"/>
      <c r="P87" s="625"/>
      <c r="Q87" s="626"/>
    </row>
  </sheetData>
  <mergeCells count="8">
    <mergeCell ref="Q8:Q9"/>
    <mergeCell ref="H8:J8"/>
    <mergeCell ref="K8:M8"/>
    <mergeCell ref="A8:A9"/>
    <mergeCell ref="B8:B9"/>
    <mergeCell ref="C8:C9"/>
    <mergeCell ref="D8:D9"/>
    <mergeCell ref="G8:G9"/>
  </mergeCells>
  <printOptions horizontalCentered="1"/>
  <pageMargins left="0.55118110236220497" right="0.55118110236220497" top="0.98425196850393704" bottom="0.98425196850393704" header="0.511811023622047" footer="0.511811023622047"/>
  <pageSetup paperSize="9" scale="85" orientation="portrait" r:id="rId1"/>
  <headerFooter alignWithMargins="0">
    <oddFooter>&amp;C&amp;A&amp;RPage &amp;P of &amp;N</oddFooter>
  </headerFooter>
  <rowBreaks count="3" manualBreakCount="3">
    <brk id="101" max="5" man="1"/>
    <brk id="161" max="5" man="1"/>
    <brk id="221" max="5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HK43"/>
  <sheetViews>
    <sheetView showGridLines="0" view="pageBreakPreview" topLeftCell="A25" zoomScaleNormal="100" workbookViewId="0">
      <selection activeCell="M49" sqref="M49"/>
    </sheetView>
  </sheetViews>
  <sheetFormatPr defaultColWidth="9" defaultRowHeight="11.4"/>
  <cols>
    <col min="1" max="1" width="6.88671875" style="329" customWidth="1"/>
    <col min="2" max="2" width="2.6640625" style="227" customWidth="1"/>
    <col min="3" max="3" width="57.6640625" style="227" customWidth="1"/>
    <col min="4" max="4" width="6.6640625" style="329" customWidth="1"/>
    <col min="5" max="5" width="9.33203125" style="330" customWidth="1"/>
    <col min="6" max="6" width="14.109375" style="331" hidden="1" customWidth="1"/>
    <col min="7" max="7" width="13.5546875" style="227" hidden="1" customWidth="1"/>
    <col min="8" max="8" width="9.77734375" style="330" customWidth="1"/>
    <col min="9" max="9" width="9.109375" style="227"/>
    <col min="10" max="10" width="13.109375" style="227" customWidth="1"/>
    <col min="11" max="219" width="9.109375" style="227"/>
    <col min="220" max="248" width="9.109375" style="228"/>
    <col min="249" max="249" width="6.88671875" style="228" customWidth="1"/>
    <col min="250" max="250" width="2.6640625" style="228" customWidth="1"/>
    <col min="251" max="251" width="57.6640625" style="228" customWidth="1"/>
    <col min="252" max="252" width="9.109375" style="228"/>
    <col min="253" max="253" width="9.33203125" style="228" customWidth="1"/>
    <col min="254" max="254" width="14.109375" style="228" customWidth="1"/>
    <col min="255" max="255" width="13.5546875" style="228" customWidth="1"/>
    <col min="256" max="256" width="9.109375" style="228"/>
    <col min="257" max="257" width="11.88671875" style="228" customWidth="1"/>
    <col min="258" max="258" width="10.33203125" style="228" customWidth="1"/>
    <col min="259" max="504" width="9.109375" style="228"/>
    <col min="505" max="505" width="6.88671875" style="228" customWidth="1"/>
    <col min="506" max="506" width="2.6640625" style="228" customWidth="1"/>
    <col min="507" max="507" width="57.6640625" style="228" customWidth="1"/>
    <col min="508" max="508" width="9.109375" style="228"/>
    <col min="509" max="509" width="9.33203125" style="228" customWidth="1"/>
    <col min="510" max="510" width="14.109375" style="228" customWidth="1"/>
    <col min="511" max="511" width="13.5546875" style="228" customWidth="1"/>
    <col min="512" max="512" width="9.109375" style="228"/>
    <col min="513" max="513" width="11.88671875" style="228" customWidth="1"/>
    <col min="514" max="514" width="10.33203125" style="228" customWidth="1"/>
    <col min="515" max="760" width="9.109375" style="228"/>
    <col min="761" max="761" width="6.88671875" style="228" customWidth="1"/>
    <col min="762" max="762" width="2.6640625" style="228" customWidth="1"/>
    <col min="763" max="763" width="57.6640625" style="228" customWidth="1"/>
    <col min="764" max="764" width="9.109375" style="228"/>
    <col min="765" max="765" width="9.33203125" style="228" customWidth="1"/>
    <col min="766" max="766" width="14.109375" style="228" customWidth="1"/>
    <col min="767" max="767" width="13.5546875" style="228" customWidth="1"/>
    <col min="768" max="768" width="9.109375" style="228"/>
    <col min="769" max="769" width="11.88671875" style="228" customWidth="1"/>
    <col min="770" max="770" width="10.33203125" style="228" customWidth="1"/>
    <col min="771" max="1016" width="9.109375" style="228"/>
    <col min="1017" max="1017" width="6.88671875" style="228" customWidth="1"/>
    <col min="1018" max="1018" width="2.6640625" style="228" customWidth="1"/>
    <col min="1019" max="1019" width="57.6640625" style="228" customWidth="1"/>
    <col min="1020" max="1020" width="9.109375" style="228"/>
    <col min="1021" max="1021" width="9.33203125" style="228" customWidth="1"/>
    <col min="1022" max="1022" width="14.109375" style="228" customWidth="1"/>
    <col min="1023" max="1023" width="13.5546875" style="228" customWidth="1"/>
    <col min="1024" max="1024" width="9.109375" style="228"/>
    <col min="1025" max="1025" width="11.88671875" style="228" customWidth="1"/>
    <col min="1026" max="1026" width="10.33203125" style="228" customWidth="1"/>
    <col min="1027" max="1272" width="9.109375" style="228"/>
    <col min="1273" max="1273" width="6.88671875" style="228" customWidth="1"/>
    <col min="1274" max="1274" width="2.6640625" style="228" customWidth="1"/>
    <col min="1275" max="1275" width="57.6640625" style="228" customWidth="1"/>
    <col min="1276" max="1276" width="9.109375" style="228"/>
    <col min="1277" max="1277" width="9.33203125" style="228" customWidth="1"/>
    <col min="1278" max="1278" width="14.109375" style="228" customWidth="1"/>
    <col min="1279" max="1279" width="13.5546875" style="228" customWidth="1"/>
    <col min="1280" max="1280" width="9.109375" style="228"/>
    <col min="1281" max="1281" width="11.88671875" style="228" customWidth="1"/>
    <col min="1282" max="1282" width="10.33203125" style="228" customWidth="1"/>
    <col min="1283" max="1528" width="9.109375" style="228"/>
    <col min="1529" max="1529" width="6.88671875" style="228" customWidth="1"/>
    <col min="1530" max="1530" width="2.6640625" style="228" customWidth="1"/>
    <col min="1531" max="1531" width="57.6640625" style="228" customWidth="1"/>
    <col min="1532" max="1532" width="9.109375" style="228"/>
    <col min="1533" max="1533" width="9.33203125" style="228" customWidth="1"/>
    <col min="1534" max="1534" width="14.109375" style="228" customWidth="1"/>
    <col min="1535" max="1535" width="13.5546875" style="228" customWidth="1"/>
    <col min="1536" max="1536" width="9.109375" style="228"/>
    <col min="1537" max="1537" width="11.88671875" style="228" customWidth="1"/>
    <col min="1538" max="1538" width="10.33203125" style="228" customWidth="1"/>
    <col min="1539" max="1784" width="9.109375" style="228"/>
    <col min="1785" max="1785" width="6.88671875" style="228" customWidth="1"/>
    <col min="1786" max="1786" width="2.6640625" style="228" customWidth="1"/>
    <col min="1787" max="1787" width="57.6640625" style="228" customWidth="1"/>
    <col min="1788" max="1788" width="9.109375" style="228"/>
    <col min="1789" max="1789" width="9.33203125" style="228" customWidth="1"/>
    <col min="1790" max="1790" width="14.109375" style="228" customWidth="1"/>
    <col min="1791" max="1791" width="13.5546875" style="228" customWidth="1"/>
    <col min="1792" max="1792" width="9.109375" style="228"/>
    <col min="1793" max="1793" width="11.88671875" style="228" customWidth="1"/>
    <col min="1794" max="1794" width="10.33203125" style="228" customWidth="1"/>
    <col min="1795" max="2040" width="9.109375" style="228"/>
    <col min="2041" max="2041" width="6.88671875" style="228" customWidth="1"/>
    <col min="2042" max="2042" width="2.6640625" style="228" customWidth="1"/>
    <col min="2043" max="2043" width="57.6640625" style="228" customWidth="1"/>
    <col min="2044" max="2044" width="9.109375" style="228"/>
    <col min="2045" max="2045" width="9.33203125" style="228" customWidth="1"/>
    <col min="2046" max="2046" width="14.109375" style="228" customWidth="1"/>
    <col min="2047" max="2047" width="13.5546875" style="228" customWidth="1"/>
    <col min="2048" max="2048" width="9.109375" style="228"/>
    <col min="2049" max="2049" width="11.88671875" style="228" customWidth="1"/>
    <col min="2050" max="2050" width="10.33203125" style="228" customWidth="1"/>
    <col min="2051" max="2296" width="9.109375" style="228"/>
    <col min="2297" max="2297" width="6.88671875" style="228" customWidth="1"/>
    <col min="2298" max="2298" width="2.6640625" style="228" customWidth="1"/>
    <col min="2299" max="2299" width="57.6640625" style="228" customWidth="1"/>
    <col min="2300" max="2300" width="9.109375" style="228"/>
    <col min="2301" max="2301" width="9.33203125" style="228" customWidth="1"/>
    <col min="2302" max="2302" width="14.109375" style="228" customWidth="1"/>
    <col min="2303" max="2303" width="13.5546875" style="228" customWidth="1"/>
    <col min="2304" max="2304" width="9.109375" style="228"/>
    <col min="2305" max="2305" width="11.88671875" style="228" customWidth="1"/>
    <col min="2306" max="2306" width="10.33203125" style="228" customWidth="1"/>
    <col min="2307" max="2552" width="9.109375" style="228"/>
    <col min="2553" max="2553" width="6.88671875" style="228" customWidth="1"/>
    <col min="2554" max="2554" width="2.6640625" style="228" customWidth="1"/>
    <col min="2555" max="2555" width="57.6640625" style="228" customWidth="1"/>
    <col min="2556" max="2556" width="9.109375" style="228"/>
    <col min="2557" max="2557" width="9.33203125" style="228" customWidth="1"/>
    <col min="2558" max="2558" width="14.109375" style="228" customWidth="1"/>
    <col min="2559" max="2559" width="13.5546875" style="228" customWidth="1"/>
    <col min="2560" max="2560" width="9.109375" style="228"/>
    <col min="2561" max="2561" width="11.88671875" style="228" customWidth="1"/>
    <col min="2562" max="2562" width="10.33203125" style="228" customWidth="1"/>
    <col min="2563" max="2808" width="9.109375" style="228"/>
    <col min="2809" max="2809" width="6.88671875" style="228" customWidth="1"/>
    <col min="2810" max="2810" width="2.6640625" style="228" customWidth="1"/>
    <col min="2811" max="2811" width="57.6640625" style="228" customWidth="1"/>
    <col min="2812" max="2812" width="9.109375" style="228"/>
    <col min="2813" max="2813" width="9.33203125" style="228" customWidth="1"/>
    <col min="2814" max="2814" width="14.109375" style="228" customWidth="1"/>
    <col min="2815" max="2815" width="13.5546875" style="228" customWidth="1"/>
    <col min="2816" max="2816" width="9.109375" style="228"/>
    <col min="2817" max="2817" width="11.88671875" style="228" customWidth="1"/>
    <col min="2818" max="2818" width="10.33203125" style="228" customWidth="1"/>
    <col min="2819" max="3064" width="9.109375" style="228"/>
    <col min="3065" max="3065" width="6.88671875" style="228" customWidth="1"/>
    <col min="3066" max="3066" width="2.6640625" style="228" customWidth="1"/>
    <col min="3067" max="3067" width="57.6640625" style="228" customWidth="1"/>
    <col min="3068" max="3068" width="9.109375" style="228"/>
    <col min="3069" max="3069" width="9.33203125" style="228" customWidth="1"/>
    <col min="3070" max="3070" width="14.109375" style="228" customWidth="1"/>
    <col min="3071" max="3071" width="13.5546875" style="228" customWidth="1"/>
    <col min="3072" max="3072" width="9.109375" style="228"/>
    <col min="3073" max="3073" width="11.88671875" style="228" customWidth="1"/>
    <col min="3074" max="3074" width="10.33203125" style="228" customWidth="1"/>
    <col min="3075" max="3320" width="9.109375" style="228"/>
    <col min="3321" max="3321" width="6.88671875" style="228" customWidth="1"/>
    <col min="3322" max="3322" width="2.6640625" style="228" customWidth="1"/>
    <col min="3323" max="3323" width="57.6640625" style="228" customWidth="1"/>
    <col min="3324" max="3324" width="9.109375" style="228"/>
    <col min="3325" max="3325" width="9.33203125" style="228" customWidth="1"/>
    <col min="3326" max="3326" width="14.109375" style="228" customWidth="1"/>
    <col min="3327" max="3327" width="13.5546875" style="228" customWidth="1"/>
    <col min="3328" max="3328" width="9.109375" style="228"/>
    <col min="3329" max="3329" width="11.88671875" style="228" customWidth="1"/>
    <col min="3330" max="3330" width="10.33203125" style="228" customWidth="1"/>
    <col min="3331" max="3576" width="9.109375" style="228"/>
    <col min="3577" max="3577" width="6.88671875" style="228" customWidth="1"/>
    <col min="3578" max="3578" width="2.6640625" style="228" customWidth="1"/>
    <col min="3579" max="3579" width="57.6640625" style="228" customWidth="1"/>
    <col min="3580" max="3580" width="9.109375" style="228"/>
    <col min="3581" max="3581" width="9.33203125" style="228" customWidth="1"/>
    <col min="3582" max="3582" width="14.109375" style="228" customWidth="1"/>
    <col min="3583" max="3583" width="13.5546875" style="228" customWidth="1"/>
    <col min="3584" max="3584" width="9.109375" style="228"/>
    <col min="3585" max="3585" width="11.88671875" style="228" customWidth="1"/>
    <col min="3586" max="3586" width="10.33203125" style="228" customWidth="1"/>
    <col min="3587" max="3832" width="9.109375" style="228"/>
    <col min="3833" max="3833" width="6.88671875" style="228" customWidth="1"/>
    <col min="3834" max="3834" width="2.6640625" style="228" customWidth="1"/>
    <col min="3835" max="3835" width="57.6640625" style="228" customWidth="1"/>
    <col min="3836" max="3836" width="9.109375" style="228"/>
    <col min="3837" max="3837" width="9.33203125" style="228" customWidth="1"/>
    <col min="3838" max="3838" width="14.109375" style="228" customWidth="1"/>
    <col min="3839" max="3839" width="13.5546875" style="228" customWidth="1"/>
    <col min="3840" max="3840" width="9.109375" style="228"/>
    <col min="3841" max="3841" width="11.88671875" style="228" customWidth="1"/>
    <col min="3842" max="3842" width="10.33203125" style="228" customWidth="1"/>
    <col min="3843" max="4088" width="9.109375" style="228"/>
    <col min="4089" max="4089" width="6.88671875" style="228" customWidth="1"/>
    <col min="4090" max="4090" width="2.6640625" style="228" customWidth="1"/>
    <col min="4091" max="4091" width="57.6640625" style="228" customWidth="1"/>
    <col min="4092" max="4092" width="9.109375" style="228"/>
    <col min="4093" max="4093" width="9.33203125" style="228" customWidth="1"/>
    <col min="4094" max="4094" width="14.109375" style="228" customWidth="1"/>
    <col min="4095" max="4095" width="13.5546875" style="228" customWidth="1"/>
    <col min="4096" max="4096" width="9.109375" style="228"/>
    <col min="4097" max="4097" width="11.88671875" style="228" customWidth="1"/>
    <col min="4098" max="4098" width="10.33203125" style="228" customWidth="1"/>
    <col min="4099" max="4344" width="9.109375" style="228"/>
    <col min="4345" max="4345" width="6.88671875" style="228" customWidth="1"/>
    <col min="4346" max="4346" width="2.6640625" style="228" customWidth="1"/>
    <col min="4347" max="4347" width="57.6640625" style="228" customWidth="1"/>
    <col min="4348" max="4348" width="9.109375" style="228"/>
    <col min="4349" max="4349" width="9.33203125" style="228" customWidth="1"/>
    <col min="4350" max="4350" width="14.109375" style="228" customWidth="1"/>
    <col min="4351" max="4351" width="13.5546875" style="228" customWidth="1"/>
    <col min="4352" max="4352" width="9.109375" style="228"/>
    <col min="4353" max="4353" width="11.88671875" style="228" customWidth="1"/>
    <col min="4354" max="4354" width="10.33203125" style="228" customWidth="1"/>
    <col min="4355" max="4600" width="9.109375" style="228"/>
    <col min="4601" max="4601" width="6.88671875" style="228" customWidth="1"/>
    <col min="4602" max="4602" width="2.6640625" style="228" customWidth="1"/>
    <col min="4603" max="4603" width="57.6640625" style="228" customWidth="1"/>
    <col min="4604" max="4604" width="9.109375" style="228"/>
    <col min="4605" max="4605" width="9.33203125" style="228" customWidth="1"/>
    <col min="4606" max="4606" width="14.109375" style="228" customWidth="1"/>
    <col min="4607" max="4607" width="13.5546875" style="228" customWidth="1"/>
    <col min="4608" max="4608" width="9.109375" style="228"/>
    <col min="4609" max="4609" width="11.88671875" style="228" customWidth="1"/>
    <col min="4610" max="4610" width="10.33203125" style="228" customWidth="1"/>
    <col min="4611" max="4856" width="9.109375" style="228"/>
    <col min="4857" max="4857" width="6.88671875" style="228" customWidth="1"/>
    <col min="4858" max="4858" width="2.6640625" style="228" customWidth="1"/>
    <col min="4859" max="4859" width="57.6640625" style="228" customWidth="1"/>
    <col min="4860" max="4860" width="9.109375" style="228"/>
    <col min="4861" max="4861" width="9.33203125" style="228" customWidth="1"/>
    <col min="4862" max="4862" width="14.109375" style="228" customWidth="1"/>
    <col min="4863" max="4863" width="13.5546875" style="228" customWidth="1"/>
    <col min="4864" max="4864" width="9.109375" style="228"/>
    <col min="4865" max="4865" width="11.88671875" style="228" customWidth="1"/>
    <col min="4866" max="4866" width="10.33203125" style="228" customWidth="1"/>
    <col min="4867" max="5112" width="9.109375" style="228"/>
    <col min="5113" max="5113" width="6.88671875" style="228" customWidth="1"/>
    <col min="5114" max="5114" width="2.6640625" style="228" customWidth="1"/>
    <col min="5115" max="5115" width="57.6640625" style="228" customWidth="1"/>
    <col min="5116" max="5116" width="9.109375" style="228"/>
    <col min="5117" max="5117" width="9.33203125" style="228" customWidth="1"/>
    <col min="5118" max="5118" width="14.109375" style="228" customWidth="1"/>
    <col min="5119" max="5119" width="13.5546875" style="228" customWidth="1"/>
    <col min="5120" max="5120" width="9.109375" style="228"/>
    <col min="5121" max="5121" width="11.88671875" style="228" customWidth="1"/>
    <col min="5122" max="5122" width="10.33203125" style="228" customWidth="1"/>
    <col min="5123" max="5368" width="9.109375" style="228"/>
    <col min="5369" max="5369" width="6.88671875" style="228" customWidth="1"/>
    <col min="5370" max="5370" width="2.6640625" style="228" customWidth="1"/>
    <col min="5371" max="5371" width="57.6640625" style="228" customWidth="1"/>
    <col min="5372" max="5372" width="9.109375" style="228"/>
    <col min="5373" max="5373" width="9.33203125" style="228" customWidth="1"/>
    <col min="5374" max="5374" width="14.109375" style="228" customWidth="1"/>
    <col min="5375" max="5375" width="13.5546875" style="228" customWidth="1"/>
    <col min="5376" max="5376" width="9.109375" style="228"/>
    <col min="5377" max="5377" width="11.88671875" style="228" customWidth="1"/>
    <col min="5378" max="5378" width="10.33203125" style="228" customWidth="1"/>
    <col min="5379" max="5624" width="9.109375" style="228"/>
    <col min="5625" max="5625" width="6.88671875" style="228" customWidth="1"/>
    <col min="5626" max="5626" width="2.6640625" style="228" customWidth="1"/>
    <col min="5627" max="5627" width="57.6640625" style="228" customWidth="1"/>
    <col min="5628" max="5628" width="9.109375" style="228"/>
    <col min="5629" max="5629" width="9.33203125" style="228" customWidth="1"/>
    <col min="5630" max="5630" width="14.109375" style="228" customWidth="1"/>
    <col min="5631" max="5631" width="13.5546875" style="228" customWidth="1"/>
    <col min="5632" max="5632" width="9.109375" style="228"/>
    <col min="5633" max="5633" width="11.88671875" style="228" customWidth="1"/>
    <col min="5634" max="5634" width="10.33203125" style="228" customWidth="1"/>
    <col min="5635" max="5880" width="9.109375" style="228"/>
    <col min="5881" max="5881" width="6.88671875" style="228" customWidth="1"/>
    <col min="5882" max="5882" width="2.6640625" style="228" customWidth="1"/>
    <col min="5883" max="5883" width="57.6640625" style="228" customWidth="1"/>
    <col min="5884" max="5884" width="9.109375" style="228"/>
    <col min="5885" max="5885" width="9.33203125" style="228" customWidth="1"/>
    <col min="5886" max="5886" width="14.109375" style="228" customWidth="1"/>
    <col min="5887" max="5887" width="13.5546875" style="228" customWidth="1"/>
    <col min="5888" max="5888" width="9.109375" style="228"/>
    <col min="5889" max="5889" width="11.88671875" style="228" customWidth="1"/>
    <col min="5890" max="5890" width="10.33203125" style="228" customWidth="1"/>
    <col min="5891" max="6136" width="9.109375" style="228"/>
    <col min="6137" max="6137" width="6.88671875" style="228" customWidth="1"/>
    <col min="6138" max="6138" width="2.6640625" style="228" customWidth="1"/>
    <col min="6139" max="6139" width="57.6640625" style="228" customWidth="1"/>
    <col min="6140" max="6140" width="9.109375" style="228"/>
    <col min="6141" max="6141" width="9.33203125" style="228" customWidth="1"/>
    <col min="6142" max="6142" width="14.109375" style="228" customWidth="1"/>
    <col min="6143" max="6143" width="13.5546875" style="228" customWidth="1"/>
    <col min="6144" max="6144" width="9.109375" style="228"/>
    <col min="6145" max="6145" width="11.88671875" style="228" customWidth="1"/>
    <col min="6146" max="6146" width="10.33203125" style="228" customWidth="1"/>
    <col min="6147" max="6392" width="9.109375" style="228"/>
    <col min="6393" max="6393" width="6.88671875" style="228" customWidth="1"/>
    <col min="6394" max="6394" width="2.6640625" style="228" customWidth="1"/>
    <col min="6395" max="6395" width="57.6640625" style="228" customWidth="1"/>
    <col min="6396" max="6396" width="9.109375" style="228"/>
    <col min="6397" max="6397" width="9.33203125" style="228" customWidth="1"/>
    <col min="6398" max="6398" width="14.109375" style="228" customWidth="1"/>
    <col min="6399" max="6399" width="13.5546875" style="228" customWidth="1"/>
    <col min="6400" max="6400" width="9.109375" style="228"/>
    <col min="6401" max="6401" width="11.88671875" style="228" customWidth="1"/>
    <col min="6402" max="6402" width="10.33203125" style="228" customWidth="1"/>
    <col min="6403" max="6648" width="9.109375" style="228"/>
    <col min="6649" max="6649" width="6.88671875" style="228" customWidth="1"/>
    <col min="6650" max="6650" width="2.6640625" style="228" customWidth="1"/>
    <col min="6651" max="6651" width="57.6640625" style="228" customWidth="1"/>
    <col min="6652" max="6652" width="9.109375" style="228"/>
    <col min="6653" max="6653" width="9.33203125" style="228" customWidth="1"/>
    <col min="6654" max="6654" width="14.109375" style="228" customWidth="1"/>
    <col min="6655" max="6655" width="13.5546875" style="228" customWidth="1"/>
    <col min="6656" max="6656" width="9.109375" style="228"/>
    <col min="6657" max="6657" width="11.88671875" style="228" customWidth="1"/>
    <col min="6658" max="6658" width="10.33203125" style="228" customWidth="1"/>
    <col min="6659" max="6904" width="9.109375" style="228"/>
    <col min="6905" max="6905" width="6.88671875" style="228" customWidth="1"/>
    <col min="6906" max="6906" width="2.6640625" style="228" customWidth="1"/>
    <col min="6907" max="6907" width="57.6640625" style="228" customWidth="1"/>
    <col min="6908" max="6908" width="9.109375" style="228"/>
    <col min="6909" max="6909" width="9.33203125" style="228" customWidth="1"/>
    <col min="6910" max="6910" width="14.109375" style="228" customWidth="1"/>
    <col min="6911" max="6911" width="13.5546875" style="228" customWidth="1"/>
    <col min="6912" max="6912" width="9.109375" style="228"/>
    <col min="6913" max="6913" width="11.88671875" style="228" customWidth="1"/>
    <col min="6914" max="6914" width="10.33203125" style="228" customWidth="1"/>
    <col min="6915" max="7160" width="9.109375" style="228"/>
    <col min="7161" max="7161" width="6.88671875" style="228" customWidth="1"/>
    <col min="7162" max="7162" width="2.6640625" style="228" customWidth="1"/>
    <col min="7163" max="7163" width="57.6640625" style="228" customWidth="1"/>
    <col min="7164" max="7164" width="9.109375" style="228"/>
    <col min="7165" max="7165" width="9.33203125" style="228" customWidth="1"/>
    <col min="7166" max="7166" width="14.109375" style="228" customWidth="1"/>
    <col min="7167" max="7167" width="13.5546875" style="228" customWidth="1"/>
    <col min="7168" max="7168" width="9.109375" style="228"/>
    <col min="7169" max="7169" width="11.88671875" style="228" customWidth="1"/>
    <col min="7170" max="7170" width="10.33203125" style="228" customWidth="1"/>
    <col min="7171" max="7416" width="9.109375" style="228"/>
    <col min="7417" max="7417" width="6.88671875" style="228" customWidth="1"/>
    <col min="7418" max="7418" width="2.6640625" style="228" customWidth="1"/>
    <col min="7419" max="7419" width="57.6640625" style="228" customWidth="1"/>
    <col min="7420" max="7420" width="9.109375" style="228"/>
    <col min="7421" max="7421" width="9.33203125" style="228" customWidth="1"/>
    <col min="7422" max="7422" width="14.109375" style="228" customWidth="1"/>
    <col min="7423" max="7423" width="13.5546875" style="228" customWidth="1"/>
    <col min="7424" max="7424" width="9.109375" style="228"/>
    <col min="7425" max="7425" width="11.88671875" style="228" customWidth="1"/>
    <col min="7426" max="7426" width="10.33203125" style="228" customWidth="1"/>
    <col min="7427" max="7672" width="9.109375" style="228"/>
    <col min="7673" max="7673" width="6.88671875" style="228" customWidth="1"/>
    <col min="7674" max="7674" width="2.6640625" style="228" customWidth="1"/>
    <col min="7675" max="7675" width="57.6640625" style="228" customWidth="1"/>
    <col min="7676" max="7676" width="9.109375" style="228"/>
    <col min="7677" max="7677" width="9.33203125" style="228" customWidth="1"/>
    <col min="7678" max="7678" width="14.109375" style="228" customWidth="1"/>
    <col min="7679" max="7679" width="13.5546875" style="228" customWidth="1"/>
    <col min="7680" max="7680" width="9.109375" style="228"/>
    <col min="7681" max="7681" width="11.88671875" style="228" customWidth="1"/>
    <col min="7682" max="7682" width="10.33203125" style="228" customWidth="1"/>
    <col min="7683" max="7928" width="9.109375" style="228"/>
    <col min="7929" max="7929" width="6.88671875" style="228" customWidth="1"/>
    <col min="7930" max="7930" width="2.6640625" style="228" customWidth="1"/>
    <col min="7931" max="7931" width="57.6640625" style="228" customWidth="1"/>
    <col min="7932" max="7932" width="9.109375" style="228"/>
    <col min="7933" max="7933" width="9.33203125" style="228" customWidth="1"/>
    <col min="7934" max="7934" width="14.109375" style="228" customWidth="1"/>
    <col min="7935" max="7935" width="13.5546875" style="228" customWidth="1"/>
    <col min="7936" max="7936" width="9.109375" style="228"/>
    <col min="7937" max="7937" width="11.88671875" style="228" customWidth="1"/>
    <col min="7938" max="7938" width="10.33203125" style="228" customWidth="1"/>
    <col min="7939" max="8184" width="9.109375" style="228"/>
    <col min="8185" max="8185" width="6.88671875" style="228" customWidth="1"/>
    <col min="8186" max="8186" width="2.6640625" style="228" customWidth="1"/>
    <col min="8187" max="8187" width="57.6640625" style="228" customWidth="1"/>
    <col min="8188" max="8188" width="9.109375" style="228"/>
    <col min="8189" max="8189" width="9.33203125" style="228" customWidth="1"/>
    <col min="8190" max="8190" width="14.109375" style="228" customWidth="1"/>
    <col min="8191" max="8191" width="13.5546875" style="228" customWidth="1"/>
    <col min="8192" max="8192" width="9.109375" style="228"/>
    <col min="8193" max="8193" width="11.88671875" style="228" customWidth="1"/>
    <col min="8194" max="8194" width="10.33203125" style="228" customWidth="1"/>
    <col min="8195" max="8440" width="9.109375" style="228"/>
    <col min="8441" max="8441" width="6.88671875" style="228" customWidth="1"/>
    <col min="8442" max="8442" width="2.6640625" style="228" customWidth="1"/>
    <col min="8443" max="8443" width="57.6640625" style="228" customWidth="1"/>
    <col min="8444" max="8444" width="9.109375" style="228"/>
    <col min="8445" max="8445" width="9.33203125" style="228" customWidth="1"/>
    <col min="8446" max="8446" width="14.109375" style="228" customWidth="1"/>
    <col min="8447" max="8447" width="13.5546875" style="228" customWidth="1"/>
    <col min="8448" max="8448" width="9.109375" style="228"/>
    <col min="8449" max="8449" width="11.88671875" style="228" customWidth="1"/>
    <col min="8450" max="8450" width="10.33203125" style="228" customWidth="1"/>
    <col min="8451" max="8696" width="9.109375" style="228"/>
    <col min="8697" max="8697" width="6.88671875" style="228" customWidth="1"/>
    <col min="8698" max="8698" width="2.6640625" style="228" customWidth="1"/>
    <col min="8699" max="8699" width="57.6640625" style="228" customWidth="1"/>
    <col min="8700" max="8700" width="9.109375" style="228"/>
    <col min="8701" max="8701" width="9.33203125" style="228" customWidth="1"/>
    <col min="8702" max="8702" width="14.109375" style="228" customWidth="1"/>
    <col min="8703" max="8703" width="13.5546875" style="228" customWidth="1"/>
    <col min="8704" max="8704" width="9.109375" style="228"/>
    <col min="8705" max="8705" width="11.88671875" style="228" customWidth="1"/>
    <col min="8706" max="8706" width="10.33203125" style="228" customWidth="1"/>
    <col min="8707" max="8952" width="9.109375" style="228"/>
    <col min="8953" max="8953" width="6.88671875" style="228" customWidth="1"/>
    <col min="8954" max="8954" width="2.6640625" style="228" customWidth="1"/>
    <col min="8955" max="8955" width="57.6640625" style="228" customWidth="1"/>
    <col min="8956" max="8956" width="9.109375" style="228"/>
    <col min="8957" max="8957" width="9.33203125" style="228" customWidth="1"/>
    <col min="8958" max="8958" width="14.109375" style="228" customWidth="1"/>
    <col min="8959" max="8959" width="13.5546875" style="228" customWidth="1"/>
    <col min="8960" max="8960" width="9.109375" style="228"/>
    <col min="8961" max="8961" width="11.88671875" style="228" customWidth="1"/>
    <col min="8962" max="8962" width="10.33203125" style="228" customWidth="1"/>
    <col min="8963" max="9208" width="9.109375" style="228"/>
    <col min="9209" max="9209" width="6.88671875" style="228" customWidth="1"/>
    <col min="9210" max="9210" width="2.6640625" style="228" customWidth="1"/>
    <col min="9211" max="9211" width="57.6640625" style="228" customWidth="1"/>
    <col min="9212" max="9212" width="9.109375" style="228"/>
    <col min="9213" max="9213" width="9.33203125" style="228" customWidth="1"/>
    <col min="9214" max="9214" width="14.109375" style="228" customWidth="1"/>
    <col min="9215" max="9215" width="13.5546875" style="228" customWidth="1"/>
    <col min="9216" max="9216" width="9.109375" style="228"/>
    <col min="9217" max="9217" width="11.88671875" style="228" customWidth="1"/>
    <col min="9218" max="9218" width="10.33203125" style="228" customWidth="1"/>
    <col min="9219" max="9464" width="9.109375" style="228"/>
    <col min="9465" max="9465" width="6.88671875" style="228" customWidth="1"/>
    <col min="9466" max="9466" width="2.6640625" style="228" customWidth="1"/>
    <col min="9467" max="9467" width="57.6640625" style="228" customWidth="1"/>
    <col min="9468" max="9468" width="9.109375" style="228"/>
    <col min="9469" max="9469" width="9.33203125" style="228" customWidth="1"/>
    <col min="9470" max="9470" width="14.109375" style="228" customWidth="1"/>
    <col min="9471" max="9471" width="13.5546875" style="228" customWidth="1"/>
    <col min="9472" max="9472" width="9.109375" style="228"/>
    <col min="9473" max="9473" width="11.88671875" style="228" customWidth="1"/>
    <col min="9474" max="9474" width="10.33203125" style="228" customWidth="1"/>
    <col min="9475" max="9720" width="9.109375" style="228"/>
    <col min="9721" max="9721" width="6.88671875" style="228" customWidth="1"/>
    <col min="9722" max="9722" width="2.6640625" style="228" customWidth="1"/>
    <col min="9723" max="9723" width="57.6640625" style="228" customWidth="1"/>
    <col min="9724" max="9724" width="9.109375" style="228"/>
    <col min="9725" max="9725" width="9.33203125" style="228" customWidth="1"/>
    <col min="9726" max="9726" width="14.109375" style="228" customWidth="1"/>
    <col min="9727" max="9727" width="13.5546875" style="228" customWidth="1"/>
    <col min="9728" max="9728" width="9.109375" style="228"/>
    <col min="9729" max="9729" width="11.88671875" style="228" customWidth="1"/>
    <col min="9730" max="9730" width="10.33203125" style="228" customWidth="1"/>
    <col min="9731" max="9976" width="9.109375" style="228"/>
    <col min="9977" max="9977" width="6.88671875" style="228" customWidth="1"/>
    <col min="9978" max="9978" width="2.6640625" style="228" customWidth="1"/>
    <col min="9979" max="9979" width="57.6640625" style="228" customWidth="1"/>
    <col min="9980" max="9980" width="9.109375" style="228"/>
    <col min="9981" max="9981" width="9.33203125" style="228" customWidth="1"/>
    <col min="9982" max="9982" width="14.109375" style="228" customWidth="1"/>
    <col min="9983" max="9983" width="13.5546875" style="228" customWidth="1"/>
    <col min="9984" max="9984" width="9.109375" style="228"/>
    <col min="9985" max="9985" width="11.88671875" style="228" customWidth="1"/>
    <col min="9986" max="9986" width="10.33203125" style="228" customWidth="1"/>
    <col min="9987" max="10232" width="9.109375" style="228"/>
    <col min="10233" max="10233" width="6.88671875" style="228" customWidth="1"/>
    <col min="10234" max="10234" width="2.6640625" style="228" customWidth="1"/>
    <col min="10235" max="10235" width="57.6640625" style="228" customWidth="1"/>
    <col min="10236" max="10236" width="9.109375" style="228"/>
    <col min="10237" max="10237" width="9.33203125" style="228" customWidth="1"/>
    <col min="10238" max="10238" width="14.109375" style="228" customWidth="1"/>
    <col min="10239" max="10239" width="13.5546875" style="228" customWidth="1"/>
    <col min="10240" max="10240" width="9.109375" style="228"/>
    <col min="10241" max="10241" width="11.88671875" style="228" customWidth="1"/>
    <col min="10242" max="10242" width="10.33203125" style="228" customWidth="1"/>
    <col min="10243" max="10488" width="9.109375" style="228"/>
    <col min="10489" max="10489" width="6.88671875" style="228" customWidth="1"/>
    <col min="10490" max="10490" width="2.6640625" style="228" customWidth="1"/>
    <col min="10491" max="10491" width="57.6640625" style="228" customWidth="1"/>
    <col min="10492" max="10492" width="9.109375" style="228"/>
    <col min="10493" max="10493" width="9.33203125" style="228" customWidth="1"/>
    <col min="10494" max="10494" width="14.109375" style="228" customWidth="1"/>
    <col min="10495" max="10495" width="13.5546875" style="228" customWidth="1"/>
    <col min="10496" max="10496" width="9.109375" style="228"/>
    <col min="10497" max="10497" width="11.88671875" style="228" customWidth="1"/>
    <col min="10498" max="10498" width="10.33203125" style="228" customWidth="1"/>
    <col min="10499" max="10744" width="9.109375" style="228"/>
    <col min="10745" max="10745" width="6.88671875" style="228" customWidth="1"/>
    <col min="10746" max="10746" width="2.6640625" style="228" customWidth="1"/>
    <col min="10747" max="10747" width="57.6640625" style="228" customWidth="1"/>
    <col min="10748" max="10748" width="9.109375" style="228"/>
    <col min="10749" max="10749" width="9.33203125" style="228" customWidth="1"/>
    <col min="10750" max="10750" width="14.109375" style="228" customWidth="1"/>
    <col min="10751" max="10751" width="13.5546875" style="228" customWidth="1"/>
    <col min="10752" max="10752" width="9.109375" style="228"/>
    <col min="10753" max="10753" width="11.88671875" style="228" customWidth="1"/>
    <col min="10754" max="10754" width="10.33203125" style="228" customWidth="1"/>
    <col min="10755" max="11000" width="9.109375" style="228"/>
    <col min="11001" max="11001" width="6.88671875" style="228" customWidth="1"/>
    <col min="11002" max="11002" width="2.6640625" style="228" customWidth="1"/>
    <col min="11003" max="11003" width="57.6640625" style="228" customWidth="1"/>
    <col min="11004" max="11004" width="9.109375" style="228"/>
    <col min="11005" max="11005" width="9.33203125" style="228" customWidth="1"/>
    <col min="11006" max="11006" width="14.109375" style="228" customWidth="1"/>
    <col min="11007" max="11007" width="13.5546875" style="228" customWidth="1"/>
    <col min="11008" max="11008" width="9.109375" style="228"/>
    <col min="11009" max="11009" width="11.88671875" style="228" customWidth="1"/>
    <col min="11010" max="11010" width="10.33203125" style="228" customWidth="1"/>
    <col min="11011" max="11256" width="9.109375" style="228"/>
    <col min="11257" max="11257" width="6.88671875" style="228" customWidth="1"/>
    <col min="11258" max="11258" width="2.6640625" style="228" customWidth="1"/>
    <col min="11259" max="11259" width="57.6640625" style="228" customWidth="1"/>
    <col min="11260" max="11260" width="9.109375" style="228"/>
    <col min="11261" max="11261" width="9.33203125" style="228" customWidth="1"/>
    <col min="11262" max="11262" width="14.109375" style="228" customWidth="1"/>
    <col min="11263" max="11263" width="13.5546875" style="228" customWidth="1"/>
    <col min="11264" max="11264" width="9.109375" style="228"/>
    <col min="11265" max="11265" width="11.88671875" style="228" customWidth="1"/>
    <col min="11266" max="11266" width="10.33203125" style="228" customWidth="1"/>
    <col min="11267" max="11512" width="9.109375" style="228"/>
    <col min="11513" max="11513" width="6.88671875" style="228" customWidth="1"/>
    <col min="11514" max="11514" width="2.6640625" style="228" customWidth="1"/>
    <col min="11515" max="11515" width="57.6640625" style="228" customWidth="1"/>
    <col min="11516" max="11516" width="9.109375" style="228"/>
    <col min="11517" max="11517" width="9.33203125" style="228" customWidth="1"/>
    <col min="11518" max="11518" width="14.109375" style="228" customWidth="1"/>
    <col min="11519" max="11519" width="13.5546875" style="228" customWidth="1"/>
    <col min="11520" max="11520" width="9.109375" style="228"/>
    <col min="11521" max="11521" width="11.88671875" style="228" customWidth="1"/>
    <col min="11522" max="11522" width="10.33203125" style="228" customWidth="1"/>
    <col min="11523" max="11768" width="9.109375" style="228"/>
    <col min="11769" max="11769" width="6.88671875" style="228" customWidth="1"/>
    <col min="11770" max="11770" width="2.6640625" style="228" customWidth="1"/>
    <col min="11771" max="11771" width="57.6640625" style="228" customWidth="1"/>
    <col min="11772" max="11772" width="9.109375" style="228"/>
    <col min="11773" max="11773" width="9.33203125" style="228" customWidth="1"/>
    <col min="11774" max="11774" width="14.109375" style="228" customWidth="1"/>
    <col min="11775" max="11775" width="13.5546875" style="228" customWidth="1"/>
    <col min="11776" max="11776" width="9.109375" style="228"/>
    <col min="11777" max="11777" width="11.88671875" style="228" customWidth="1"/>
    <col min="11778" max="11778" width="10.33203125" style="228" customWidth="1"/>
    <col min="11779" max="12024" width="9.109375" style="228"/>
    <col min="12025" max="12025" width="6.88671875" style="228" customWidth="1"/>
    <col min="12026" max="12026" width="2.6640625" style="228" customWidth="1"/>
    <col min="12027" max="12027" width="57.6640625" style="228" customWidth="1"/>
    <col min="12028" max="12028" width="9.109375" style="228"/>
    <col min="12029" max="12029" width="9.33203125" style="228" customWidth="1"/>
    <col min="12030" max="12030" width="14.109375" style="228" customWidth="1"/>
    <col min="12031" max="12031" width="13.5546875" style="228" customWidth="1"/>
    <col min="12032" max="12032" width="9.109375" style="228"/>
    <col min="12033" max="12033" width="11.88671875" style="228" customWidth="1"/>
    <col min="12034" max="12034" width="10.33203125" style="228" customWidth="1"/>
    <col min="12035" max="12280" width="9.109375" style="228"/>
    <col min="12281" max="12281" width="6.88671875" style="228" customWidth="1"/>
    <col min="12282" max="12282" width="2.6640625" style="228" customWidth="1"/>
    <col min="12283" max="12283" width="57.6640625" style="228" customWidth="1"/>
    <col min="12284" max="12284" width="9.109375" style="228"/>
    <col min="12285" max="12285" width="9.33203125" style="228" customWidth="1"/>
    <col min="12286" max="12286" width="14.109375" style="228" customWidth="1"/>
    <col min="12287" max="12287" width="13.5546875" style="228" customWidth="1"/>
    <col min="12288" max="12288" width="9.109375" style="228"/>
    <col min="12289" max="12289" width="11.88671875" style="228" customWidth="1"/>
    <col min="12290" max="12290" width="10.33203125" style="228" customWidth="1"/>
    <col min="12291" max="12536" width="9.109375" style="228"/>
    <col min="12537" max="12537" width="6.88671875" style="228" customWidth="1"/>
    <col min="12538" max="12538" width="2.6640625" style="228" customWidth="1"/>
    <col min="12539" max="12539" width="57.6640625" style="228" customWidth="1"/>
    <col min="12540" max="12540" width="9.109375" style="228"/>
    <col min="12541" max="12541" width="9.33203125" style="228" customWidth="1"/>
    <col min="12542" max="12542" width="14.109375" style="228" customWidth="1"/>
    <col min="12543" max="12543" width="13.5546875" style="228" customWidth="1"/>
    <col min="12544" max="12544" width="9.109375" style="228"/>
    <col min="12545" max="12545" width="11.88671875" style="228" customWidth="1"/>
    <col min="12546" max="12546" width="10.33203125" style="228" customWidth="1"/>
    <col min="12547" max="12792" width="9.109375" style="228"/>
    <col min="12793" max="12793" width="6.88671875" style="228" customWidth="1"/>
    <col min="12794" max="12794" width="2.6640625" style="228" customWidth="1"/>
    <col min="12795" max="12795" width="57.6640625" style="228" customWidth="1"/>
    <col min="12796" max="12796" width="9.109375" style="228"/>
    <col min="12797" max="12797" width="9.33203125" style="228" customWidth="1"/>
    <col min="12798" max="12798" width="14.109375" style="228" customWidth="1"/>
    <col min="12799" max="12799" width="13.5546875" style="228" customWidth="1"/>
    <col min="12800" max="12800" width="9.109375" style="228"/>
    <col min="12801" max="12801" width="11.88671875" style="228" customWidth="1"/>
    <col min="12802" max="12802" width="10.33203125" style="228" customWidth="1"/>
    <col min="12803" max="13048" width="9.109375" style="228"/>
    <col min="13049" max="13049" width="6.88671875" style="228" customWidth="1"/>
    <col min="13050" max="13050" width="2.6640625" style="228" customWidth="1"/>
    <col min="13051" max="13051" width="57.6640625" style="228" customWidth="1"/>
    <col min="13052" max="13052" width="9.109375" style="228"/>
    <col min="13053" max="13053" width="9.33203125" style="228" customWidth="1"/>
    <col min="13054" max="13054" width="14.109375" style="228" customWidth="1"/>
    <col min="13055" max="13055" width="13.5546875" style="228" customWidth="1"/>
    <col min="13056" max="13056" width="9.109375" style="228"/>
    <col min="13057" max="13057" width="11.88671875" style="228" customWidth="1"/>
    <col min="13058" max="13058" width="10.33203125" style="228" customWidth="1"/>
    <col min="13059" max="13304" width="9.109375" style="228"/>
    <col min="13305" max="13305" width="6.88671875" style="228" customWidth="1"/>
    <col min="13306" max="13306" width="2.6640625" style="228" customWidth="1"/>
    <col min="13307" max="13307" width="57.6640625" style="228" customWidth="1"/>
    <col min="13308" max="13308" width="9.109375" style="228"/>
    <col min="13309" max="13309" width="9.33203125" style="228" customWidth="1"/>
    <col min="13310" max="13310" width="14.109375" style="228" customWidth="1"/>
    <col min="13311" max="13311" width="13.5546875" style="228" customWidth="1"/>
    <col min="13312" max="13312" width="9.109375" style="228"/>
    <col min="13313" max="13313" width="11.88671875" style="228" customWidth="1"/>
    <col min="13314" max="13314" width="10.33203125" style="228" customWidth="1"/>
    <col min="13315" max="13560" width="9.109375" style="228"/>
    <col min="13561" max="13561" width="6.88671875" style="228" customWidth="1"/>
    <col min="13562" max="13562" width="2.6640625" style="228" customWidth="1"/>
    <col min="13563" max="13563" width="57.6640625" style="228" customWidth="1"/>
    <col min="13564" max="13564" width="9.109375" style="228"/>
    <col min="13565" max="13565" width="9.33203125" style="228" customWidth="1"/>
    <col min="13566" max="13566" width="14.109375" style="228" customWidth="1"/>
    <col min="13567" max="13567" width="13.5546875" style="228" customWidth="1"/>
    <col min="13568" max="13568" width="9.109375" style="228"/>
    <col min="13569" max="13569" width="11.88671875" style="228" customWidth="1"/>
    <col min="13570" max="13570" width="10.33203125" style="228" customWidth="1"/>
    <col min="13571" max="13816" width="9.109375" style="228"/>
    <col min="13817" max="13817" width="6.88671875" style="228" customWidth="1"/>
    <col min="13818" max="13818" width="2.6640625" style="228" customWidth="1"/>
    <col min="13819" max="13819" width="57.6640625" style="228" customWidth="1"/>
    <col min="13820" max="13820" width="9.109375" style="228"/>
    <col min="13821" max="13821" width="9.33203125" style="228" customWidth="1"/>
    <col min="13822" max="13822" width="14.109375" style="228" customWidth="1"/>
    <col min="13823" max="13823" width="13.5546875" style="228" customWidth="1"/>
    <col min="13824" max="13824" width="9.109375" style="228"/>
    <col min="13825" max="13825" width="11.88671875" style="228" customWidth="1"/>
    <col min="13826" max="13826" width="10.33203125" style="228" customWidth="1"/>
    <col min="13827" max="14072" width="9.109375" style="228"/>
    <col min="14073" max="14073" width="6.88671875" style="228" customWidth="1"/>
    <col min="14074" max="14074" width="2.6640625" style="228" customWidth="1"/>
    <col min="14075" max="14075" width="57.6640625" style="228" customWidth="1"/>
    <col min="14076" max="14076" width="9.109375" style="228"/>
    <col min="14077" max="14077" width="9.33203125" style="228" customWidth="1"/>
    <col min="14078" max="14078" width="14.109375" style="228" customWidth="1"/>
    <col min="14079" max="14079" width="13.5546875" style="228" customWidth="1"/>
    <col min="14080" max="14080" width="9.109375" style="228"/>
    <col min="14081" max="14081" width="11.88671875" style="228" customWidth="1"/>
    <col min="14082" max="14082" width="10.33203125" style="228" customWidth="1"/>
    <col min="14083" max="14328" width="9.109375" style="228"/>
    <col min="14329" max="14329" width="6.88671875" style="228" customWidth="1"/>
    <col min="14330" max="14330" width="2.6640625" style="228" customWidth="1"/>
    <col min="14331" max="14331" width="57.6640625" style="228" customWidth="1"/>
    <col min="14332" max="14332" width="9.109375" style="228"/>
    <col min="14333" max="14333" width="9.33203125" style="228" customWidth="1"/>
    <col min="14334" max="14334" width="14.109375" style="228" customWidth="1"/>
    <col min="14335" max="14335" width="13.5546875" style="228" customWidth="1"/>
    <col min="14336" max="14336" width="9.109375" style="228"/>
    <col min="14337" max="14337" width="11.88671875" style="228" customWidth="1"/>
    <col min="14338" max="14338" width="10.33203125" style="228" customWidth="1"/>
    <col min="14339" max="14584" width="9.109375" style="228"/>
    <col min="14585" max="14585" width="6.88671875" style="228" customWidth="1"/>
    <col min="14586" max="14586" width="2.6640625" style="228" customWidth="1"/>
    <col min="14587" max="14587" width="57.6640625" style="228" customWidth="1"/>
    <col min="14588" max="14588" width="9.109375" style="228"/>
    <col min="14589" max="14589" width="9.33203125" style="228" customWidth="1"/>
    <col min="14590" max="14590" width="14.109375" style="228" customWidth="1"/>
    <col min="14591" max="14591" width="13.5546875" style="228" customWidth="1"/>
    <col min="14592" max="14592" width="9.109375" style="228"/>
    <col min="14593" max="14593" width="11.88671875" style="228" customWidth="1"/>
    <col min="14594" max="14594" width="10.33203125" style="228" customWidth="1"/>
    <col min="14595" max="14840" width="9.109375" style="228"/>
    <col min="14841" max="14841" width="6.88671875" style="228" customWidth="1"/>
    <col min="14842" max="14842" width="2.6640625" style="228" customWidth="1"/>
    <col min="14843" max="14843" width="57.6640625" style="228" customWidth="1"/>
    <col min="14844" max="14844" width="9.109375" style="228"/>
    <col min="14845" max="14845" width="9.33203125" style="228" customWidth="1"/>
    <col min="14846" max="14846" width="14.109375" style="228" customWidth="1"/>
    <col min="14847" max="14847" width="13.5546875" style="228" customWidth="1"/>
    <col min="14848" max="14848" width="9.109375" style="228"/>
    <col min="14849" max="14849" width="11.88671875" style="228" customWidth="1"/>
    <col min="14850" max="14850" width="10.33203125" style="228" customWidth="1"/>
    <col min="14851" max="15096" width="9.109375" style="228"/>
    <col min="15097" max="15097" width="6.88671875" style="228" customWidth="1"/>
    <col min="15098" max="15098" width="2.6640625" style="228" customWidth="1"/>
    <col min="15099" max="15099" width="57.6640625" style="228" customWidth="1"/>
    <col min="15100" max="15100" width="9.109375" style="228"/>
    <col min="15101" max="15101" width="9.33203125" style="228" customWidth="1"/>
    <col min="15102" max="15102" width="14.109375" style="228" customWidth="1"/>
    <col min="15103" max="15103" width="13.5546875" style="228" customWidth="1"/>
    <col min="15104" max="15104" width="9.109375" style="228"/>
    <col min="15105" max="15105" width="11.88671875" style="228" customWidth="1"/>
    <col min="15106" max="15106" width="10.33203125" style="228" customWidth="1"/>
    <col min="15107" max="15352" width="9.109375" style="228"/>
    <col min="15353" max="15353" width="6.88671875" style="228" customWidth="1"/>
    <col min="15354" max="15354" width="2.6640625" style="228" customWidth="1"/>
    <col min="15355" max="15355" width="57.6640625" style="228" customWidth="1"/>
    <col min="15356" max="15356" width="9.109375" style="228"/>
    <col min="15357" max="15357" width="9.33203125" style="228" customWidth="1"/>
    <col min="15358" max="15358" width="14.109375" style="228" customWidth="1"/>
    <col min="15359" max="15359" width="13.5546875" style="228" customWidth="1"/>
    <col min="15360" max="15360" width="9.109375" style="228"/>
    <col min="15361" max="15361" width="11.88671875" style="228" customWidth="1"/>
    <col min="15362" max="15362" width="10.33203125" style="228" customWidth="1"/>
    <col min="15363" max="15608" width="9.109375" style="228"/>
    <col min="15609" max="15609" width="6.88671875" style="228" customWidth="1"/>
    <col min="15610" max="15610" width="2.6640625" style="228" customWidth="1"/>
    <col min="15611" max="15611" width="57.6640625" style="228" customWidth="1"/>
    <col min="15612" max="15612" width="9.109375" style="228"/>
    <col min="15613" max="15613" width="9.33203125" style="228" customWidth="1"/>
    <col min="15614" max="15614" width="14.109375" style="228" customWidth="1"/>
    <col min="15615" max="15615" width="13.5546875" style="228" customWidth="1"/>
    <col min="15616" max="15616" width="9.109375" style="228"/>
    <col min="15617" max="15617" width="11.88671875" style="228" customWidth="1"/>
    <col min="15618" max="15618" width="10.33203125" style="228" customWidth="1"/>
    <col min="15619" max="15864" width="9.109375" style="228"/>
    <col min="15865" max="15865" width="6.88671875" style="228" customWidth="1"/>
    <col min="15866" max="15866" width="2.6640625" style="228" customWidth="1"/>
    <col min="15867" max="15867" width="57.6640625" style="228" customWidth="1"/>
    <col min="15868" max="15868" width="9.109375" style="228"/>
    <col min="15869" max="15869" width="9.33203125" style="228" customWidth="1"/>
    <col min="15870" max="15870" width="14.109375" style="228" customWidth="1"/>
    <col min="15871" max="15871" width="13.5546875" style="228" customWidth="1"/>
    <col min="15872" max="15872" width="9.109375" style="228"/>
    <col min="15873" max="15873" width="11.88671875" style="228" customWidth="1"/>
    <col min="15874" max="15874" width="10.33203125" style="228" customWidth="1"/>
    <col min="15875" max="16120" width="9.109375" style="228"/>
    <col min="16121" max="16121" width="6.88671875" style="228" customWidth="1"/>
    <col min="16122" max="16122" width="2.6640625" style="228" customWidth="1"/>
    <col min="16123" max="16123" width="57.6640625" style="228" customWidth="1"/>
    <col min="16124" max="16124" width="9.109375" style="228"/>
    <col min="16125" max="16125" width="9.33203125" style="228" customWidth="1"/>
    <col min="16126" max="16126" width="14.109375" style="228" customWidth="1"/>
    <col min="16127" max="16127" width="13.5546875" style="228" customWidth="1"/>
    <col min="16128" max="16128" width="9.109375" style="228"/>
    <col min="16129" max="16129" width="11.88671875" style="228" customWidth="1"/>
    <col min="16130" max="16130" width="10.33203125" style="228" customWidth="1"/>
    <col min="16131" max="16384" width="9.109375" style="228"/>
  </cols>
  <sheetData>
    <row r="1" spans="1:219" ht="12">
      <c r="A1" s="332" t="str">
        <f>'I. PERSIAPAN'!B1</f>
        <v>PROGRESS MINGGUAN</v>
      </c>
    </row>
    <row r="2" spans="1:219" ht="12">
      <c r="A2" s="332" t="str">
        <f>'I. PERSIAPAN'!B2</f>
        <v>PROYEK SHOWROOM &amp; WORKSHOP</v>
      </c>
    </row>
    <row r="3" spans="1:219" ht="12">
      <c r="A3" s="332" t="str">
        <f>'I. PERSIAPAN'!B3</f>
        <v>DAIHATSU Cabang BATAM-KEPULAUAN RIAU</v>
      </c>
    </row>
    <row r="4" spans="1:219" ht="12">
      <c r="A4" s="332" t="str">
        <f>'I. PERSIAPAN'!B4</f>
        <v xml:space="preserve">PT. ASTRA INTERNATIONAL Tbk </v>
      </c>
    </row>
    <row r="5" spans="1:219" ht="12">
      <c r="A5" s="332" t="str">
        <f>'I. PERSIAPAN'!B5</f>
        <v>PERIODE : 6- 18 April2026</v>
      </c>
    </row>
    <row r="6" spans="1:219" ht="12">
      <c r="A6" s="332" t="str">
        <f>'I. PERSIAPAN'!B6</f>
        <v>MINGGU KE 2 (Dua)</v>
      </c>
    </row>
    <row r="7" spans="1:219" ht="18" customHeight="1">
      <c r="A7" s="332"/>
      <c r="F7" s="2191"/>
      <c r="G7" s="2191"/>
    </row>
    <row r="8" spans="1:219" ht="15" customHeight="1">
      <c r="A8" s="2177" t="s">
        <v>93</v>
      </c>
      <c r="B8" s="2187" t="s">
        <v>740</v>
      </c>
      <c r="C8" s="2188"/>
      <c r="D8" s="2179" t="s">
        <v>741</v>
      </c>
      <c r="E8" s="2181" t="s">
        <v>742</v>
      </c>
      <c r="F8" s="478" t="s">
        <v>552</v>
      </c>
      <c r="G8" s="479" t="s">
        <v>743</v>
      </c>
      <c r="H8" s="2183" t="s">
        <v>14</v>
      </c>
      <c r="I8" s="2192" t="s">
        <v>64</v>
      </c>
      <c r="J8" s="2192"/>
      <c r="K8" s="2192"/>
      <c r="L8" s="2192" t="s">
        <v>16</v>
      </c>
      <c r="M8" s="2192"/>
      <c r="N8" s="2192"/>
      <c r="O8" s="397" t="s">
        <v>65</v>
      </c>
      <c r="P8" s="397"/>
      <c r="Q8" s="480"/>
      <c r="R8" s="2185" t="s">
        <v>18</v>
      </c>
    </row>
    <row r="9" spans="1:219" ht="15.6" customHeight="1">
      <c r="A9" s="2178"/>
      <c r="B9" s="2189"/>
      <c r="C9" s="2190"/>
      <c r="D9" s="2180"/>
      <c r="E9" s="2182"/>
      <c r="F9" s="481" t="s">
        <v>744</v>
      </c>
      <c r="G9" s="482" t="s">
        <v>552</v>
      </c>
      <c r="H9" s="2184"/>
      <c r="I9" s="398" t="s">
        <v>20</v>
      </c>
      <c r="J9" s="399" t="s">
        <v>21</v>
      </c>
      <c r="K9" s="400" t="s">
        <v>14</v>
      </c>
      <c r="L9" s="398" t="s">
        <v>20</v>
      </c>
      <c r="M9" s="401" t="s">
        <v>21</v>
      </c>
      <c r="N9" s="401" t="s">
        <v>14</v>
      </c>
      <c r="O9" s="402" t="s">
        <v>20</v>
      </c>
      <c r="P9" s="398" t="s">
        <v>21</v>
      </c>
      <c r="Q9" s="483" t="s">
        <v>14</v>
      </c>
      <c r="R9" s="2186"/>
    </row>
    <row r="10" spans="1:219">
      <c r="A10" s="345"/>
      <c r="B10" s="346"/>
      <c r="C10" s="347"/>
      <c r="D10" s="348"/>
      <c r="E10" s="349"/>
      <c r="F10" s="484"/>
      <c r="G10" s="351"/>
      <c r="H10" s="485"/>
      <c r="I10" s="351"/>
      <c r="J10" s="351"/>
      <c r="K10" s="351"/>
      <c r="L10" s="351"/>
      <c r="M10" s="351"/>
      <c r="N10" s="351"/>
      <c r="O10" s="351"/>
      <c r="P10" s="351"/>
      <c r="Q10" s="351"/>
      <c r="R10" s="351"/>
    </row>
    <row r="11" spans="1:219" ht="12">
      <c r="A11" s="352" t="s">
        <v>22</v>
      </c>
      <c r="B11" s="353" t="s">
        <v>29</v>
      </c>
      <c r="C11" s="354"/>
      <c r="D11" s="355"/>
      <c r="E11" s="356"/>
      <c r="F11" s="486"/>
      <c r="G11" s="358"/>
      <c r="H11" s="487"/>
      <c r="I11" s="358"/>
      <c r="J11" s="358"/>
      <c r="K11" s="358"/>
      <c r="L11" s="358"/>
      <c r="M11" s="358"/>
      <c r="N11" s="358"/>
      <c r="O11" s="358"/>
      <c r="P11" s="358"/>
      <c r="Q11" s="358"/>
      <c r="R11" s="358"/>
    </row>
    <row r="12" spans="1:219">
      <c r="A12" s="362"/>
      <c r="B12" s="363"/>
      <c r="C12" s="354"/>
      <c r="D12" s="355"/>
      <c r="E12" s="356"/>
      <c r="F12" s="486"/>
      <c r="G12" s="358"/>
      <c r="H12" s="487"/>
      <c r="I12" s="358"/>
      <c r="J12" s="358"/>
      <c r="K12" s="358"/>
      <c r="L12" s="358"/>
      <c r="M12" s="358"/>
      <c r="N12" s="358"/>
      <c r="O12" s="358"/>
      <c r="P12" s="358"/>
      <c r="Q12" s="358"/>
      <c r="R12" s="358"/>
    </row>
    <row r="13" spans="1:219" s="328" customFormat="1" ht="12">
      <c r="A13" s="352" t="s">
        <v>32</v>
      </c>
      <c r="B13" s="353" t="s">
        <v>745</v>
      </c>
      <c r="C13" s="354"/>
      <c r="D13" s="369"/>
      <c r="E13" s="355"/>
      <c r="F13" s="486"/>
      <c r="G13" s="358"/>
      <c r="H13" s="488"/>
      <c r="I13" s="360"/>
      <c r="J13" s="360"/>
      <c r="K13" s="360"/>
      <c r="L13" s="360"/>
      <c r="M13" s="360"/>
      <c r="N13" s="360"/>
      <c r="O13" s="360"/>
      <c r="P13" s="360"/>
      <c r="Q13" s="360"/>
      <c r="R13" s="360"/>
      <c r="S13" s="361"/>
      <c r="T13" s="361"/>
      <c r="U13" s="361"/>
      <c r="V13" s="361"/>
      <c r="W13" s="361"/>
      <c r="X13" s="361"/>
      <c r="Y13" s="361"/>
      <c r="Z13" s="361"/>
      <c r="AA13" s="361"/>
      <c r="AB13" s="361"/>
      <c r="AC13" s="361"/>
      <c r="AD13" s="361"/>
      <c r="AE13" s="361"/>
      <c r="AF13" s="361"/>
      <c r="AG13" s="361"/>
      <c r="AH13" s="361"/>
      <c r="AI13" s="361"/>
      <c r="AJ13" s="361"/>
      <c r="AK13" s="361"/>
      <c r="AL13" s="361"/>
      <c r="AM13" s="361"/>
      <c r="AN13" s="361"/>
      <c r="AO13" s="361"/>
      <c r="AP13" s="361"/>
      <c r="AQ13" s="361"/>
      <c r="AR13" s="361"/>
      <c r="AS13" s="361"/>
      <c r="AT13" s="361"/>
      <c r="AU13" s="361"/>
      <c r="AV13" s="361"/>
      <c r="AW13" s="361"/>
      <c r="AX13" s="361"/>
      <c r="AY13" s="361"/>
      <c r="AZ13" s="361"/>
      <c r="BA13" s="361"/>
      <c r="BB13" s="361"/>
      <c r="BC13" s="361"/>
      <c r="BD13" s="361"/>
      <c r="BE13" s="361"/>
      <c r="BF13" s="361"/>
      <c r="BG13" s="361"/>
      <c r="BH13" s="361"/>
      <c r="BI13" s="361"/>
      <c r="BJ13" s="361"/>
      <c r="BK13" s="361"/>
      <c r="BL13" s="361"/>
      <c r="BM13" s="361"/>
      <c r="BN13" s="361"/>
      <c r="BO13" s="361"/>
      <c r="BP13" s="361"/>
      <c r="BQ13" s="361"/>
      <c r="BR13" s="361"/>
      <c r="BS13" s="361"/>
      <c r="BT13" s="361"/>
      <c r="BU13" s="361"/>
      <c r="BV13" s="361"/>
      <c r="BW13" s="361"/>
      <c r="BX13" s="361"/>
      <c r="BY13" s="361"/>
      <c r="BZ13" s="361"/>
      <c r="CA13" s="361"/>
      <c r="CB13" s="361"/>
      <c r="CC13" s="361"/>
      <c r="CD13" s="361"/>
      <c r="CE13" s="361"/>
      <c r="CF13" s="361"/>
      <c r="CG13" s="361"/>
      <c r="CH13" s="361"/>
      <c r="CI13" s="361"/>
      <c r="CJ13" s="361"/>
      <c r="CK13" s="361"/>
      <c r="CL13" s="361"/>
      <c r="CM13" s="361"/>
      <c r="CN13" s="361"/>
      <c r="CO13" s="361"/>
      <c r="CP13" s="361"/>
      <c r="CQ13" s="361"/>
      <c r="CR13" s="361"/>
      <c r="CS13" s="361"/>
      <c r="CT13" s="361"/>
      <c r="CU13" s="361"/>
      <c r="CV13" s="361"/>
      <c r="CW13" s="361"/>
      <c r="CX13" s="361"/>
      <c r="CY13" s="361"/>
      <c r="CZ13" s="361"/>
      <c r="DA13" s="361"/>
      <c r="DB13" s="361"/>
      <c r="DC13" s="361"/>
      <c r="DD13" s="361"/>
      <c r="DE13" s="361"/>
      <c r="DF13" s="361"/>
      <c r="DG13" s="361"/>
      <c r="DH13" s="361"/>
      <c r="DI13" s="361"/>
      <c r="DJ13" s="361"/>
      <c r="DK13" s="361"/>
      <c r="DL13" s="361"/>
      <c r="DM13" s="361"/>
      <c r="DN13" s="361"/>
      <c r="DO13" s="361"/>
      <c r="DP13" s="361"/>
      <c r="DQ13" s="361"/>
      <c r="DR13" s="361"/>
      <c r="DS13" s="361"/>
      <c r="DT13" s="361"/>
      <c r="DU13" s="361"/>
      <c r="DV13" s="361"/>
      <c r="DW13" s="361"/>
      <c r="DX13" s="361"/>
      <c r="DY13" s="361"/>
      <c r="DZ13" s="361"/>
      <c r="EA13" s="361"/>
      <c r="EB13" s="361"/>
      <c r="EC13" s="361"/>
      <c r="ED13" s="361"/>
      <c r="EE13" s="361"/>
      <c r="EF13" s="361"/>
      <c r="EG13" s="361"/>
      <c r="EH13" s="361"/>
      <c r="EI13" s="361"/>
      <c r="EJ13" s="361"/>
      <c r="EK13" s="361"/>
      <c r="EL13" s="361"/>
      <c r="EM13" s="361"/>
      <c r="EN13" s="361"/>
      <c r="EO13" s="361"/>
      <c r="EP13" s="361"/>
      <c r="EQ13" s="361"/>
      <c r="ER13" s="361"/>
      <c r="ES13" s="361"/>
      <c r="ET13" s="361"/>
      <c r="EU13" s="361"/>
      <c r="EV13" s="361"/>
      <c r="EW13" s="361"/>
      <c r="EX13" s="361"/>
      <c r="EY13" s="361"/>
      <c r="EZ13" s="361"/>
      <c r="FA13" s="361"/>
      <c r="FB13" s="361"/>
      <c r="FC13" s="361"/>
      <c r="FD13" s="361"/>
      <c r="FE13" s="361"/>
      <c r="FF13" s="361"/>
      <c r="FG13" s="361"/>
      <c r="FH13" s="361"/>
      <c r="FI13" s="361"/>
      <c r="FJ13" s="361"/>
      <c r="FK13" s="361"/>
      <c r="FL13" s="361"/>
      <c r="FM13" s="361"/>
      <c r="FN13" s="361"/>
      <c r="FO13" s="361"/>
      <c r="FP13" s="361"/>
      <c r="FQ13" s="361"/>
      <c r="FR13" s="361"/>
      <c r="FS13" s="361"/>
      <c r="FT13" s="361"/>
      <c r="FU13" s="361"/>
      <c r="FV13" s="361"/>
      <c r="FW13" s="361"/>
      <c r="FX13" s="361"/>
      <c r="FY13" s="361"/>
      <c r="FZ13" s="361"/>
      <c r="GA13" s="361"/>
      <c r="GB13" s="361"/>
      <c r="GC13" s="361"/>
      <c r="GD13" s="361"/>
      <c r="GE13" s="361"/>
      <c r="GF13" s="361"/>
      <c r="GG13" s="361"/>
      <c r="GH13" s="361"/>
      <c r="GI13" s="361"/>
      <c r="GJ13" s="361"/>
      <c r="GK13" s="361"/>
      <c r="GL13" s="361"/>
      <c r="GM13" s="361"/>
      <c r="GN13" s="361"/>
      <c r="GO13" s="361"/>
      <c r="GP13" s="361"/>
      <c r="GQ13" s="361"/>
      <c r="GR13" s="361"/>
      <c r="GS13" s="361"/>
      <c r="GT13" s="361"/>
      <c r="GU13" s="361"/>
      <c r="GV13" s="361"/>
      <c r="GW13" s="361"/>
      <c r="GX13" s="361"/>
      <c r="GY13" s="361"/>
      <c r="GZ13" s="361"/>
      <c r="HA13" s="361"/>
      <c r="HB13" s="361"/>
      <c r="HC13" s="361"/>
      <c r="HD13" s="361"/>
      <c r="HE13" s="361"/>
      <c r="HF13" s="361"/>
      <c r="HG13" s="361"/>
      <c r="HH13" s="361"/>
      <c r="HI13" s="361"/>
      <c r="HJ13" s="361"/>
      <c r="HK13" s="361"/>
    </row>
    <row r="14" spans="1:219" s="328" customFormat="1">
      <c r="A14" s="362"/>
      <c r="B14" s="363" t="s">
        <v>746</v>
      </c>
      <c r="C14" s="354"/>
      <c r="D14" s="369"/>
      <c r="E14" s="355"/>
      <c r="F14" s="486"/>
      <c r="G14" s="358"/>
      <c r="H14" s="488"/>
      <c r="I14" s="360"/>
      <c r="J14" s="360"/>
      <c r="K14" s="360"/>
      <c r="L14" s="360"/>
      <c r="M14" s="360"/>
      <c r="N14" s="360"/>
      <c r="O14" s="360"/>
      <c r="P14" s="360"/>
      <c r="Q14" s="360"/>
      <c r="R14" s="360"/>
      <c r="S14" s="361"/>
      <c r="T14" s="361"/>
      <c r="U14" s="361"/>
      <c r="V14" s="361"/>
      <c r="W14" s="361"/>
      <c r="X14" s="361"/>
      <c r="Y14" s="361"/>
      <c r="Z14" s="361"/>
      <c r="AA14" s="361"/>
      <c r="AB14" s="361"/>
      <c r="AC14" s="361"/>
      <c r="AD14" s="361"/>
      <c r="AE14" s="361"/>
      <c r="AF14" s="361"/>
      <c r="AG14" s="361"/>
      <c r="AH14" s="361"/>
      <c r="AI14" s="361"/>
      <c r="AJ14" s="361"/>
      <c r="AK14" s="361"/>
      <c r="AL14" s="361"/>
      <c r="AM14" s="361"/>
      <c r="AN14" s="361"/>
      <c r="AO14" s="361"/>
      <c r="AP14" s="361"/>
      <c r="AQ14" s="361"/>
      <c r="AR14" s="361"/>
      <c r="AS14" s="361"/>
      <c r="AT14" s="361"/>
      <c r="AU14" s="361"/>
      <c r="AV14" s="361"/>
      <c r="AW14" s="361"/>
      <c r="AX14" s="361"/>
      <c r="AY14" s="361"/>
      <c r="AZ14" s="361"/>
      <c r="BA14" s="361"/>
      <c r="BB14" s="361"/>
      <c r="BC14" s="361"/>
      <c r="BD14" s="361"/>
      <c r="BE14" s="361"/>
      <c r="BF14" s="361"/>
      <c r="BG14" s="361"/>
      <c r="BH14" s="361"/>
      <c r="BI14" s="361"/>
      <c r="BJ14" s="361"/>
      <c r="BK14" s="361"/>
      <c r="BL14" s="361"/>
      <c r="BM14" s="361"/>
      <c r="BN14" s="361"/>
      <c r="BO14" s="361"/>
      <c r="BP14" s="361"/>
      <c r="BQ14" s="361"/>
      <c r="BR14" s="361"/>
      <c r="BS14" s="361"/>
      <c r="BT14" s="361"/>
      <c r="BU14" s="361"/>
      <c r="BV14" s="361"/>
      <c r="BW14" s="361"/>
      <c r="BX14" s="361"/>
      <c r="BY14" s="361"/>
      <c r="BZ14" s="361"/>
      <c r="CA14" s="361"/>
      <c r="CB14" s="361"/>
      <c r="CC14" s="361"/>
      <c r="CD14" s="361"/>
      <c r="CE14" s="361"/>
      <c r="CF14" s="361"/>
      <c r="CG14" s="361"/>
      <c r="CH14" s="361"/>
      <c r="CI14" s="361"/>
      <c r="CJ14" s="361"/>
      <c r="CK14" s="361"/>
      <c r="CL14" s="361"/>
      <c r="CM14" s="361"/>
      <c r="CN14" s="361"/>
      <c r="CO14" s="361"/>
      <c r="CP14" s="361"/>
      <c r="CQ14" s="361"/>
      <c r="CR14" s="361"/>
      <c r="CS14" s="361"/>
      <c r="CT14" s="361"/>
      <c r="CU14" s="361"/>
      <c r="CV14" s="361"/>
      <c r="CW14" s="361"/>
      <c r="CX14" s="361"/>
      <c r="CY14" s="361"/>
      <c r="CZ14" s="361"/>
      <c r="DA14" s="361"/>
      <c r="DB14" s="361"/>
      <c r="DC14" s="361"/>
      <c r="DD14" s="361"/>
      <c r="DE14" s="361"/>
      <c r="DF14" s="361"/>
      <c r="DG14" s="361"/>
      <c r="DH14" s="361"/>
      <c r="DI14" s="361"/>
      <c r="DJ14" s="361"/>
      <c r="DK14" s="361"/>
      <c r="DL14" s="361"/>
      <c r="DM14" s="361"/>
      <c r="DN14" s="361"/>
      <c r="DO14" s="361"/>
      <c r="DP14" s="361"/>
      <c r="DQ14" s="361"/>
      <c r="DR14" s="361"/>
      <c r="DS14" s="361"/>
      <c r="DT14" s="361"/>
      <c r="DU14" s="361"/>
      <c r="DV14" s="361"/>
      <c r="DW14" s="361"/>
      <c r="DX14" s="361"/>
      <c r="DY14" s="361"/>
      <c r="DZ14" s="361"/>
      <c r="EA14" s="361"/>
      <c r="EB14" s="361"/>
      <c r="EC14" s="361"/>
      <c r="ED14" s="361"/>
      <c r="EE14" s="361"/>
      <c r="EF14" s="361"/>
      <c r="EG14" s="361"/>
      <c r="EH14" s="361"/>
      <c r="EI14" s="361"/>
      <c r="EJ14" s="361"/>
      <c r="EK14" s="361"/>
      <c r="EL14" s="361"/>
      <c r="EM14" s="361"/>
      <c r="EN14" s="361"/>
      <c r="EO14" s="361"/>
      <c r="EP14" s="361"/>
      <c r="EQ14" s="361"/>
      <c r="ER14" s="361"/>
      <c r="ES14" s="361"/>
      <c r="ET14" s="361"/>
      <c r="EU14" s="361"/>
      <c r="EV14" s="361"/>
      <c r="EW14" s="361"/>
      <c r="EX14" s="361"/>
      <c r="EY14" s="361"/>
      <c r="EZ14" s="361"/>
      <c r="FA14" s="361"/>
      <c r="FB14" s="361"/>
      <c r="FC14" s="361"/>
      <c r="FD14" s="361"/>
      <c r="FE14" s="361"/>
      <c r="FF14" s="361"/>
      <c r="FG14" s="361"/>
      <c r="FH14" s="361"/>
      <c r="FI14" s="361"/>
      <c r="FJ14" s="361"/>
      <c r="FK14" s="361"/>
      <c r="FL14" s="361"/>
      <c r="FM14" s="361"/>
      <c r="FN14" s="361"/>
      <c r="FO14" s="361"/>
      <c r="FP14" s="361"/>
      <c r="FQ14" s="361"/>
      <c r="FR14" s="361"/>
      <c r="FS14" s="361"/>
      <c r="FT14" s="361"/>
      <c r="FU14" s="361"/>
      <c r="FV14" s="361"/>
      <c r="FW14" s="361"/>
      <c r="FX14" s="361"/>
      <c r="FY14" s="361"/>
      <c r="FZ14" s="361"/>
      <c r="GA14" s="361"/>
      <c r="GB14" s="361"/>
      <c r="GC14" s="361"/>
      <c r="GD14" s="361"/>
      <c r="GE14" s="361"/>
      <c r="GF14" s="361"/>
      <c r="GG14" s="361"/>
      <c r="GH14" s="361"/>
      <c r="GI14" s="361"/>
      <c r="GJ14" s="361"/>
      <c r="GK14" s="361"/>
      <c r="GL14" s="361"/>
      <c r="GM14" s="361"/>
      <c r="GN14" s="361"/>
      <c r="GO14" s="361"/>
      <c r="GP14" s="361"/>
      <c r="GQ14" s="361"/>
      <c r="GR14" s="361"/>
      <c r="GS14" s="361"/>
      <c r="GT14" s="361"/>
      <c r="GU14" s="361"/>
      <c r="GV14" s="361"/>
      <c r="GW14" s="361"/>
      <c r="GX14" s="361"/>
      <c r="GY14" s="361"/>
      <c r="GZ14" s="361"/>
      <c r="HA14" s="361"/>
      <c r="HB14" s="361"/>
      <c r="HC14" s="361"/>
      <c r="HD14" s="361"/>
      <c r="HE14" s="361"/>
      <c r="HF14" s="361"/>
      <c r="HG14" s="361"/>
      <c r="HH14" s="361"/>
      <c r="HI14" s="361"/>
      <c r="HJ14" s="361"/>
      <c r="HK14" s="361"/>
    </row>
    <row r="15" spans="1:219" s="328" customFormat="1" ht="13.8">
      <c r="A15" s="369"/>
      <c r="B15" s="371">
        <v>1</v>
      </c>
      <c r="C15" s="354" t="s">
        <v>747</v>
      </c>
      <c r="D15" s="355" t="s">
        <v>681</v>
      </c>
      <c r="E15" s="355">
        <v>87</v>
      </c>
      <c r="F15" s="377">
        <v>1726866.4072</v>
      </c>
      <c r="G15" s="368">
        <f>E15*F15</f>
        <v>150237377.42640001</v>
      </c>
      <c r="H15" s="374">
        <f>G15/'REKAP TOTAL'!F44</f>
        <v>1.2355971184616369E-2</v>
      </c>
      <c r="I15" s="360"/>
      <c r="J15" s="360"/>
      <c r="K15" s="360"/>
      <c r="L15" s="360"/>
      <c r="M15" s="360"/>
      <c r="N15" s="360"/>
      <c r="O15" s="360"/>
      <c r="P15" s="360"/>
      <c r="Q15" s="360"/>
      <c r="R15" s="360"/>
      <c r="S15" s="361"/>
      <c r="T15" s="361"/>
      <c r="U15" s="361"/>
      <c r="V15" s="361"/>
      <c r="W15" s="361"/>
      <c r="X15" s="361"/>
      <c r="Y15" s="361"/>
      <c r="Z15" s="361"/>
      <c r="AA15" s="361"/>
      <c r="AB15" s="361"/>
      <c r="AC15" s="361"/>
      <c r="AD15" s="361"/>
      <c r="AE15" s="361"/>
      <c r="AF15" s="361"/>
      <c r="AG15" s="361"/>
      <c r="AH15" s="361"/>
      <c r="AI15" s="361"/>
      <c r="AJ15" s="361"/>
      <c r="AK15" s="361"/>
      <c r="AL15" s="361"/>
      <c r="AM15" s="361"/>
      <c r="AN15" s="361"/>
      <c r="AO15" s="361"/>
      <c r="AP15" s="361"/>
      <c r="AQ15" s="361"/>
      <c r="AR15" s="361"/>
      <c r="AS15" s="361"/>
      <c r="AT15" s="361"/>
      <c r="AU15" s="361"/>
      <c r="AV15" s="361"/>
      <c r="AW15" s="361"/>
      <c r="AX15" s="361"/>
      <c r="AY15" s="361"/>
      <c r="AZ15" s="361"/>
      <c r="BA15" s="361"/>
      <c r="BB15" s="361"/>
      <c r="BC15" s="361"/>
      <c r="BD15" s="361"/>
      <c r="BE15" s="361"/>
      <c r="BF15" s="361"/>
      <c r="BG15" s="361"/>
      <c r="BH15" s="361"/>
      <c r="BI15" s="361"/>
      <c r="BJ15" s="361"/>
      <c r="BK15" s="361"/>
      <c r="BL15" s="361"/>
      <c r="BM15" s="361"/>
      <c r="BN15" s="361"/>
      <c r="BO15" s="361"/>
      <c r="BP15" s="361"/>
      <c r="BQ15" s="361"/>
      <c r="BR15" s="361"/>
      <c r="BS15" s="361"/>
      <c r="BT15" s="361"/>
      <c r="BU15" s="361"/>
      <c r="BV15" s="361"/>
      <c r="BW15" s="361"/>
      <c r="BX15" s="361"/>
      <c r="BY15" s="361"/>
      <c r="BZ15" s="361"/>
      <c r="CA15" s="361"/>
      <c r="CB15" s="361"/>
      <c r="CC15" s="361"/>
      <c r="CD15" s="361"/>
      <c r="CE15" s="361"/>
      <c r="CF15" s="361"/>
      <c r="CG15" s="361"/>
      <c r="CH15" s="361"/>
      <c r="CI15" s="361"/>
      <c r="CJ15" s="361"/>
      <c r="CK15" s="361"/>
      <c r="CL15" s="361"/>
      <c r="CM15" s="361"/>
      <c r="CN15" s="361"/>
      <c r="CO15" s="361"/>
      <c r="CP15" s="361"/>
      <c r="CQ15" s="361"/>
      <c r="CR15" s="361"/>
      <c r="CS15" s="361"/>
      <c r="CT15" s="361"/>
      <c r="CU15" s="361"/>
      <c r="CV15" s="361"/>
      <c r="CW15" s="361"/>
      <c r="CX15" s="361"/>
      <c r="CY15" s="361"/>
      <c r="CZ15" s="361"/>
      <c r="DA15" s="361"/>
      <c r="DB15" s="361"/>
      <c r="DC15" s="361"/>
      <c r="DD15" s="361"/>
      <c r="DE15" s="361"/>
      <c r="DF15" s="361"/>
      <c r="DG15" s="361"/>
      <c r="DH15" s="361"/>
      <c r="DI15" s="361"/>
      <c r="DJ15" s="361"/>
      <c r="DK15" s="361"/>
      <c r="DL15" s="361"/>
      <c r="DM15" s="361"/>
      <c r="DN15" s="361"/>
      <c r="DO15" s="361"/>
      <c r="DP15" s="361"/>
      <c r="DQ15" s="361"/>
      <c r="DR15" s="361"/>
      <c r="DS15" s="361"/>
      <c r="DT15" s="361"/>
      <c r="DU15" s="361"/>
      <c r="DV15" s="361"/>
      <c r="DW15" s="361"/>
      <c r="DX15" s="361"/>
      <c r="DY15" s="361"/>
      <c r="DZ15" s="361"/>
      <c r="EA15" s="361"/>
      <c r="EB15" s="361"/>
      <c r="EC15" s="361"/>
      <c r="ED15" s="361"/>
      <c r="EE15" s="361"/>
      <c r="EF15" s="361"/>
      <c r="EG15" s="361"/>
      <c r="EH15" s="361"/>
      <c r="EI15" s="361"/>
      <c r="EJ15" s="361"/>
      <c r="EK15" s="361"/>
      <c r="EL15" s="361"/>
      <c r="EM15" s="361"/>
      <c r="EN15" s="361"/>
      <c r="EO15" s="361"/>
      <c r="EP15" s="361"/>
      <c r="EQ15" s="361"/>
      <c r="ER15" s="361"/>
      <c r="ES15" s="361"/>
      <c r="ET15" s="361"/>
      <c r="EU15" s="361"/>
      <c r="EV15" s="361"/>
      <c r="EW15" s="361"/>
      <c r="EX15" s="361"/>
      <c r="EY15" s="361"/>
      <c r="EZ15" s="361"/>
      <c r="FA15" s="361"/>
      <c r="FB15" s="361"/>
      <c r="FC15" s="361"/>
      <c r="FD15" s="361"/>
      <c r="FE15" s="361"/>
      <c r="FF15" s="361"/>
      <c r="FG15" s="361"/>
      <c r="FH15" s="361"/>
      <c r="FI15" s="361"/>
      <c r="FJ15" s="361"/>
      <c r="FK15" s="361"/>
      <c r="FL15" s="361"/>
      <c r="FM15" s="361"/>
      <c r="FN15" s="361"/>
      <c r="FO15" s="361"/>
      <c r="FP15" s="361"/>
      <c r="FQ15" s="361"/>
      <c r="FR15" s="361"/>
      <c r="FS15" s="361"/>
      <c r="FT15" s="361"/>
      <c r="FU15" s="361"/>
      <c r="FV15" s="361"/>
      <c r="FW15" s="361"/>
      <c r="FX15" s="361"/>
      <c r="FY15" s="361"/>
      <c r="FZ15" s="361"/>
      <c r="GA15" s="361"/>
      <c r="GB15" s="361"/>
      <c r="GC15" s="361"/>
      <c r="GD15" s="361"/>
      <c r="GE15" s="361"/>
      <c r="GF15" s="361"/>
      <c r="GG15" s="361"/>
      <c r="GH15" s="361"/>
      <c r="GI15" s="361"/>
      <c r="GJ15" s="361"/>
      <c r="GK15" s="361"/>
      <c r="GL15" s="361"/>
      <c r="GM15" s="361"/>
      <c r="GN15" s="361"/>
      <c r="GO15" s="361"/>
      <c r="GP15" s="361"/>
      <c r="GQ15" s="361"/>
      <c r="GR15" s="361"/>
      <c r="GS15" s="361"/>
      <c r="GT15" s="361"/>
      <c r="GU15" s="361"/>
      <c r="GV15" s="361"/>
      <c r="GW15" s="361"/>
      <c r="GX15" s="361"/>
      <c r="GY15" s="361"/>
      <c r="GZ15" s="361"/>
      <c r="HA15" s="361"/>
      <c r="HB15" s="361"/>
      <c r="HC15" s="361"/>
      <c r="HD15" s="361"/>
      <c r="HE15" s="361"/>
      <c r="HF15" s="361"/>
      <c r="HG15" s="361"/>
      <c r="HH15" s="361"/>
      <c r="HI15" s="361"/>
      <c r="HJ15" s="361"/>
      <c r="HK15" s="361"/>
    </row>
    <row r="16" spans="1:219" s="328" customFormat="1">
      <c r="A16" s="369"/>
      <c r="B16" s="371"/>
      <c r="C16" s="354" t="s">
        <v>748</v>
      </c>
      <c r="D16" s="355"/>
      <c r="E16" s="355"/>
      <c r="F16" s="377"/>
      <c r="G16" s="368"/>
      <c r="H16" s="488"/>
      <c r="I16" s="360"/>
      <c r="J16" s="360"/>
      <c r="K16" s="360"/>
      <c r="L16" s="360"/>
      <c r="M16" s="360"/>
      <c r="N16" s="360"/>
      <c r="O16" s="360"/>
      <c r="P16" s="360"/>
      <c r="Q16" s="360"/>
      <c r="R16" s="360"/>
      <c r="S16" s="361"/>
      <c r="T16" s="361"/>
      <c r="U16" s="361"/>
      <c r="V16" s="361"/>
      <c r="W16" s="361"/>
      <c r="X16" s="361"/>
      <c r="Y16" s="361"/>
      <c r="Z16" s="361"/>
      <c r="AA16" s="361"/>
      <c r="AB16" s="361"/>
      <c r="AC16" s="361"/>
      <c r="AD16" s="361"/>
      <c r="AE16" s="361"/>
      <c r="AF16" s="361"/>
      <c r="AG16" s="361"/>
      <c r="AH16" s="361"/>
      <c r="AI16" s="361"/>
      <c r="AJ16" s="361"/>
      <c r="AK16" s="361"/>
      <c r="AL16" s="361"/>
      <c r="AM16" s="361"/>
      <c r="AN16" s="361"/>
      <c r="AO16" s="361"/>
      <c r="AP16" s="361"/>
      <c r="AQ16" s="361"/>
      <c r="AR16" s="361"/>
      <c r="AS16" s="361"/>
      <c r="AT16" s="361"/>
      <c r="AU16" s="361"/>
      <c r="AV16" s="361"/>
      <c r="AW16" s="361"/>
      <c r="AX16" s="361"/>
      <c r="AY16" s="361"/>
      <c r="AZ16" s="361"/>
      <c r="BA16" s="361"/>
      <c r="BB16" s="361"/>
      <c r="BC16" s="361"/>
      <c r="BD16" s="361"/>
      <c r="BE16" s="361"/>
      <c r="BF16" s="361"/>
      <c r="BG16" s="361"/>
      <c r="BH16" s="361"/>
      <c r="BI16" s="361"/>
      <c r="BJ16" s="361"/>
      <c r="BK16" s="361"/>
      <c r="BL16" s="361"/>
      <c r="BM16" s="361"/>
      <c r="BN16" s="361"/>
      <c r="BO16" s="361"/>
      <c r="BP16" s="361"/>
      <c r="BQ16" s="361"/>
      <c r="BR16" s="361"/>
      <c r="BS16" s="361"/>
      <c r="BT16" s="361"/>
      <c r="BU16" s="361"/>
      <c r="BV16" s="361"/>
      <c r="BW16" s="361"/>
      <c r="BX16" s="361"/>
      <c r="BY16" s="361"/>
      <c r="BZ16" s="361"/>
      <c r="CA16" s="361"/>
      <c r="CB16" s="361"/>
      <c r="CC16" s="361"/>
      <c r="CD16" s="361"/>
      <c r="CE16" s="361"/>
      <c r="CF16" s="361"/>
      <c r="CG16" s="361"/>
      <c r="CH16" s="361"/>
      <c r="CI16" s="361"/>
      <c r="CJ16" s="361"/>
      <c r="CK16" s="361"/>
      <c r="CL16" s="361"/>
      <c r="CM16" s="361"/>
      <c r="CN16" s="361"/>
      <c r="CO16" s="361"/>
      <c r="CP16" s="361"/>
      <c r="CQ16" s="361"/>
      <c r="CR16" s="361"/>
      <c r="CS16" s="361"/>
      <c r="CT16" s="361"/>
      <c r="CU16" s="361"/>
      <c r="CV16" s="361"/>
      <c r="CW16" s="361"/>
      <c r="CX16" s="361"/>
      <c r="CY16" s="361"/>
      <c r="CZ16" s="361"/>
      <c r="DA16" s="361"/>
      <c r="DB16" s="361"/>
      <c r="DC16" s="361"/>
      <c r="DD16" s="361"/>
      <c r="DE16" s="361"/>
      <c r="DF16" s="361"/>
      <c r="DG16" s="361"/>
      <c r="DH16" s="361"/>
      <c r="DI16" s="361"/>
      <c r="DJ16" s="361"/>
      <c r="DK16" s="361"/>
      <c r="DL16" s="361"/>
      <c r="DM16" s="361"/>
      <c r="DN16" s="361"/>
      <c r="DO16" s="361"/>
      <c r="DP16" s="361"/>
      <c r="DQ16" s="361"/>
      <c r="DR16" s="361"/>
      <c r="DS16" s="361"/>
      <c r="DT16" s="361"/>
      <c r="DU16" s="361"/>
      <c r="DV16" s="361"/>
      <c r="DW16" s="361"/>
      <c r="DX16" s="361"/>
      <c r="DY16" s="361"/>
      <c r="DZ16" s="361"/>
      <c r="EA16" s="361"/>
      <c r="EB16" s="361"/>
      <c r="EC16" s="361"/>
      <c r="ED16" s="361"/>
      <c r="EE16" s="361"/>
      <c r="EF16" s="361"/>
      <c r="EG16" s="361"/>
      <c r="EH16" s="361"/>
      <c r="EI16" s="361"/>
      <c r="EJ16" s="361"/>
      <c r="EK16" s="361"/>
      <c r="EL16" s="361"/>
      <c r="EM16" s="361"/>
      <c r="EN16" s="361"/>
      <c r="EO16" s="361"/>
      <c r="EP16" s="361"/>
      <c r="EQ16" s="361"/>
      <c r="ER16" s="361"/>
      <c r="ES16" s="361"/>
      <c r="ET16" s="361"/>
      <c r="EU16" s="361"/>
      <c r="EV16" s="361"/>
      <c r="EW16" s="361"/>
      <c r="EX16" s="361"/>
      <c r="EY16" s="361"/>
      <c r="EZ16" s="361"/>
      <c r="FA16" s="361"/>
      <c r="FB16" s="361"/>
      <c r="FC16" s="361"/>
      <c r="FD16" s="361"/>
      <c r="FE16" s="361"/>
      <c r="FF16" s="361"/>
      <c r="FG16" s="361"/>
      <c r="FH16" s="361"/>
      <c r="FI16" s="361"/>
      <c r="FJ16" s="361"/>
      <c r="FK16" s="361"/>
      <c r="FL16" s="361"/>
      <c r="FM16" s="361"/>
      <c r="FN16" s="361"/>
      <c r="FO16" s="361"/>
      <c r="FP16" s="361"/>
      <c r="FQ16" s="361"/>
      <c r="FR16" s="361"/>
      <c r="FS16" s="361"/>
      <c r="FT16" s="361"/>
      <c r="FU16" s="361"/>
      <c r="FV16" s="361"/>
      <c r="FW16" s="361"/>
      <c r="FX16" s="361"/>
      <c r="FY16" s="361"/>
      <c r="FZ16" s="361"/>
      <c r="GA16" s="361"/>
      <c r="GB16" s="361"/>
      <c r="GC16" s="361"/>
      <c r="GD16" s="361"/>
      <c r="GE16" s="361"/>
      <c r="GF16" s="361"/>
      <c r="GG16" s="361"/>
      <c r="GH16" s="361"/>
      <c r="GI16" s="361"/>
      <c r="GJ16" s="361"/>
      <c r="GK16" s="361"/>
      <c r="GL16" s="361"/>
      <c r="GM16" s="361"/>
      <c r="GN16" s="361"/>
      <c r="GO16" s="361"/>
      <c r="GP16" s="361"/>
      <c r="GQ16" s="361"/>
      <c r="GR16" s="361"/>
      <c r="GS16" s="361"/>
      <c r="GT16" s="361"/>
      <c r="GU16" s="361"/>
      <c r="GV16" s="361"/>
      <c r="GW16" s="361"/>
      <c r="GX16" s="361"/>
      <c r="GY16" s="361"/>
      <c r="GZ16" s="361"/>
      <c r="HA16" s="361"/>
      <c r="HB16" s="361"/>
      <c r="HC16" s="361"/>
      <c r="HD16" s="361"/>
      <c r="HE16" s="361"/>
      <c r="HF16" s="361"/>
      <c r="HG16" s="361"/>
      <c r="HH16" s="361"/>
      <c r="HI16" s="361"/>
      <c r="HJ16" s="361"/>
      <c r="HK16" s="361"/>
    </row>
    <row r="17" spans="1:219" s="328" customFormat="1">
      <c r="A17" s="369"/>
      <c r="B17" s="370"/>
      <c r="C17" s="354" t="s">
        <v>749</v>
      </c>
      <c r="D17" s="355"/>
      <c r="E17" s="355"/>
      <c r="F17" s="377"/>
      <c r="G17" s="368"/>
      <c r="H17" s="488"/>
      <c r="I17" s="360"/>
      <c r="J17" s="360"/>
      <c r="K17" s="360"/>
      <c r="L17" s="360"/>
      <c r="M17" s="360"/>
      <c r="N17" s="360"/>
      <c r="O17" s="360"/>
      <c r="P17" s="360"/>
      <c r="Q17" s="360"/>
      <c r="R17" s="360"/>
      <c r="S17" s="361"/>
      <c r="T17" s="361"/>
      <c r="U17" s="361"/>
      <c r="V17" s="361"/>
      <c r="W17" s="361"/>
      <c r="X17" s="361"/>
      <c r="Y17" s="361"/>
      <c r="Z17" s="361"/>
      <c r="AA17" s="361"/>
      <c r="AB17" s="361"/>
      <c r="AC17" s="361"/>
      <c r="AD17" s="361"/>
      <c r="AE17" s="361"/>
      <c r="AF17" s="361"/>
      <c r="AG17" s="361"/>
      <c r="AH17" s="361"/>
      <c r="AI17" s="361"/>
      <c r="AJ17" s="361"/>
      <c r="AK17" s="361"/>
      <c r="AL17" s="361"/>
      <c r="AM17" s="361"/>
      <c r="AN17" s="361"/>
      <c r="AO17" s="361"/>
      <c r="AP17" s="361"/>
      <c r="AQ17" s="361"/>
      <c r="AR17" s="361"/>
      <c r="AS17" s="361"/>
      <c r="AT17" s="361"/>
      <c r="AU17" s="361"/>
      <c r="AV17" s="361"/>
      <c r="AW17" s="361"/>
      <c r="AX17" s="361"/>
      <c r="AY17" s="361"/>
      <c r="AZ17" s="361"/>
      <c r="BA17" s="361"/>
      <c r="BB17" s="361"/>
      <c r="BC17" s="361"/>
      <c r="BD17" s="361"/>
      <c r="BE17" s="361"/>
      <c r="BF17" s="361"/>
      <c r="BG17" s="361"/>
      <c r="BH17" s="361"/>
      <c r="BI17" s="361"/>
      <c r="BJ17" s="361"/>
      <c r="BK17" s="361"/>
      <c r="BL17" s="361"/>
      <c r="BM17" s="361"/>
      <c r="BN17" s="361"/>
      <c r="BO17" s="361"/>
      <c r="BP17" s="361"/>
      <c r="BQ17" s="361"/>
      <c r="BR17" s="361"/>
      <c r="BS17" s="361"/>
      <c r="BT17" s="361"/>
      <c r="BU17" s="361"/>
      <c r="BV17" s="361"/>
      <c r="BW17" s="361"/>
      <c r="BX17" s="361"/>
      <c r="BY17" s="361"/>
      <c r="BZ17" s="361"/>
      <c r="CA17" s="361"/>
      <c r="CB17" s="361"/>
      <c r="CC17" s="361"/>
      <c r="CD17" s="361"/>
      <c r="CE17" s="361"/>
      <c r="CF17" s="361"/>
      <c r="CG17" s="361"/>
      <c r="CH17" s="361"/>
      <c r="CI17" s="361"/>
      <c r="CJ17" s="361"/>
      <c r="CK17" s="361"/>
      <c r="CL17" s="361"/>
      <c r="CM17" s="361"/>
      <c r="CN17" s="361"/>
      <c r="CO17" s="361"/>
      <c r="CP17" s="361"/>
      <c r="CQ17" s="361"/>
      <c r="CR17" s="361"/>
      <c r="CS17" s="361"/>
      <c r="CT17" s="361"/>
      <c r="CU17" s="361"/>
      <c r="CV17" s="361"/>
      <c r="CW17" s="361"/>
      <c r="CX17" s="361"/>
      <c r="CY17" s="361"/>
      <c r="CZ17" s="361"/>
      <c r="DA17" s="361"/>
      <c r="DB17" s="361"/>
      <c r="DC17" s="361"/>
      <c r="DD17" s="361"/>
      <c r="DE17" s="361"/>
      <c r="DF17" s="361"/>
      <c r="DG17" s="361"/>
      <c r="DH17" s="361"/>
      <c r="DI17" s="361"/>
      <c r="DJ17" s="361"/>
      <c r="DK17" s="361"/>
      <c r="DL17" s="361"/>
      <c r="DM17" s="361"/>
      <c r="DN17" s="361"/>
      <c r="DO17" s="361"/>
      <c r="DP17" s="361"/>
      <c r="DQ17" s="361"/>
      <c r="DR17" s="361"/>
      <c r="DS17" s="361"/>
      <c r="DT17" s="361"/>
      <c r="DU17" s="361"/>
      <c r="DV17" s="361"/>
      <c r="DW17" s="361"/>
      <c r="DX17" s="361"/>
      <c r="DY17" s="361"/>
      <c r="DZ17" s="361"/>
      <c r="EA17" s="361"/>
      <c r="EB17" s="361"/>
      <c r="EC17" s="361"/>
      <c r="ED17" s="361"/>
      <c r="EE17" s="361"/>
      <c r="EF17" s="361"/>
      <c r="EG17" s="361"/>
      <c r="EH17" s="361"/>
      <c r="EI17" s="361"/>
      <c r="EJ17" s="361"/>
      <c r="EK17" s="361"/>
      <c r="EL17" s="361"/>
      <c r="EM17" s="361"/>
      <c r="EN17" s="361"/>
      <c r="EO17" s="361"/>
      <c r="EP17" s="361"/>
      <c r="EQ17" s="361"/>
      <c r="ER17" s="361"/>
      <c r="ES17" s="361"/>
      <c r="ET17" s="361"/>
      <c r="EU17" s="361"/>
      <c r="EV17" s="361"/>
      <c r="EW17" s="361"/>
      <c r="EX17" s="361"/>
      <c r="EY17" s="361"/>
      <c r="EZ17" s="361"/>
      <c r="FA17" s="361"/>
      <c r="FB17" s="361"/>
      <c r="FC17" s="361"/>
      <c r="FD17" s="361"/>
      <c r="FE17" s="361"/>
      <c r="FF17" s="361"/>
      <c r="FG17" s="361"/>
      <c r="FH17" s="361"/>
      <c r="FI17" s="361"/>
      <c r="FJ17" s="361"/>
      <c r="FK17" s="361"/>
      <c r="FL17" s="361"/>
      <c r="FM17" s="361"/>
      <c r="FN17" s="361"/>
      <c r="FO17" s="361"/>
      <c r="FP17" s="361"/>
      <c r="FQ17" s="361"/>
      <c r="FR17" s="361"/>
      <c r="FS17" s="361"/>
      <c r="FT17" s="361"/>
      <c r="FU17" s="361"/>
      <c r="FV17" s="361"/>
      <c r="FW17" s="361"/>
      <c r="FX17" s="361"/>
      <c r="FY17" s="361"/>
      <c r="FZ17" s="361"/>
      <c r="GA17" s="361"/>
      <c r="GB17" s="361"/>
      <c r="GC17" s="361"/>
      <c r="GD17" s="361"/>
      <c r="GE17" s="361"/>
      <c r="GF17" s="361"/>
      <c r="GG17" s="361"/>
      <c r="GH17" s="361"/>
      <c r="GI17" s="361"/>
      <c r="GJ17" s="361"/>
      <c r="GK17" s="361"/>
      <c r="GL17" s="361"/>
      <c r="GM17" s="361"/>
      <c r="GN17" s="361"/>
      <c r="GO17" s="361"/>
      <c r="GP17" s="361"/>
      <c r="GQ17" s="361"/>
      <c r="GR17" s="361"/>
      <c r="GS17" s="361"/>
      <c r="GT17" s="361"/>
      <c r="GU17" s="361"/>
      <c r="GV17" s="361"/>
      <c r="GW17" s="361"/>
      <c r="GX17" s="361"/>
      <c r="GY17" s="361"/>
      <c r="GZ17" s="361"/>
      <c r="HA17" s="361"/>
      <c r="HB17" s="361"/>
      <c r="HC17" s="361"/>
      <c r="HD17" s="361"/>
      <c r="HE17" s="361"/>
      <c r="HF17" s="361"/>
      <c r="HG17" s="361"/>
      <c r="HH17" s="361"/>
      <c r="HI17" s="361"/>
      <c r="HJ17" s="361"/>
      <c r="HK17" s="361"/>
    </row>
    <row r="18" spans="1:219" s="328" customFormat="1">
      <c r="A18" s="369"/>
      <c r="B18" s="370"/>
      <c r="C18" s="354"/>
      <c r="D18" s="355"/>
      <c r="E18" s="355"/>
      <c r="F18" s="377"/>
      <c r="G18" s="368"/>
      <c r="H18" s="489"/>
      <c r="I18" s="372"/>
      <c r="J18" s="372"/>
      <c r="K18" s="372"/>
      <c r="L18" s="372"/>
      <c r="M18" s="372"/>
      <c r="N18" s="372"/>
      <c r="O18" s="372"/>
      <c r="P18" s="372"/>
      <c r="Q18" s="372"/>
      <c r="R18" s="372"/>
    </row>
    <row r="19" spans="1:219" s="328" customFormat="1" ht="13.8">
      <c r="A19" s="369"/>
      <c r="B19" s="371">
        <v>2</v>
      </c>
      <c r="C19" s="354" t="s">
        <v>750</v>
      </c>
      <c r="D19" s="355" t="s">
        <v>681</v>
      </c>
      <c r="E19" s="355">
        <v>10</v>
      </c>
      <c r="F19" s="377">
        <v>1726866.4072</v>
      </c>
      <c r="G19" s="368">
        <f>E19*F19</f>
        <v>17268664.072000001</v>
      </c>
      <c r="H19" s="374">
        <f>G19/'REKAP TOTAL'!F44</f>
        <v>1.4202265729444104E-3</v>
      </c>
      <c r="I19" s="372"/>
      <c r="J19" s="372"/>
      <c r="K19" s="372"/>
      <c r="L19" s="372"/>
      <c r="M19" s="372"/>
      <c r="N19" s="372"/>
      <c r="O19" s="372"/>
      <c r="P19" s="372"/>
      <c r="Q19" s="372"/>
      <c r="R19" s="372"/>
    </row>
    <row r="20" spans="1:219" s="328" customFormat="1">
      <c r="A20" s="369"/>
      <c r="B20" s="371"/>
      <c r="C20" s="354" t="s">
        <v>748</v>
      </c>
      <c r="D20" s="355"/>
      <c r="E20" s="355"/>
      <c r="F20" s="367"/>
      <c r="G20" s="368"/>
      <c r="H20" s="489"/>
      <c r="I20" s="372"/>
      <c r="J20" s="372"/>
      <c r="K20" s="372"/>
      <c r="L20" s="372"/>
      <c r="M20" s="372"/>
      <c r="N20" s="372"/>
      <c r="O20" s="372"/>
      <c r="P20" s="372"/>
      <c r="Q20" s="372"/>
      <c r="R20" s="372"/>
    </row>
    <row r="21" spans="1:219" s="328" customFormat="1">
      <c r="A21" s="369"/>
      <c r="B21" s="370"/>
      <c r="C21" s="354" t="s">
        <v>749</v>
      </c>
      <c r="D21" s="355"/>
      <c r="E21" s="355"/>
      <c r="F21" s="367"/>
      <c r="G21" s="368"/>
      <c r="H21" s="489"/>
      <c r="I21" s="372"/>
      <c r="J21" s="372"/>
      <c r="K21" s="372"/>
      <c r="L21" s="372"/>
      <c r="M21" s="372"/>
      <c r="N21" s="372"/>
      <c r="O21" s="372"/>
      <c r="P21" s="372"/>
      <c r="Q21" s="372"/>
      <c r="R21" s="372"/>
    </row>
    <row r="22" spans="1:219" s="328" customFormat="1">
      <c r="A22" s="369"/>
      <c r="B22" s="370"/>
      <c r="C22" s="354"/>
      <c r="D22" s="355"/>
      <c r="E22" s="355"/>
      <c r="F22" s="367"/>
      <c r="G22" s="368"/>
      <c r="H22" s="489"/>
      <c r="I22" s="372"/>
      <c r="J22" s="372"/>
      <c r="K22" s="372"/>
      <c r="L22" s="372"/>
      <c r="M22" s="372"/>
      <c r="N22" s="372"/>
      <c r="O22" s="372"/>
      <c r="P22" s="372"/>
      <c r="Q22" s="372"/>
      <c r="R22" s="372"/>
    </row>
    <row r="23" spans="1:219" s="328" customFormat="1" ht="13.8">
      <c r="A23" s="369"/>
      <c r="B23" s="371">
        <v>3</v>
      </c>
      <c r="C23" s="354" t="s">
        <v>751</v>
      </c>
      <c r="D23" s="355" t="s">
        <v>681</v>
      </c>
      <c r="E23" s="355">
        <v>12</v>
      </c>
      <c r="F23" s="377">
        <v>1726866.4072</v>
      </c>
      <c r="G23" s="368">
        <f>E23*F23</f>
        <v>20722396.886399999</v>
      </c>
      <c r="H23" s="374">
        <f>G23/'REKAP TOTAL'!F44</f>
        <v>1.7042718875332923E-3</v>
      </c>
      <c r="I23" s="372"/>
      <c r="J23" s="372"/>
      <c r="K23" s="372"/>
      <c r="L23" s="372"/>
      <c r="M23" s="372"/>
      <c r="N23" s="372"/>
      <c r="O23" s="372"/>
      <c r="P23" s="372"/>
      <c r="Q23" s="372"/>
      <c r="R23" s="372"/>
    </row>
    <row r="24" spans="1:219" s="328" customFormat="1">
      <c r="A24" s="369"/>
      <c r="B24" s="370"/>
      <c r="C24" s="354" t="s">
        <v>748</v>
      </c>
      <c r="D24" s="355"/>
      <c r="E24" s="355"/>
      <c r="F24" s="367"/>
      <c r="G24" s="368"/>
      <c r="H24" s="489"/>
      <c r="I24" s="372"/>
      <c r="J24" s="372"/>
      <c r="K24" s="372"/>
      <c r="L24" s="372"/>
      <c r="M24" s="372"/>
      <c r="N24" s="372"/>
      <c r="O24" s="372"/>
      <c r="P24" s="372"/>
      <c r="Q24" s="372"/>
      <c r="R24" s="372"/>
    </row>
    <row r="25" spans="1:219" s="328" customFormat="1">
      <c r="A25" s="369"/>
      <c r="B25" s="370"/>
      <c r="C25" s="354"/>
      <c r="D25" s="355"/>
      <c r="E25" s="355"/>
      <c r="F25" s="367"/>
      <c r="G25" s="368"/>
      <c r="H25" s="489"/>
      <c r="I25" s="372"/>
      <c r="J25" s="372"/>
      <c r="K25" s="372"/>
      <c r="L25" s="372"/>
      <c r="M25" s="372"/>
      <c r="N25" s="372"/>
      <c r="O25" s="372"/>
      <c r="P25" s="372"/>
      <c r="Q25" s="372"/>
      <c r="R25" s="372"/>
    </row>
    <row r="26" spans="1:219" s="328" customFormat="1" ht="13.8">
      <c r="A26" s="369"/>
      <c r="B26" s="371">
        <v>4</v>
      </c>
      <c r="C26" s="354" t="s">
        <v>752</v>
      </c>
      <c r="D26" s="355" t="s">
        <v>623</v>
      </c>
      <c r="E26" s="355">
        <v>1</v>
      </c>
      <c r="F26" s="377">
        <v>13180500</v>
      </c>
      <c r="G26" s="368">
        <f>E26*F26</f>
        <v>13180500</v>
      </c>
      <c r="H26" s="374">
        <f>G26/'REKAP TOTAL'!F44</f>
        <v>1.0840037345474745E-3</v>
      </c>
      <c r="I26" s="372"/>
      <c r="J26" s="372"/>
      <c r="K26" s="372"/>
      <c r="L26" s="372"/>
      <c r="M26" s="372"/>
      <c r="N26" s="372"/>
      <c r="O26" s="372"/>
      <c r="P26" s="372"/>
      <c r="Q26" s="372"/>
      <c r="R26" s="372"/>
    </row>
    <row r="27" spans="1:219" s="328" customFormat="1">
      <c r="A27" s="369"/>
      <c r="B27" s="371"/>
      <c r="C27" s="354"/>
      <c r="D27" s="355"/>
      <c r="E27" s="355"/>
      <c r="F27" s="367"/>
      <c r="G27" s="368"/>
      <c r="H27" s="489"/>
      <c r="I27" s="372"/>
      <c r="J27" s="372"/>
      <c r="K27" s="372"/>
      <c r="L27" s="372"/>
      <c r="M27" s="372"/>
      <c r="N27" s="372"/>
      <c r="O27" s="372"/>
      <c r="P27" s="372"/>
      <c r="Q27" s="372"/>
      <c r="R27" s="372"/>
    </row>
    <row r="28" spans="1:219" s="328" customFormat="1" ht="12">
      <c r="A28" s="352" t="s">
        <v>34</v>
      </c>
      <c r="B28" s="353" t="s">
        <v>753</v>
      </c>
      <c r="C28" s="366"/>
      <c r="D28" s="369"/>
      <c r="E28" s="355"/>
      <c r="F28" s="367"/>
      <c r="G28" s="368"/>
      <c r="H28" s="489"/>
      <c r="I28" s="372"/>
      <c r="J28" s="372"/>
      <c r="K28" s="372"/>
      <c r="L28" s="372"/>
      <c r="M28" s="372"/>
      <c r="N28" s="372"/>
      <c r="O28" s="372"/>
      <c r="P28" s="372"/>
      <c r="Q28" s="372"/>
      <c r="R28" s="372"/>
    </row>
    <row r="29" spans="1:219" s="328" customFormat="1">
      <c r="A29" s="362"/>
      <c r="B29" s="490" t="s">
        <v>754</v>
      </c>
      <c r="C29" s="354"/>
      <c r="D29" s="355"/>
      <c r="E29" s="355"/>
      <c r="F29" s="367"/>
      <c r="G29" s="368"/>
      <c r="H29" s="489"/>
      <c r="I29" s="372"/>
      <c r="J29" s="372"/>
      <c r="K29" s="372"/>
      <c r="L29" s="372"/>
      <c r="M29" s="372"/>
      <c r="N29" s="372"/>
      <c r="O29" s="372"/>
      <c r="P29" s="372"/>
      <c r="Q29" s="372"/>
      <c r="R29" s="372"/>
    </row>
    <row r="30" spans="1:219" s="328" customFormat="1">
      <c r="A30" s="362"/>
      <c r="B30" s="490" t="s">
        <v>755</v>
      </c>
      <c r="C30" s="354"/>
      <c r="D30" s="355"/>
      <c r="E30" s="355"/>
      <c r="F30" s="367"/>
      <c r="G30" s="368"/>
      <c r="H30" s="489"/>
      <c r="I30" s="372"/>
      <c r="J30" s="372"/>
      <c r="K30" s="372"/>
      <c r="L30" s="372"/>
      <c r="M30" s="372"/>
      <c r="N30" s="372"/>
      <c r="O30" s="372"/>
      <c r="P30" s="372"/>
      <c r="Q30" s="372"/>
      <c r="R30" s="372"/>
    </row>
    <row r="31" spans="1:219" s="328" customFormat="1">
      <c r="A31" s="362"/>
      <c r="B31" s="490" t="s">
        <v>756</v>
      </c>
      <c r="C31" s="354"/>
      <c r="D31" s="355"/>
      <c r="E31" s="355"/>
      <c r="F31" s="367"/>
      <c r="G31" s="368"/>
      <c r="H31" s="489"/>
      <c r="I31" s="372"/>
      <c r="J31" s="372"/>
      <c r="K31" s="372"/>
      <c r="L31" s="372"/>
      <c r="M31" s="372"/>
      <c r="N31" s="372"/>
      <c r="O31" s="372"/>
      <c r="P31" s="372"/>
      <c r="Q31" s="372"/>
      <c r="R31" s="372"/>
    </row>
    <row r="32" spans="1:219" s="328" customFormat="1">
      <c r="A32" s="362"/>
      <c r="B32" s="490" t="s">
        <v>757</v>
      </c>
      <c r="C32" s="354"/>
      <c r="D32" s="355"/>
      <c r="E32" s="355"/>
      <c r="F32" s="367"/>
      <c r="G32" s="368"/>
      <c r="H32" s="489"/>
      <c r="I32" s="372"/>
      <c r="J32" s="372"/>
      <c r="K32" s="372"/>
      <c r="L32" s="372"/>
      <c r="M32" s="372"/>
      <c r="N32" s="372"/>
      <c r="O32" s="372"/>
      <c r="P32" s="372"/>
      <c r="Q32" s="372"/>
      <c r="R32" s="372"/>
    </row>
    <row r="33" spans="1:219" s="328" customFormat="1">
      <c r="A33" s="362"/>
      <c r="B33" s="490" t="s">
        <v>758</v>
      </c>
      <c r="C33" s="354"/>
      <c r="D33" s="355"/>
      <c r="E33" s="355"/>
      <c r="F33" s="367"/>
      <c r="G33" s="368"/>
      <c r="H33" s="489"/>
      <c r="I33" s="372"/>
      <c r="J33" s="372"/>
      <c r="K33" s="372"/>
      <c r="L33" s="372"/>
      <c r="M33" s="372"/>
      <c r="N33" s="372"/>
      <c r="O33" s="372"/>
      <c r="P33" s="372"/>
      <c r="Q33" s="372"/>
      <c r="R33" s="372"/>
    </row>
    <row r="34" spans="1:219" s="328" customFormat="1">
      <c r="A34" s="362"/>
      <c r="B34" s="490"/>
      <c r="C34" s="354"/>
      <c r="D34" s="355"/>
      <c r="E34" s="355"/>
      <c r="F34" s="367"/>
      <c r="G34" s="368"/>
      <c r="H34" s="489"/>
      <c r="I34" s="372"/>
      <c r="J34" s="372"/>
      <c r="K34" s="372"/>
      <c r="L34" s="372"/>
      <c r="M34" s="372"/>
      <c r="N34" s="372"/>
      <c r="O34" s="372"/>
      <c r="P34" s="372"/>
      <c r="Q34" s="372"/>
      <c r="R34" s="372"/>
    </row>
    <row r="35" spans="1:219" s="328" customFormat="1">
      <c r="A35" s="362"/>
      <c r="B35" s="363" t="s">
        <v>759</v>
      </c>
      <c r="C35" s="354"/>
      <c r="D35" s="355"/>
      <c r="E35" s="355"/>
      <c r="F35" s="367"/>
      <c r="G35" s="368"/>
      <c r="H35" s="489"/>
      <c r="I35" s="372"/>
      <c r="J35" s="372"/>
      <c r="K35" s="372"/>
      <c r="L35" s="372"/>
      <c r="M35" s="372"/>
      <c r="N35" s="372"/>
      <c r="O35" s="372"/>
      <c r="P35" s="372"/>
      <c r="Q35" s="372"/>
      <c r="R35" s="372"/>
    </row>
    <row r="36" spans="1:219" s="328" customFormat="1">
      <c r="A36" s="362"/>
      <c r="B36" s="363" t="s">
        <v>760</v>
      </c>
      <c r="C36" s="354"/>
      <c r="D36" s="355"/>
      <c r="E36" s="355"/>
      <c r="F36" s="367"/>
      <c r="G36" s="368"/>
      <c r="H36" s="489"/>
      <c r="I36" s="372"/>
      <c r="J36" s="372"/>
      <c r="K36" s="372"/>
      <c r="L36" s="372"/>
      <c r="M36" s="372"/>
      <c r="N36" s="372"/>
      <c r="O36" s="372"/>
      <c r="P36" s="372"/>
      <c r="Q36" s="372"/>
      <c r="R36" s="372"/>
    </row>
    <row r="37" spans="1:219" s="328" customFormat="1">
      <c r="A37" s="362"/>
      <c r="B37" s="363"/>
      <c r="C37" s="354"/>
      <c r="D37" s="355"/>
      <c r="E37" s="355"/>
      <c r="F37" s="367"/>
      <c r="G37" s="368"/>
      <c r="H37" s="489"/>
      <c r="I37" s="372"/>
      <c r="J37" s="372"/>
      <c r="K37" s="372"/>
      <c r="L37" s="372"/>
      <c r="M37" s="372"/>
      <c r="N37" s="372"/>
      <c r="O37" s="372"/>
      <c r="P37" s="372"/>
      <c r="Q37" s="372"/>
      <c r="R37" s="372"/>
    </row>
    <row r="38" spans="1:219" s="328" customFormat="1" ht="13.8">
      <c r="A38" s="362"/>
      <c r="B38" s="2060" t="s">
        <v>761</v>
      </c>
      <c r="C38" s="354"/>
      <c r="D38" s="355" t="s">
        <v>135</v>
      </c>
      <c r="E38" s="355">
        <v>1</v>
      </c>
      <c r="F38" s="367">
        <v>28280000</v>
      </c>
      <c r="G38" s="368">
        <f>E38*F38</f>
        <v>28280000</v>
      </c>
      <c r="H38" s="374">
        <f>G38/'REKAP TOTAL'!F44</f>
        <v>2.3258317676114397E-3</v>
      </c>
      <c r="I38" s="372"/>
      <c r="J38" s="372"/>
      <c r="K38" s="372"/>
      <c r="L38" s="372"/>
      <c r="M38" s="372"/>
      <c r="N38" s="372"/>
      <c r="O38" s="372"/>
      <c r="P38" s="372"/>
      <c r="Q38" s="372"/>
      <c r="R38" s="372"/>
    </row>
    <row r="39" spans="1:219" s="328" customFormat="1">
      <c r="A39" s="369"/>
      <c r="B39" s="371"/>
      <c r="C39" s="354"/>
      <c r="D39" s="355"/>
      <c r="E39" s="355"/>
      <c r="F39" s="367"/>
      <c r="G39" s="368"/>
      <c r="H39" s="489"/>
      <c r="I39" s="372"/>
      <c r="J39" s="372"/>
      <c r="K39" s="372"/>
      <c r="L39" s="372"/>
      <c r="M39" s="372"/>
      <c r="N39" s="372"/>
      <c r="O39" s="372"/>
      <c r="P39" s="372"/>
      <c r="Q39" s="372"/>
      <c r="R39" s="372"/>
    </row>
    <row r="40" spans="1:219" ht="12">
      <c r="A40" s="364" t="s">
        <v>34</v>
      </c>
      <c r="B40" s="365" t="s">
        <v>762</v>
      </c>
      <c r="C40" s="491"/>
      <c r="D40" s="355" t="s">
        <v>623</v>
      </c>
      <c r="E40" s="355">
        <v>1</v>
      </c>
      <c r="F40" s="492" t="s">
        <v>763</v>
      </c>
      <c r="G40" s="368" t="s">
        <v>763</v>
      </c>
      <c r="H40" s="493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228"/>
      <c r="T40" s="228"/>
      <c r="U40" s="228"/>
      <c r="V40" s="228"/>
      <c r="W40" s="228"/>
      <c r="X40" s="228"/>
      <c r="Y40" s="228"/>
      <c r="Z40" s="228"/>
      <c r="AA40" s="228"/>
      <c r="AB40" s="228"/>
      <c r="AC40" s="228"/>
      <c r="AD40" s="228"/>
      <c r="AE40" s="228"/>
      <c r="AF40" s="228"/>
      <c r="AG40" s="228"/>
      <c r="AH40" s="228"/>
      <c r="AI40" s="228"/>
      <c r="AJ40" s="228"/>
      <c r="AK40" s="228"/>
      <c r="AL40" s="228"/>
      <c r="AM40" s="228"/>
      <c r="AN40" s="228"/>
      <c r="AO40" s="228"/>
      <c r="AP40" s="228"/>
      <c r="AQ40" s="228"/>
      <c r="AR40" s="228"/>
      <c r="AS40" s="228"/>
      <c r="AT40" s="228"/>
      <c r="AU40" s="228"/>
      <c r="AV40" s="228"/>
      <c r="AW40" s="228"/>
      <c r="AX40" s="228"/>
      <c r="AY40" s="228"/>
      <c r="AZ40" s="228"/>
      <c r="BA40" s="228"/>
      <c r="BB40" s="228"/>
      <c r="BC40" s="228"/>
      <c r="BD40" s="228"/>
      <c r="BE40" s="228"/>
      <c r="BF40" s="228"/>
      <c r="BG40" s="228"/>
      <c r="BH40" s="228"/>
      <c r="BI40" s="228"/>
      <c r="BJ40" s="228"/>
      <c r="BK40" s="228"/>
      <c r="BL40" s="228"/>
      <c r="BM40" s="228"/>
      <c r="BN40" s="228"/>
      <c r="BO40" s="228"/>
      <c r="BP40" s="228"/>
      <c r="BQ40" s="228"/>
      <c r="BR40" s="228"/>
      <c r="BS40" s="228"/>
      <c r="BT40" s="228"/>
      <c r="BU40" s="228"/>
      <c r="BV40" s="228"/>
      <c r="BW40" s="228"/>
      <c r="BX40" s="228"/>
      <c r="BY40" s="228"/>
      <c r="BZ40" s="228"/>
      <c r="CA40" s="228"/>
      <c r="CB40" s="228"/>
      <c r="CC40" s="228"/>
      <c r="CD40" s="228"/>
      <c r="CE40" s="228"/>
      <c r="CF40" s="228"/>
      <c r="CG40" s="228"/>
      <c r="CH40" s="228"/>
      <c r="CI40" s="228"/>
      <c r="CJ40" s="228"/>
      <c r="CK40" s="228"/>
      <c r="CL40" s="228"/>
      <c r="CM40" s="228"/>
      <c r="CN40" s="228"/>
      <c r="CO40" s="228"/>
      <c r="CP40" s="228"/>
      <c r="CQ40" s="228"/>
      <c r="CR40" s="228"/>
      <c r="CS40" s="228"/>
      <c r="CT40" s="228"/>
      <c r="CU40" s="228"/>
      <c r="CV40" s="228"/>
      <c r="CW40" s="228"/>
      <c r="CX40" s="228"/>
      <c r="CY40" s="228"/>
      <c r="CZ40" s="228"/>
      <c r="DA40" s="228"/>
      <c r="DB40" s="228"/>
      <c r="DC40" s="228"/>
      <c r="DD40" s="228"/>
      <c r="DE40" s="228"/>
      <c r="DF40" s="228"/>
      <c r="DG40" s="228"/>
      <c r="DH40" s="228"/>
      <c r="DI40" s="228"/>
      <c r="DJ40" s="228"/>
      <c r="DK40" s="228"/>
      <c r="DL40" s="228"/>
      <c r="DM40" s="228"/>
      <c r="DN40" s="228"/>
      <c r="DO40" s="228"/>
      <c r="DP40" s="228"/>
      <c r="DQ40" s="228"/>
      <c r="DR40" s="228"/>
      <c r="DS40" s="228"/>
      <c r="DT40" s="228"/>
      <c r="DU40" s="228"/>
      <c r="DV40" s="228"/>
      <c r="DW40" s="228"/>
      <c r="DX40" s="228"/>
      <c r="DY40" s="228"/>
      <c r="DZ40" s="228"/>
      <c r="EA40" s="228"/>
      <c r="EB40" s="228"/>
      <c r="EC40" s="228"/>
      <c r="ED40" s="228"/>
      <c r="EE40" s="228"/>
      <c r="EF40" s="228"/>
      <c r="EG40" s="228"/>
      <c r="EH40" s="228"/>
      <c r="EI40" s="228"/>
      <c r="EJ40" s="228"/>
      <c r="EK40" s="228"/>
      <c r="EL40" s="228"/>
      <c r="EM40" s="228"/>
      <c r="EN40" s="228"/>
      <c r="EO40" s="228"/>
      <c r="EP40" s="228"/>
      <c r="EQ40" s="228"/>
      <c r="ER40" s="228"/>
      <c r="ES40" s="228"/>
      <c r="ET40" s="228"/>
      <c r="EU40" s="228"/>
      <c r="EV40" s="228"/>
      <c r="EW40" s="228"/>
      <c r="EX40" s="228"/>
      <c r="EY40" s="228"/>
      <c r="EZ40" s="228"/>
      <c r="FA40" s="228"/>
      <c r="FB40" s="228"/>
      <c r="FC40" s="228"/>
      <c r="FD40" s="228"/>
      <c r="FE40" s="228"/>
      <c r="FF40" s="228"/>
      <c r="FG40" s="228"/>
      <c r="FH40" s="228"/>
      <c r="FI40" s="228"/>
      <c r="FJ40" s="228"/>
      <c r="FK40" s="228"/>
      <c r="FL40" s="228"/>
      <c r="FM40" s="228"/>
      <c r="FN40" s="228"/>
      <c r="FO40" s="228"/>
      <c r="FP40" s="228"/>
      <c r="FQ40" s="228"/>
      <c r="FR40" s="228"/>
      <c r="FS40" s="228"/>
      <c r="FT40" s="228"/>
      <c r="FU40" s="228"/>
      <c r="FV40" s="228"/>
      <c r="FW40" s="228"/>
      <c r="FX40" s="228"/>
      <c r="FY40" s="228"/>
      <c r="FZ40" s="228"/>
      <c r="GA40" s="228"/>
      <c r="GB40" s="228"/>
      <c r="GC40" s="228"/>
      <c r="GD40" s="228"/>
      <c r="GE40" s="228"/>
      <c r="GF40" s="228"/>
      <c r="GG40" s="228"/>
      <c r="GH40" s="228"/>
      <c r="GI40" s="228"/>
      <c r="GJ40" s="228"/>
      <c r="GK40" s="228"/>
      <c r="GL40" s="228"/>
      <c r="GM40" s="228"/>
      <c r="GN40" s="228"/>
      <c r="GO40" s="228"/>
      <c r="GP40" s="228"/>
      <c r="GQ40" s="228"/>
      <c r="GR40" s="228"/>
      <c r="GS40" s="228"/>
      <c r="GT40" s="228"/>
      <c r="GU40" s="228"/>
      <c r="GV40" s="228"/>
      <c r="GW40" s="228"/>
      <c r="GX40" s="228"/>
      <c r="GY40" s="228"/>
      <c r="GZ40" s="228"/>
      <c r="HA40" s="228"/>
      <c r="HB40" s="228"/>
      <c r="HC40" s="228"/>
      <c r="HD40" s="228"/>
      <c r="HE40" s="228"/>
      <c r="HF40" s="228"/>
      <c r="HG40" s="228"/>
      <c r="HH40" s="228"/>
      <c r="HI40" s="228"/>
      <c r="HJ40" s="228"/>
      <c r="HK40" s="228"/>
    </row>
    <row r="41" spans="1:219">
      <c r="A41" s="369"/>
      <c r="B41" s="371"/>
      <c r="C41" s="354" t="s">
        <v>764</v>
      </c>
      <c r="D41" s="355"/>
      <c r="E41" s="495"/>
      <c r="F41" s="486"/>
      <c r="G41" s="358"/>
      <c r="H41" s="493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228"/>
      <c r="T41" s="228"/>
      <c r="U41" s="228"/>
      <c r="V41" s="228"/>
      <c r="W41" s="228"/>
      <c r="X41" s="228"/>
      <c r="Y41" s="228"/>
      <c r="Z41" s="228"/>
      <c r="AA41" s="228"/>
      <c r="AB41" s="228"/>
      <c r="AC41" s="228"/>
      <c r="AD41" s="228"/>
      <c r="AE41" s="228"/>
      <c r="AF41" s="228"/>
      <c r="AG41" s="228"/>
      <c r="AH41" s="228"/>
      <c r="AI41" s="228"/>
      <c r="AJ41" s="228"/>
      <c r="AK41" s="228"/>
      <c r="AL41" s="228"/>
      <c r="AM41" s="228"/>
      <c r="AN41" s="228"/>
      <c r="AO41" s="228"/>
      <c r="AP41" s="228"/>
      <c r="AQ41" s="228"/>
      <c r="AR41" s="228"/>
      <c r="AS41" s="228"/>
      <c r="AT41" s="228"/>
      <c r="AU41" s="228"/>
      <c r="AV41" s="228"/>
      <c r="AW41" s="228"/>
      <c r="AX41" s="228"/>
      <c r="AY41" s="228"/>
      <c r="AZ41" s="228"/>
      <c r="BA41" s="228"/>
      <c r="BB41" s="228"/>
      <c r="BC41" s="228"/>
      <c r="BD41" s="228"/>
      <c r="BE41" s="228"/>
      <c r="BF41" s="228"/>
      <c r="BG41" s="228"/>
      <c r="BH41" s="228"/>
      <c r="BI41" s="228"/>
      <c r="BJ41" s="228"/>
      <c r="BK41" s="228"/>
      <c r="BL41" s="228"/>
      <c r="BM41" s="228"/>
      <c r="BN41" s="228"/>
      <c r="BO41" s="228"/>
      <c r="BP41" s="228"/>
      <c r="BQ41" s="228"/>
      <c r="BR41" s="228"/>
      <c r="BS41" s="228"/>
      <c r="BT41" s="228"/>
      <c r="BU41" s="228"/>
      <c r="BV41" s="228"/>
      <c r="BW41" s="228"/>
      <c r="BX41" s="228"/>
      <c r="BY41" s="228"/>
      <c r="BZ41" s="228"/>
      <c r="CA41" s="228"/>
      <c r="CB41" s="228"/>
      <c r="CC41" s="228"/>
      <c r="CD41" s="228"/>
      <c r="CE41" s="228"/>
      <c r="CF41" s="228"/>
      <c r="CG41" s="228"/>
      <c r="CH41" s="228"/>
      <c r="CI41" s="228"/>
      <c r="CJ41" s="228"/>
      <c r="CK41" s="228"/>
      <c r="CL41" s="228"/>
      <c r="CM41" s="228"/>
      <c r="CN41" s="228"/>
      <c r="CO41" s="228"/>
      <c r="CP41" s="228"/>
      <c r="CQ41" s="228"/>
      <c r="CR41" s="228"/>
      <c r="CS41" s="228"/>
      <c r="CT41" s="228"/>
      <c r="CU41" s="228"/>
      <c r="CV41" s="228"/>
      <c r="CW41" s="228"/>
      <c r="CX41" s="228"/>
      <c r="CY41" s="228"/>
      <c r="CZ41" s="228"/>
      <c r="DA41" s="228"/>
      <c r="DB41" s="228"/>
      <c r="DC41" s="228"/>
      <c r="DD41" s="228"/>
      <c r="DE41" s="228"/>
      <c r="DF41" s="228"/>
      <c r="DG41" s="228"/>
      <c r="DH41" s="228"/>
      <c r="DI41" s="228"/>
      <c r="DJ41" s="228"/>
      <c r="DK41" s="228"/>
      <c r="DL41" s="228"/>
      <c r="DM41" s="228"/>
      <c r="DN41" s="228"/>
      <c r="DO41" s="228"/>
      <c r="DP41" s="228"/>
      <c r="DQ41" s="228"/>
      <c r="DR41" s="228"/>
      <c r="DS41" s="228"/>
      <c r="DT41" s="228"/>
      <c r="DU41" s="228"/>
      <c r="DV41" s="228"/>
      <c r="DW41" s="228"/>
      <c r="DX41" s="228"/>
      <c r="DY41" s="228"/>
      <c r="DZ41" s="228"/>
      <c r="EA41" s="228"/>
      <c r="EB41" s="228"/>
      <c r="EC41" s="228"/>
      <c r="ED41" s="228"/>
      <c r="EE41" s="228"/>
      <c r="EF41" s="228"/>
      <c r="EG41" s="228"/>
      <c r="EH41" s="228"/>
      <c r="EI41" s="228"/>
      <c r="EJ41" s="228"/>
      <c r="EK41" s="228"/>
      <c r="EL41" s="228"/>
      <c r="EM41" s="228"/>
      <c r="EN41" s="228"/>
      <c r="EO41" s="228"/>
      <c r="EP41" s="228"/>
      <c r="EQ41" s="228"/>
      <c r="ER41" s="228"/>
      <c r="ES41" s="228"/>
      <c r="ET41" s="228"/>
      <c r="EU41" s="228"/>
      <c r="EV41" s="228"/>
      <c r="EW41" s="228"/>
      <c r="EX41" s="228"/>
      <c r="EY41" s="228"/>
      <c r="EZ41" s="228"/>
      <c r="FA41" s="228"/>
      <c r="FB41" s="228"/>
      <c r="FC41" s="228"/>
      <c r="FD41" s="228"/>
      <c r="FE41" s="228"/>
      <c r="FF41" s="228"/>
      <c r="FG41" s="228"/>
      <c r="FH41" s="228"/>
      <c r="FI41" s="228"/>
      <c r="FJ41" s="228"/>
      <c r="FK41" s="228"/>
      <c r="FL41" s="228"/>
      <c r="FM41" s="228"/>
      <c r="FN41" s="228"/>
      <c r="FO41" s="228"/>
      <c r="FP41" s="228"/>
      <c r="FQ41" s="228"/>
      <c r="FR41" s="228"/>
      <c r="FS41" s="228"/>
      <c r="FT41" s="228"/>
      <c r="FU41" s="228"/>
      <c r="FV41" s="228"/>
      <c r="FW41" s="228"/>
      <c r="FX41" s="228"/>
      <c r="FY41" s="228"/>
      <c r="FZ41" s="228"/>
      <c r="GA41" s="228"/>
      <c r="GB41" s="228"/>
      <c r="GC41" s="228"/>
      <c r="GD41" s="228"/>
      <c r="GE41" s="228"/>
      <c r="GF41" s="228"/>
      <c r="GG41" s="228"/>
      <c r="GH41" s="228"/>
      <c r="GI41" s="228"/>
      <c r="GJ41" s="228"/>
      <c r="GK41" s="228"/>
      <c r="GL41" s="228"/>
      <c r="GM41" s="228"/>
      <c r="GN41" s="228"/>
      <c r="GO41" s="228"/>
      <c r="GP41" s="228"/>
      <c r="GQ41" s="228"/>
      <c r="GR41" s="228"/>
      <c r="GS41" s="228"/>
      <c r="GT41" s="228"/>
      <c r="GU41" s="228"/>
      <c r="GV41" s="228"/>
      <c r="GW41" s="228"/>
      <c r="GX41" s="228"/>
      <c r="GY41" s="228"/>
      <c r="GZ41" s="228"/>
      <c r="HA41" s="228"/>
      <c r="HB41" s="228"/>
      <c r="HC41" s="228"/>
      <c r="HD41" s="228"/>
      <c r="HE41" s="228"/>
      <c r="HF41" s="228"/>
      <c r="HG41" s="228"/>
      <c r="HH41" s="228"/>
      <c r="HI41" s="228"/>
      <c r="HJ41" s="228"/>
      <c r="HK41" s="228"/>
    </row>
    <row r="42" spans="1:219">
      <c r="A42" s="496"/>
      <c r="B42" s="379"/>
      <c r="C42" s="497"/>
      <c r="D42" s="380"/>
      <c r="E42" s="498"/>
      <c r="F42" s="499"/>
      <c r="G42" s="384"/>
      <c r="H42" s="500"/>
      <c r="I42" s="384"/>
      <c r="J42" s="384"/>
      <c r="K42" s="384"/>
      <c r="L42" s="384"/>
      <c r="M42" s="384"/>
      <c r="N42" s="384"/>
      <c r="O42" s="384"/>
      <c r="P42" s="384"/>
      <c r="Q42" s="384"/>
      <c r="R42" s="384"/>
    </row>
    <row r="43" spans="1:219" ht="13.8">
      <c r="A43" s="444"/>
      <c r="B43" s="501"/>
      <c r="C43" s="446" t="s">
        <v>765</v>
      </c>
      <c r="D43" s="447"/>
      <c r="E43" s="448"/>
      <c r="F43" s="502"/>
      <c r="G43" s="503">
        <f>SUM(G11:G42)</f>
        <v>229688938.38479999</v>
      </c>
      <c r="H43" s="392">
        <f>G43/'REKAP TOTAL'!F44</f>
        <v>1.8890305147252987E-2</v>
      </c>
      <c r="I43" s="445"/>
      <c r="J43" s="445"/>
      <c r="K43" s="445"/>
      <c r="L43" s="445"/>
      <c r="M43" s="445"/>
      <c r="N43" s="445"/>
      <c r="O43" s="445"/>
      <c r="P43" s="445"/>
      <c r="Q43" s="445"/>
      <c r="R43" s="504"/>
    </row>
  </sheetData>
  <mergeCells count="9">
    <mergeCell ref="F7:G7"/>
    <mergeCell ref="I8:K8"/>
    <mergeCell ref="L8:N8"/>
    <mergeCell ref="A8:A9"/>
    <mergeCell ref="D8:D9"/>
    <mergeCell ref="E8:E9"/>
    <mergeCell ref="H8:H9"/>
    <mergeCell ref="R8:R9"/>
    <mergeCell ref="B8:C9"/>
  </mergeCells>
  <printOptions horizontalCentered="1"/>
  <pageMargins left="0.47244094488188998" right="0.39370078740157499" top="0.90551181102362199" bottom="1.1811023622047201" header="0.511811023622047" footer="0.39370078740157499"/>
  <pageSetup paperSize="9" scale="50" fitToHeight="0" orientation="portrait" useFirstPageNumber="1" r:id="rId1"/>
  <headerFooter alignWithMargins="0">
    <oddFooter>&amp;C&amp;A&amp;RPage &amp;P of &amp;N</oddFooter>
  </headerFooter>
  <colBreaks count="2" manualBreakCount="2">
    <brk id="8" max="102" man="1"/>
    <brk id="13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HK169"/>
  <sheetViews>
    <sheetView showGridLines="0" view="pageBreakPreview" zoomScale="85" zoomScaleNormal="100" workbookViewId="0">
      <pane xSplit="3" ySplit="9" topLeftCell="D10" activePane="bottomRight" state="frozen"/>
      <selection pane="topRight"/>
      <selection pane="bottomLeft"/>
      <selection pane="bottomRight" activeCell="I179" sqref="I179"/>
    </sheetView>
  </sheetViews>
  <sheetFormatPr defaultColWidth="9" defaultRowHeight="11.4"/>
  <cols>
    <col min="1" max="1" width="6.88671875" style="329" customWidth="1"/>
    <col min="2" max="2" width="2.6640625" style="227" customWidth="1"/>
    <col min="3" max="3" width="57.6640625" style="227" customWidth="1"/>
    <col min="4" max="4" width="9.109375" style="329"/>
    <col min="5" max="5" width="9.33203125" style="330" customWidth="1"/>
    <col min="6" max="6" width="14.109375" style="331" hidden="1" customWidth="1"/>
    <col min="7" max="7" width="13.5546875" style="227" hidden="1" customWidth="1"/>
    <col min="8" max="8" width="10.33203125" style="330" customWidth="1"/>
    <col min="9" max="9" width="9.109375" style="227"/>
    <col min="10" max="10" width="16.21875" style="227" customWidth="1"/>
    <col min="11" max="12" width="9.109375" style="227"/>
    <col min="13" max="13" width="14.21875" style="227" customWidth="1"/>
    <col min="14" max="15" width="9.109375" style="227"/>
    <col min="16" max="16" width="13.6640625" style="227" customWidth="1"/>
    <col min="17" max="219" width="9.109375" style="227"/>
    <col min="220" max="248" width="9.109375" style="228"/>
    <col min="249" max="249" width="6.88671875" style="228" customWidth="1"/>
    <col min="250" max="250" width="2.6640625" style="228" customWidth="1"/>
    <col min="251" max="251" width="57.6640625" style="228" customWidth="1"/>
    <col min="252" max="252" width="9.109375" style="228"/>
    <col min="253" max="253" width="9.33203125" style="228" customWidth="1"/>
    <col min="254" max="254" width="14.109375" style="228" customWidth="1"/>
    <col min="255" max="255" width="13.5546875" style="228" customWidth="1"/>
    <col min="256" max="256" width="9.109375" style="228"/>
    <col min="257" max="257" width="11.88671875" style="228" customWidth="1"/>
    <col min="258" max="258" width="10.33203125" style="228" customWidth="1"/>
    <col min="259" max="504" width="9.109375" style="228"/>
    <col min="505" max="505" width="6.88671875" style="228" customWidth="1"/>
    <col min="506" max="506" width="2.6640625" style="228" customWidth="1"/>
    <col min="507" max="507" width="57.6640625" style="228" customWidth="1"/>
    <col min="508" max="508" width="9.109375" style="228"/>
    <col min="509" max="509" width="9.33203125" style="228" customWidth="1"/>
    <col min="510" max="510" width="14.109375" style="228" customWidth="1"/>
    <col min="511" max="511" width="13.5546875" style="228" customWidth="1"/>
    <col min="512" max="512" width="9.109375" style="228"/>
    <col min="513" max="513" width="11.88671875" style="228" customWidth="1"/>
    <col min="514" max="514" width="10.33203125" style="228" customWidth="1"/>
    <col min="515" max="760" width="9.109375" style="228"/>
    <col min="761" max="761" width="6.88671875" style="228" customWidth="1"/>
    <col min="762" max="762" width="2.6640625" style="228" customWidth="1"/>
    <col min="763" max="763" width="57.6640625" style="228" customWidth="1"/>
    <col min="764" max="764" width="9.109375" style="228"/>
    <col min="765" max="765" width="9.33203125" style="228" customWidth="1"/>
    <col min="766" max="766" width="14.109375" style="228" customWidth="1"/>
    <col min="767" max="767" width="13.5546875" style="228" customWidth="1"/>
    <col min="768" max="768" width="9.109375" style="228"/>
    <col min="769" max="769" width="11.88671875" style="228" customWidth="1"/>
    <col min="770" max="770" width="10.33203125" style="228" customWidth="1"/>
    <col min="771" max="1016" width="9.109375" style="228"/>
    <col min="1017" max="1017" width="6.88671875" style="228" customWidth="1"/>
    <col min="1018" max="1018" width="2.6640625" style="228" customWidth="1"/>
    <col min="1019" max="1019" width="57.6640625" style="228" customWidth="1"/>
    <col min="1020" max="1020" width="9.109375" style="228"/>
    <col min="1021" max="1021" width="9.33203125" style="228" customWidth="1"/>
    <col min="1022" max="1022" width="14.109375" style="228" customWidth="1"/>
    <col min="1023" max="1023" width="13.5546875" style="228" customWidth="1"/>
    <col min="1024" max="1024" width="9.109375" style="228"/>
    <col min="1025" max="1025" width="11.88671875" style="228" customWidth="1"/>
    <col min="1026" max="1026" width="10.33203125" style="228" customWidth="1"/>
    <col min="1027" max="1272" width="9.109375" style="228"/>
    <col min="1273" max="1273" width="6.88671875" style="228" customWidth="1"/>
    <col min="1274" max="1274" width="2.6640625" style="228" customWidth="1"/>
    <col min="1275" max="1275" width="57.6640625" style="228" customWidth="1"/>
    <col min="1276" max="1276" width="9.109375" style="228"/>
    <col min="1277" max="1277" width="9.33203125" style="228" customWidth="1"/>
    <col min="1278" max="1278" width="14.109375" style="228" customWidth="1"/>
    <col min="1279" max="1279" width="13.5546875" style="228" customWidth="1"/>
    <col min="1280" max="1280" width="9.109375" style="228"/>
    <col min="1281" max="1281" width="11.88671875" style="228" customWidth="1"/>
    <col min="1282" max="1282" width="10.33203125" style="228" customWidth="1"/>
    <col min="1283" max="1528" width="9.109375" style="228"/>
    <col min="1529" max="1529" width="6.88671875" style="228" customWidth="1"/>
    <col min="1530" max="1530" width="2.6640625" style="228" customWidth="1"/>
    <col min="1531" max="1531" width="57.6640625" style="228" customWidth="1"/>
    <col min="1532" max="1532" width="9.109375" style="228"/>
    <col min="1533" max="1533" width="9.33203125" style="228" customWidth="1"/>
    <col min="1534" max="1534" width="14.109375" style="228" customWidth="1"/>
    <col min="1535" max="1535" width="13.5546875" style="228" customWidth="1"/>
    <col min="1536" max="1536" width="9.109375" style="228"/>
    <col min="1537" max="1537" width="11.88671875" style="228" customWidth="1"/>
    <col min="1538" max="1538" width="10.33203125" style="228" customWidth="1"/>
    <col min="1539" max="1784" width="9.109375" style="228"/>
    <col min="1785" max="1785" width="6.88671875" style="228" customWidth="1"/>
    <col min="1786" max="1786" width="2.6640625" style="228" customWidth="1"/>
    <col min="1787" max="1787" width="57.6640625" style="228" customWidth="1"/>
    <col min="1788" max="1788" width="9.109375" style="228"/>
    <col min="1789" max="1789" width="9.33203125" style="228" customWidth="1"/>
    <col min="1790" max="1790" width="14.109375" style="228" customWidth="1"/>
    <col min="1791" max="1791" width="13.5546875" style="228" customWidth="1"/>
    <col min="1792" max="1792" width="9.109375" style="228"/>
    <col min="1793" max="1793" width="11.88671875" style="228" customWidth="1"/>
    <col min="1794" max="1794" width="10.33203125" style="228" customWidth="1"/>
    <col min="1795" max="2040" width="9.109375" style="228"/>
    <col min="2041" max="2041" width="6.88671875" style="228" customWidth="1"/>
    <col min="2042" max="2042" width="2.6640625" style="228" customWidth="1"/>
    <col min="2043" max="2043" width="57.6640625" style="228" customWidth="1"/>
    <col min="2044" max="2044" width="9.109375" style="228"/>
    <col min="2045" max="2045" width="9.33203125" style="228" customWidth="1"/>
    <col min="2046" max="2046" width="14.109375" style="228" customWidth="1"/>
    <col min="2047" max="2047" width="13.5546875" style="228" customWidth="1"/>
    <col min="2048" max="2048" width="9.109375" style="228"/>
    <col min="2049" max="2049" width="11.88671875" style="228" customWidth="1"/>
    <col min="2050" max="2050" width="10.33203125" style="228" customWidth="1"/>
    <col min="2051" max="2296" width="9.109375" style="228"/>
    <col min="2297" max="2297" width="6.88671875" style="228" customWidth="1"/>
    <col min="2298" max="2298" width="2.6640625" style="228" customWidth="1"/>
    <col min="2299" max="2299" width="57.6640625" style="228" customWidth="1"/>
    <col min="2300" max="2300" width="9.109375" style="228"/>
    <col min="2301" max="2301" width="9.33203125" style="228" customWidth="1"/>
    <col min="2302" max="2302" width="14.109375" style="228" customWidth="1"/>
    <col min="2303" max="2303" width="13.5546875" style="228" customWidth="1"/>
    <col min="2304" max="2304" width="9.109375" style="228"/>
    <col min="2305" max="2305" width="11.88671875" style="228" customWidth="1"/>
    <col min="2306" max="2306" width="10.33203125" style="228" customWidth="1"/>
    <col min="2307" max="2552" width="9.109375" style="228"/>
    <col min="2553" max="2553" width="6.88671875" style="228" customWidth="1"/>
    <col min="2554" max="2554" width="2.6640625" style="228" customWidth="1"/>
    <col min="2555" max="2555" width="57.6640625" style="228" customWidth="1"/>
    <col min="2556" max="2556" width="9.109375" style="228"/>
    <col min="2557" max="2557" width="9.33203125" style="228" customWidth="1"/>
    <col min="2558" max="2558" width="14.109375" style="228" customWidth="1"/>
    <col min="2559" max="2559" width="13.5546875" style="228" customWidth="1"/>
    <col min="2560" max="2560" width="9.109375" style="228"/>
    <col min="2561" max="2561" width="11.88671875" style="228" customWidth="1"/>
    <col min="2562" max="2562" width="10.33203125" style="228" customWidth="1"/>
    <col min="2563" max="2808" width="9.109375" style="228"/>
    <col min="2809" max="2809" width="6.88671875" style="228" customWidth="1"/>
    <col min="2810" max="2810" width="2.6640625" style="228" customWidth="1"/>
    <col min="2811" max="2811" width="57.6640625" style="228" customWidth="1"/>
    <col min="2812" max="2812" width="9.109375" style="228"/>
    <col min="2813" max="2813" width="9.33203125" style="228" customWidth="1"/>
    <col min="2814" max="2814" width="14.109375" style="228" customWidth="1"/>
    <col min="2815" max="2815" width="13.5546875" style="228" customWidth="1"/>
    <col min="2816" max="2816" width="9.109375" style="228"/>
    <col min="2817" max="2817" width="11.88671875" style="228" customWidth="1"/>
    <col min="2818" max="2818" width="10.33203125" style="228" customWidth="1"/>
    <col min="2819" max="3064" width="9.109375" style="228"/>
    <col min="3065" max="3065" width="6.88671875" style="228" customWidth="1"/>
    <col min="3066" max="3066" width="2.6640625" style="228" customWidth="1"/>
    <col min="3067" max="3067" width="57.6640625" style="228" customWidth="1"/>
    <col min="3068" max="3068" width="9.109375" style="228"/>
    <col min="3069" max="3069" width="9.33203125" style="228" customWidth="1"/>
    <col min="3070" max="3070" width="14.109375" style="228" customWidth="1"/>
    <col min="3071" max="3071" width="13.5546875" style="228" customWidth="1"/>
    <col min="3072" max="3072" width="9.109375" style="228"/>
    <col min="3073" max="3073" width="11.88671875" style="228" customWidth="1"/>
    <col min="3074" max="3074" width="10.33203125" style="228" customWidth="1"/>
    <col min="3075" max="3320" width="9.109375" style="228"/>
    <col min="3321" max="3321" width="6.88671875" style="228" customWidth="1"/>
    <col min="3322" max="3322" width="2.6640625" style="228" customWidth="1"/>
    <col min="3323" max="3323" width="57.6640625" style="228" customWidth="1"/>
    <col min="3324" max="3324" width="9.109375" style="228"/>
    <col min="3325" max="3325" width="9.33203125" style="228" customWidth="1"/>
    <col min="3326" max="3326" width="14.109375" style="228" customWidth="1"/>
    <col min="3327" max="3327" width="13.5546875" style="228" customWidth="1"/>
    <col min="3328" max="3328" width="9.109375" style="228"/>
    <col min="3329" max="3329" width="11.88671875" style="228" customWidth="1"/>
    <col min="3330" max="3330" width="10.33203125" style="228" customWidth="1"/>
    <col min="3331" max="3576" width="9.109375" style="228"/>
    <col min="3577" max="3577" width="6.88671875" style="228" customWidth="1"/>
    <col min="3578" max="3578" width="2.6640625" style="228" customWidth="1"/>
    <col min="3579" max="3579" width="57.6640625" style="228" customWidth="1"/>
    <col min="3580" max="3580" width="9.109375" style="228"/>
    <col min="3581" max="3581" width="9.33203125" style="228" customWidth="1"/>
    <col min="3582" max="3582" width="14.109375" style="228" customWidth="1"/>
    <col min="3583" max="3583" width="13.5546875" style="228" customWidth="1"/>
    <col min="3584" max="3584" width="9.109375" style="228"/>
    <col min="3585" max="3585" width="11.88671875" style="228" customWidth="1"/>
    <col min="3586" max="3586" width="10.33203125" style="228" customWidth="1"/>
    <col min="3587" max="3832" width="9.109375" style="228"/>
    <col min="3833" max="3833" width="6.88671875" style="228" customWidth="1"/>
    <col min="3834" max="3834" width="2.6640625" style="228" customWidth="1"/>
    <col min="3835" max="3835" width="57.6640625" style="228" customWidth="1"/>
    <col min="3836" max="3836" width="9.109375" style="228"/>
    <col min="3837" max="3837" width="9.33203125" style="228" customWidth="1"/>
    <col min="3838" max="3838" width="14.109375" style="228" customWidth="1"/>
    <col min="3839" max="3839" width="13.5546875" style="228" customWidth="1"/>
    <col min="3840" max="3840" width="9.109375" style="228"/>
    <col min="3841" max="3841" width="11.88671875" style="228" customWidth="1"/>
    <col min="3842" max="3842" width="10.33203125" style="228" customWidth="1"/>
    <col min="3843" max="4088" width="9.109375" style="228"/>
    <col min="4089" max="4089" width="6.88671875" style="228" customWidth="1"/>
    <col min="4090" max="4090" width="2.6640625" style="228" customWidth="1"/>
    <col min="4091" max="4091" width="57.6640625" style="228" customWidth="1"/>
    <col min="4092" max="4092" width="9.109375" style="228"/>
    <col min="4093" max="4093" width="9.33203125" style="228" customWidth="1"/>
    <col min="4094" max="4094" width="14.109375" style="228" customWidth="1"/>
    <col min="4095" max="4095" width="13.5546875" style="228" customWidth="1"/>
    <col min="4096" max="4096" width="9.109375" style="228"/>
    <col min="4097" max="4097" width="11.88671875" style="228" customWidth="1"/>
    <col min="4098" max="4098" width="10.33203125" style="228" customWidth="1"/>
    <col min="4099" max="4344" width="9.109375" style="228"/>
    <col min="4345" max="4345" width="6.88671875" style="228" customWidth="1"/>
    <col min="4346" max="4346" width="2.6640625" style="228" customWidth="1"/>
    <col min="4347" max="4347" width="57.6640625" style="228" customWidth="1"/>
    <col min="4348" max="4348" width="9.109375" style="228"/>
    <col min="4349" max="4349" width="9.33203125" style="228" customWidth="1"/>
    <col min="4350" max="4350" width="14.109375" style="228" customWidth="1"/>
    <col min="4351" max="4351" width="13.5546875" style="228" customWidth="1"/>
    <col min="4352" max="4352" width="9.109375" style="228"/>
    <col min="4353" max="4353" width="11.88671875" style="228" customWidth="1"/>
    <col min="4354" max="4354" width="10.33203125" style="228" customWidth="1"/>
    <col min="4355" max="4600" width="9.109375" style="228"/>
    <col min="4601" max="4601" width="6.88671875" style="228" customWidth="1"/>
    <col min="4602" max="4602" width="2.6640625" style="228" customWidth="1"/>
    <col min="4603" max="4603" width="57.6640625" style="228" customWidth="1"/>
    <col min="4604" max="4604" width="9.109375" style="228"/>
    <col min="4605" max="4605" width="9.33203125" style="228" customWidth="1"/>
    <col min="4606" max="4606" width="14.109375" style="228" customWidth="1"/>
    <col min="4607" max="4607" width="13.5546875" style="228" customWidth="1"/>
    <col min="4608" max="4608" width="9.109375" style="228"/>
    <col min="4609" max="4609" width="11.88671875" style="228" customWidth="1"/>
    <col min="4610" max="4610" width="10.33203125" style="228" customWidth="1"/>
    <col min="4611" max="4856" width="9.109375" style="228"/>
    <col min="4857" max="4857" width="6.88671875" style="228" customWidth="1"/>
    <col min="4858" max="4858" width="2.6640625" style="228" customWidth="1"/>
    <col min="4859" max="4859" width="57.6640625" style="228" customWidth="1"/>
    <col min="4860" max="4860" width="9.109375" style="228"/>
    <col min="4861" max="4861" width="9.33203125" style="228" customWidth="1"/>
    <col min="4862" max="4862" width="14.109375" style="228" customWidth="1"/>
    <col min="4863" max="4863" width="13.5546875" style="228" customWidth="1"/>
    <col min="4864" max="4864" width="9.109375" style="228"/>
    <col min="4865" max="4865" width="11.88671875" style="228" customWidth="1"/>
    <col min="4866" max="4866" width="10.33203125" style="228" customWidth="1"/>
    <col min="4867" max="5112" width="9.109375" style="228"/>
    <col min="5113" max="5113" width="6.88671875" style="228" customWidth="1"/>
    <col min="5114" max="5114" width="2.6640625" style="228" customWidth="1"/>
    <col min="5115" max="5115" width="57.6640625" style="228" customWidth="1"/>
    <col min="5116" max="5116" width="9.109375" style="228"/>
    <col min="5117" max="5117" width="9.33203125" style="228" customWidth="1"/>
    <col min="5118" max="5118" width="14.109375" style="228" customWidth="1"/>
    <col min="5119" max="5119" width="13.5546875" style="228" customWidth="1"/>
    <col min="5120" max="5120" width="9.109375" style="228"/>
    <col min="5121" max="5121" width="11.88671875" style="228" customWidth="1"/>
    <col min="5122" max="5122" width="10.33203125" style="228" customWidth="1"/>
    <col min="5123" max="5368" width="9.109375" style="228"/>
    <col min="5369" max="5369" width="6.88671875" style="228" customWidth="1"/>
    <col min="5370" max="5370" width="2.6640625" style="228" customWidth="1"/>
    <col min="5371" max="5371" width="57.6640625" style="228" customWidth="1"/>
    <col min="5372" max="5372" width="9.109375" style="228"/>
    <col min="5373" max="5373" width="9.33203125" style="228" customWidth="1"/>
    <col min="5374" max="5374" width="14.109375" style="228" customWidth="1"/>
    <col min="5375" max="5375" width="13.5546875" style="228" customWidth="1"/>
    <col min="5376" max="5376" width="9.109375" style="228"/>
    <col min="5377" max="5377" width="11.88671875" style="228" customWidth="1"/>
    <col min="5378" max="5378" width="10.33203125" style="228" customWidth="1"/>
    <col min="5379" max="5624" width="9.109375" style="228"/>
    <col min="5625" max="5625" width="6.88671875" style="228" customWidth="1"/>
    <col min="5626" max="5626" width="2.6640625" style="228" customWidth="1"/>
    <col min="5627" max="5627" width="57.6640625" style="228" customWidth="1"/>
    <col min="5628" max="5628" width="9.109375" style="228"/>
    <col min="5629" max="5629" width="9.33203125" style="228" customWidth="1"/>
    <col min="5630" max="5630" width="14.109375" style="228" customWidth="1"/>
    <col min="5631" max="5631" width="13.5546875" style="228" customWidth="1"/>
    <col min="5632" max="5632" width="9.109375" style="228"/>
    <col min="5633" max="5633" width="11.88671875" style="228" customWidth="1"/>
    <col min="5634" max="5634" width="10.33203125" style="228" customWidth="1"/>
    <col min="5635" max="5880" width="9.109375" style="228"/>
    <col min="5881" max="5881" width="6.88671875" style="228" customWidth="1"/>
    <col min="5882" max="5882" width="2.6640625" style="228" customWidth="1"/>
    <col min="5883" max="5883" width="57.6640625" style="228" customWidth="1"/>
    <col min="5884" max="5884" width="9.109375" style="228"/>
    <col min="5885" max="5885" width="9.33203125" style="228" customWidth="1"/>
    <col min="5886" max="5886" width="14.109375" style="228" customWidth="1"/>
    <col min="5887" max="5887" width="13.5546875" style="228" customWidth="1"/>
    <col min="5888" max="5888" width="9.109375" style="228"/>
    <col min="5889" max="5889" width="11.88671875" style="228" customWidth="1"/>
    <col min="5890" max="5890" width="10.33203125" style="228" customWidth="1"/>
    <col min="5891" max="6136" width="9.109375" style="228"/>
    <col min="6137" max="6137" width="6.88671875" style="228" customWidth="1"/>
    <col min="6138" max="6138" width="2.6640625" style="228" customWidth="1"/>
    <col min="6139" max="6139" width="57.6640625" style="228" customWidth="1"/>
    <col min="6140" max="6140" width="9.109375" style="228"/>
    <col min="6141" max="6141" width="9.33203125" style="228" customWidth="1"/>
    <col min="6142" max="6142" width="14.109375" style="228" customWidth="1"/>
    <col min="6143" max="6143" width="13.5546875" style="228" customWidth="1"/>
    <col min="6144" max="6144" width="9.109375" style="228"/>
    <col min="6145" max="6145" width="11.88671875" style="228" customWidth="1"/>
    <col min="6146" max="6146" width="10.33203125" style="228" customWidth="1"/>
    <col min="6147" max="6392" width="9.109375" style="228"/>
    <col min="6393" max="6393" width="6.88671875" style="228" customWidth="1"/>
    <col min="6394" max="6394" width="2.6640625" style="228" customWidth="1"/>
    <col min="6395" max="6395" width="57.6640625" style="228" customWidth="1"/>
    <col min="6396" max="6396" width="9.109375" style="228"/>
    <col min="6397" max="6397" width="9.33203125" style="228" customWidth="1"/>
    <col min="6398" max="6398" width="14.109375" style="228" customWidth="1"/>
    <col min="6399" max="6399" width="13.5546875" style="228" customWidth="1"/>
    <col min="6400" max="6400" width="9.109375" style="228"/>
    <col min="6401" max="6401" width="11.88671875" style="228" customWidth="1"/>
    <col min="6402" max="6402" width="10.33203125" style="228" customWidth="1"/>
    <col min="6403" max="6648" width="9.109375" style="228"/>
    <col min="6649" max="6649" width="6.88671875" style="228" customWidth="1"/>
    <col min="6650" max="6650" width="2.6640625" style="228" customWidth="1"/>
    <col min="6651" max="6651" width="57.6640625" style="228" customWidth="1"/>
    <col min="6652" max="6652" width="9.109375" style="228"/>
    <col min="6653" max="6653" width="9.33203125" style="228" customWidth="1"/>
    <col min="6654" max="6654" width="14.109375" style="228" customWidth="1"/>
    <col min="6655" max="6655" width="13.5546875" style="228" customWidth="1"/>
    <col min="6656" max="6656" width="9.109375" style="228"/>
    <col min="6657" max="6657" width="11.88671875" style="228" customWidth="1"/>
    <col min="6658" max="6658" width="10.33203125" style="228" customWidth="1"/>
    <col min="6659" max="6904" width="9.109375" style="228"/>
    <col min="6905" max="6905" width="6.88671875" style="228" customWidth="1"/>
    <col min="6906" max="6906" width="2.6640625" style="228" customWidth="1"/>
    <col min="6907" max="6907" width="57.6640625" style="228" customWidth="1"/>
    <col min="6908" max="6908" width="9.109375" style="228"/>
    <col min="6909" max="6909" width="9.33203125" style="228" customWidth="1"/>
    <col min="6910" max="6910" width="14.109375" style="228" customWidth="1"/>
    <col min="6911" max="6911" width="13.5546875" style="228" customWidth="1"/>
    <col min="6912" max="6912" width="9.109375" style="228"/>
    <col min="6913" max="6913" width="11.88671875" style="228" customWidth="1"/>
    <col min="6914" max="6914" width="10.33203125" style="228" customWidth="1"/>
    <col min="6915" max="7160" width="9.109375" style="228"/>
    <col min="7161" max="7161" width="6.88671875" style="228" customWidth="1"/>
    <col min="7162" max="7162" width="2.6640625" style="228" customWidth="1"/>
    <col min="7163" max="7163" width="57.6640625" style="228" customWidth="1"/>
    <col min="7164" max="7164" width="9.109375" style="228"/>
    <col min="7165" max="7165" width="9.33203125" style="228" customWidth="1"/>
    <col min="7166" max="7166" width="14.109375" style="228" customWidth="1"/>
    <col min="7167" max="7167" width="13.5546875" style="228" customWidth="1"/>
    <col min="7168" max="7168" width="9.109375" style="228"/>
    <col min="7169" max="7169" width="11.88671875" style="228" customWidth="1"/>
    <col min="7170" max="7170" width="10.33203125" style="228" customWidth="1"/>
    <col min="7171" max="7416" width="9.109375" style="228"/>
    <col min="7417" max="7417" width="6.88671875" style="228" customWidth="1"/>
    <col min="7418" max="7418" width="2.6640625" style="228" customWidth="1"/>
    <col min="7419" max="7419" width="57.6640625" style="228" customWidth="1"/>
    <col min="7420" max="7420" width="9.109375" style="228"/>
    <col min="7421" max="7421" width="9.33203125" style="228" customWidth="1"/>
    <col min="7422" max="7422" width="14.109375" style="228" customWidth="1"/>
    <col min="7423" max="7423" width="13.5546875" style="228" customWidth="1"/>
    <col min="7424" max="7424" width="9.109375" style="228"/>
    <col min="7425" max="7425" width="11.88671875" style="228" customWidth="1"/>
    <col min="7426" max="7426" width="10.33203125" style="228" customWidth="1"/>
    <col min="7427" max="7672" width="9.109375" style="228"/>
    <col min="7673" max="7673" width="6.88671875" style="228" customWidth="1"/>
    <col min="7674" max="7674" width="2.6640625" style="228" customWidth="1"/>
    <col min="7675" max="7675" width="57.6640625" style="228" customWidth="1"/>
    <col min="7676" max="7676" width="9.109375" style="228"/>
    <col min="7677" max="7677" width="9.33203125" style="228" customWidth="1"/>
    <col min="7678" max="7678" width="14.109375" style="228" customWidth="1"/>
    <col min="7679" max="7679" width="13.5546875" style="228" customWidth="1"/>
    <col min="7680" max="7680" width="9.109375" style="228"/>
    <col min="7681" max="7681" width="11.88671875" style="228" customWidth="1"/>
    <col min="7682" max="7682" width="10.33203125" style="228" customWidth="1"/>
    <col min="7683" max="7928" width="9.109375" style="228"/>
    <col min="7929" max="7929" width="6.88671875" style="228" customWidth="1"/>
    <col min="7930" max="7930" width="2.6640625" style="228" customWidth="1"/>
    <col min="7931" max="7931" width="57.6640625" style="228" customWidth="1"/>
    <col min="7932" max="7932" width="9.109375" style="228"/>
    <col min="7933" max="7933" width="9.33203125" style="228" customWidth="1"/>
    <col min="7934" max="7934" width="14.109375" style="228" customWidth="1"/>
    <col min="7935" max="7935" width="13.5546875" style="228" customWidth="1"/>
    <col min="7936" max="7936" width="9.109375" style="228"/>
    <col min="7937" max="7937" width="11.88671875" style="228" customWidth="1"/>
    <col min="7938" max="7938" width="10.33203125" style="228" customWidth="1"/>
    <col min="7939" max="8184" width="9.109375" style="228"/>
    <col min="8185" max="8185" width="6.88671875" style="228" customWidth="1"/>
    <col min="8186" max="8186" width="2.6640625" style="228" customWidth="1"/>
    <col min="8187" max="8187" width="57.6640625" style="228" customWidth="1"/>
    <col min="8188" max="8188" width="9.109375" style="228"/>
    <col min="8189" max="8189" width="9.33203125" style="228" customWidth="1"/>
    <col min="8190" max="8190" width="14.109375" style="228" customWidth="1"/>
    <col min="8191" max="8191" width="13.5546875" style="228" customWidth="1"/>
    <col min="8192" max="8192" width="9.109375" style="228"/>
    <col min="8193" max="8193" width="11.88671875" style="228" customWidth="1"/>
    <col min="8194" max="8194" width="10.33203125" style="228" customWidth="1"/>
    <col min="8195" max="8440" width="9.109375" style="228"/>
    <col min="8441" max="8441" width="6.88671875" style="228" customWidth="1"/>
    <col min="8442" max="8442" width="2.6640625" style="228" customWidth="1"/>
    <col min="8443" max="8443" width="57.6640625" style="228" customWidth="1"/>
    <col min="8444" max="8444" width="9.109375" style="228"/>
    <col min="8445" max="8445" width="9.33203125" style="228" customWidth="1"/>
    <col min="8446" max="8446" width="14.109375" style="228" customWidth="1"/>
    <col min="8447" max="8447" width="13.5546875" style="228" customWidth="1"/>
    <col min="8448" max="8448" width="9.109375" style="228"/>
    <col min="8449" max="8449" width="11.88671875" style="228" customWidth="1"/>
    <col min="8450" max="8450" width="10.33203125" style="228" customWidth="1"/>
    <col min="8451" max="8696" width="9.109375" style="228"/>
    <col min="8697" max="8697" width="6.88671875" style="228" customWidth="1"/>
    <col min="8698" max="8698" width="2.6640625" style="228" customWidth="1"/>
    <col min="8699" max="8699" width="57.6640625" style="228" customWidth="1"/>
    <col min="8700" max="8700" width="9.109375" style="228"/>
    <col min="8701" max="8701" width="9.33203125" style="228" customWidth="1"/>
    <col min="8702" max="8702" width="14.109375" style="228" customWidth="1"/>
    <col min="8703" max="8703" width="13.5546875" style="228" customWidth="1"/>
    <col min="8704" max="8704" width="9.109375" style="228"/>
    <col min="8705" max="8705" width="11.88671875" style="228" customWidth="1"/>
    <col min="8706" max="8706" width="10.33203125" style="228" customWidth="1"/>
    <col min="8707" max="8952" width="9.109375" style="228"/>
    <col min="8953" max="8953" width="6.88671875" style="228" customWidth="1"/>
    <col min="8954" max="8954" width="2.6640625" style="228" customWidth="1"/>
    <col min="8955" max="8955" width="57.6640625" style="228" customWidth="1"/>
    <col min="8956" max="8956" width="9.109375" style="228"/>
    <col min="8957" max="8957" width="9.33203125" style="228" customWidth="1"/>
    <col min="8958" max="8958" width="14.109375" style="228" customWidth="1"/>
    <col min="8959" max="8959" width="13.5546875" style="228" customWidth="1"/>
    <col min="8960" max="8960" width="9.109375" style="228"/>
    <col min="8961" max="8961" width="11.88671875" style="228" customWidth="1"/>
    <col min="8962" max="8962" width="10.33203125" style="228" customWidth="1"/>
    <col min="8963" max="9208" width="9.109375" style="228"/>
    <col min="9209" max="9209" width="6.88671875" style="228" customWidth="1"/>
    <col min="9210" max="9210" width="2.6640625" style="228" customWidth="1"/>
    <col min="9211" max="9211" width="57.6640625" style="228" customWidth="1"/>
    <col min="9212" max="9212" width="9.109375" style="228"/>
    <col min="9213" max="9213" width="9.33203125" style="228" customWidth="1"/>
    <col min="9214" max="9214" width="14.109375" style="228" customWidth="1"/>
    <col min="9215" max="9215" width="13.5546875" style="228" customWidth="1"/>
    <col min="9216" max="9216" width="9.109375" style="228"/>
    <col min="9217" max="9217" width="11.88671875" style="228" customWidth="1"/>
    <col min="9218" max="9218" width="10.33203125" style="228" customWidth="1"/>
    <col min="9219" max="9464" width="9.109375" style="228"/>
    <col min="9465" max="9465" width="6.88671875" style="228" customWidth="1"/>
    <col min="9466" max="9466" width="2.6640625" style="228" customWidth="1"/>
    <col min="9467" max="9467" width="57.6640625" style="228" customWidth="1"/>
    <col min="9468" max="9468" width="9.109375" style="228"/>
    <col min="9469" max="9469" width="9.33203125" style="228" customWidth="1"/>
    <col min="9470" max="9470" width="14.109375" style="228" customWidth="1"/>
    <col min="9471" max="9471" width="13.5546875" style="228" customWidth="1"/>
    <col min="9472" max="9472" width="9.109375" style="228"/>
    <col min="9473" max="9473" width="11.88671875" style="228" customWidth="1"/>
    <col min="9474" max="9474" width="10.33203125" style="228" customWidth="1"/>
    <col min="9475" max="9720" width="9.109375" style="228"/>
    <col min="9721" max="9721" width="6.88671875" style="228" customWidth="1"/>
    <col min="9722" max="9722" width="2.6640625" style="228" customWidth="1"/>
    <col min="9723" max="9723" width="57.6640625" style="228" customWidth="1"/>
    <col min="9724" max="9724" width="9.109375" style="228"/>
    <col min="9725" max="9725" width="9.33203125" style="228" customWidth="1"/>
    <col min="9726" max="9726" width="14.109375" style="228" customWidth="1"/>
    <col min="9727" max="9727" width="13.5546875" style="228" customWidth="1"/>
    <col min="9728" max="9728" width="9.109375" style="228"/>
    <col min="9729" max="9729" width="11.88671875" style="228" customWidth="1"/>
    <col min="9730" max="9730" width="10.33203125" style="228" customWidth="1"/>
    <col min="9731" max="9976" width="9.109375" style="228"/>
    <col min="9977" max="9977" width="6.88671875" style="228" customWidth="1"/>
    <col min="9978" max="9978" width="2.6640625" style="228" customWidth="1"/>
    <col min="9979" max="9979" width="57.6640625" style="228" customWidth="1"/>
    <col min="9980" max="9980" width="9.109375" style="228"/>
    <col min="9981" max="9981" width="9.33203125" style="228" customWidth="1"/>
    <col min="9982" max="9982" width="14.109375" style="228" customWidth="1"/>
    <col min="9983" max="9983" width="13.5546875" style="228" customWidth="1"/>
    <col min="9984" max="9984" width="9.109375" style="228"/>
    <col min="9985" max="9985" width="11.88671875" style="228" customWidth="1"/>
    <col min="9986" max="9986" width="10.33203125" style="228" customWidth="1"/>
    <col min="9987" max="10232" width="9.109375" style="228"/>
    <col min="10233" max="10233" width="6.88671875" style="228" customWidth="1"/>
    <col min="10234" max="10234" width="2.6640625" style="228" customWidth="1"/>
    <col min="10235" max="10235" width="57.6640625" style="228" customWidth="1"/>
    <col min="10236" max="10236" width="9.109375" style="228"/>
    <col min="10237" max="10237" width="9.33203125" style="228" customWidth="1"/>
    <col min="10238" max="10238" width="14.109375" style="228" customWidth="1"/>
    <col min="10239" max="10239" width="13.5546875" style="228" customWidth="1"/>
    <col min="10240" max="10240" width="9.109375" style="228"/>
    <col min="10241" max="10241" width="11.88671875" style="228" customWidth="1"/>
    <col min="10242" max="10242" width="10.33203125" style="228" customWidth="1"/>
    <col min="10243" max="10488" width="9.109375" style="228"/>
    <col min="10489" max="10489" width="6.88671875" style="228" customWidth="1"/>
    <col min="10490" max="10490" width="2.6640625" style="228" customWidth="1"/>
    <col min="10491" max="10491" width="57.6640625" style="228" customWidth="1"/>
    <col min="10492" max="10492" width="9.109375" style="228"/>
    <col min="10493" max="10493" width="9.33203125" style="228" customWidth="1"/>
    <col min="10494" max="10494" width="14.109375" style="228" customWidth="1"/>
    <col min="10495" max="10495" width="13.5546875" style="228" customWidth="1"/>
    <col min="10496" max="10496" width="9.109375" style="228"/>
    <col min="10497" max="10497" width="11.88671875" style="228" customWidth="1"/>
    <col min="10498" max="10498" width="10.33203125" style="228" customWidth="1"/>
    <col min="10499" max="10744" width="9.109375" style="228"/>
    <col min="10745" max="10745" width="6.88671875" style="228" customWidth="1"/>
    <col min="10746" max="10746" width="2.6640625" style="228" customWidth="1"/>
    <col min="10747" max="10747" width="57.6640625" style="228" customWidth="1"/>
    <col min="10748" max="10748" width="9.109375" style="228"/>
    <col min="10749" max="10749" width="9.33203125" style="228" customWidth="1"/>
    <col min="10750" max="10750" width="14.109375" style="228" customWidth="1"/>
    <col min="10751" max="10751" width="13.5546875" style="228" customWidth="1"/>
    <col min="10752" max="10752" width="9.109375" style="228"/>
    <col min="10753" max="10753" width="11.88671875" style="228" customWidth="1"/>
    <col min="10754" max="10754" width="10.33203125" style="228" customWidth="1"/>
    <col min="10755" max="11000" width="9.109375" style="228"/>
    <col min="11001" max="11001" width="6.88671875" style="228" customWidth="1"/>
    <col min="11002" max="11002" width="2.6640625" style="228" customWidth="1"/>
    <col min="11003" max="11003" width="57.6640625" style="228" customWidth="1"/>
    <col min="11004" max="11004" width="9.109375" style="228"/>
    <col min="11005" max="11005" width="9.33203125" style="228" customWidth="1"/>
    <col min="11006" max="11006" width="14.109375" style="228" customWidth="1"/>
    <col min="11007" max="11007" width="13.5546875" style="228" customWidth="1"/>
    <col min="11008" max="11008" width="9.109375" style="228"/>
    <col min="11009" max="11009" width="11.88671875" style="228" customWidth="1"/>
    <col min="11010" max="11010" width="10.33203125" style="228" customWidth="1"/>
    <col min="11011" max="11256" width="9.109375" style="228"/>
    <col min="11257" max="11257" width="6.88671875" style="228" customWidth="1"/>
    <col min="11258" max="11258" width="2.6640625" style="228" customWidth="1"/>
    <col min="11259" max="11259" width="57.6640625" style="228" customWidth="1"/>
    <col min="11260" max="11260" width="9.109375" style="228"/>
    <col min="11261" max="11261" width="9.33203125" style="228" customWidth="1"/>
    <col min="11262" max="11262" width="14.109375" style="228" customWidth="1"/>
    <col min="11263" max="11263" width="13.5546875" style="228" customWidth="1"/>
    <col min="11264" max="11264" width="9.109375" style="228"/>
    <col min="11265" max="11265" width="11.88671875" style="228" customWidth="1"/>
    <col min="11266" max="11266" width="10.33203125" style="228" customWidth="1"/>
    <col min="11267" max="11512" width="9.109375" style="228"/>
    <col min="11513" max="11513" width="6.88671875" style="228" customWidth="1"/>
    <col min="11514" max="11514" width="2.6640625" style="228" customWidth="1"/>
    <col min="11515" max="11515" width="57.6640625" style="228" customWidth="1"/>
    <col min="11516" max="11516" width="9.109375" style="228"/>
    <col min="11517" max="11517" width="9.33203125" style="228" customWidth="1"/>
    <col min="11518" max="11518" width="14.109375" style="228" customWidth="1"/>
    <col min="11519" max="11519" width="13.5546875" style="228" customWidth="1"/>
    <col min="11520" max="11520" width="9.109375" style="228"/>
    <col min="11521" max="11521" width="11.88671875" style="228" customWidth="1"/>
    <col min="11522" max="11522" width="10.33203125" style="228" customWidth="1"/>
    <col min="11523" max="11768" width="9.109375" style="228"/>
    <col min="11769" max="11769" width="6.88671875" style="228" customWidth="1"/>
    <col min="11770" max="11770" width="2.6640625" style="228" customWidth="1"/>
    <col min="11771" max="11771" width="57.6640625" style="228" customWidth="1"/>
    <col min="11772" max="11772" width="9.109375" style="228"/>
    <col min="11773" max="11773" width="9.33203125" style="228" customWidth="1"/>
    <col min="11774" max="11774" width="14.109375" style="228" customWidth="1"/>
    <col min="11775" max="11775" width="13.5546875" style="228" customWidth="1"/>
    <col min="11776" max="11776" width="9.109375" style="228"/>
    <col min="11777" max="11777" width="11.88671875" style="228" customWidth="1"/>
    <col min="11778" max="11778" width="10.33203125" style="228" customWidth="1"/>
    <col min="11779" max="12024" width="9.109375" style="228"/>
    <col min="12025" max="12025" width="6.88671875" style="228" customWidth="1"/>
    <col min="12026" max="12026" width="2.6640625" style="228" customWidth="1"/>
    <col min="12027" max="12027" width="57.6640625" style="228" customWidth="1"/>
    <col min="12028" max="12028" width="9.109375" style="228"/>
    <col min="12029" max="12029" width="9.33203125" style="228" customWidth="1"/>
    <col min="12030" max="12030" width="14.109375" style="228" customWidth="1"/>
    <col min="12031" max="12031" width="13.5546875" style="228" customWidth="1"/>
    <col min="12032" max="12032" width="9.109375" style="228"/>
    <col min="12033" max="12033" width="11.88671875" style="228" customWidth="1"/>
    <col min="12034" max="12034" width="10.33203125" style="228" customWidth="1"/>
    <col min="12035" max="12280" width="9.109375" style="228"/>
    <col min="12281" max="12281" width="6.88671875" style="228" customWidth="1"/>
    <col min="12282" max="12282" width="2.6640625" style="228" customWidth="1"/>
    <col min="12283" max="12283" width="57.6640625" style="228" customWidth="1"/>
    <col min="12284" max="12284" width="9.109375" style="228"/>
    <col min="12285" max="12285" width="9.33203125" style="228" customWidth="1"/>
    <col min="12286" max="12286" width="14.109375" style="228" customWidth="1"/>
    <col min="12287" max="12287" width="13.5546875" style="228" customWidth="1"/>
    <col min="12288" max="12288" width="9.109375" style="228"/>
    <col min="12289" max="12289" width="11.88671875" style="228" customWidth="1"/>
    <col min="12290" max="12290" width="10.33203125" style="228" customWidth="1"/>
    <col min="12291" max="12536" width="9.109375" style="228"/>
    <col min="12537" max="12537" width="6.88671875" style="228" customWidth="1"/>
    <col min="12538" max="12538" width="2.6640625" style="228" customWidth="1"/>
    <col min="12539" max="12539" width="57.6640625" style="228" customWidth="1"/>
    <col min="12540" max="12540" width="9.109375" style="228"/>
    <col min="12541" max="12541" width="9.33203125" style="228" customWidth="1"/>
    <col min="12542" max="12542" width="14.109375" style="228" customWidth="1"/>
    <col min="12543" max="12543" width="13.5546875" style="228" customWidth="1"/>
    <col min="12544" max="12544" width="9.109375" style="228"/>
    <col min="12545" max="12545" width="11.88671875" style="228" customWidth="1"/>
    <col min="12546" max="12546" width="10.33203125" style="228" customWidth="1"/>
    <col min="12547" max="12792" width="9.109375" style="228"/>
    <col min="12793" max="12793" width="6.88671875" style="228" customWidth="1"/>
    <col min="12794" max="12794" width="2.6640625" style="228" customWidth="1"/>
    <col min="12795" max="12795" width="57.6640625" style="228" customWidth="1"/>
    <col min="12796" max="12796" width="9.109375" style="228"/>
    <col min="12797" max="12797" width="9.33203125" style="228" customWidth="1"/>
    <col min="12798" max="12798" width="14.109375" style="228" customWidth="1"/>
    <col min="12799" max="12799" width="13.5546875" style="228" customWidth="1"/>
    <col min="12800" max="12800" width="9.109375" style="228"/>
    <col min="12801" max="12801" width="11.88671875" style="228" customWidth="1"/>
    <col min="12802" max="12802" width="10.33203125" style="228" customWidth="1"/>
    <col min="12803" max="13048" width="9.109375" style="228"/>
    <col min="13049" max="13049" width="6.88671875" style="228" customWidth="1"/>
    <col min="13050" max="13050" width="2.6640625" style="228" customWidth="1"/>
    <col min="13051" max="13051" width="57.6640625" style="228" customWidth="1"/>
    <col min="13052" max="13052" width="9.109375" style="228"/>
    <col min="13053" max="13053" width="9.33203125" style="228" customWidth="1"/>
    <col min="13054" max="13054" width="14.109375" style="228" customWidth="1"/>
    <col min="13055" max="13055" width="13.5546875" style="228" customWidth="1"/>
    <col min="13056" max="13056" width="9.109375" style="228"/>
    <col min="13057" max="13057" width="11.88671875" style="228" customWidth="1"/>
    <col min="13058" max="13058" width="10.33203125" style="228" customWidth="1"/>
    <col min="13059" max="13304" width="9.109375" style="228"/>
    <col min="13305" max="13305" width="6.88671875" style="228" customWidth="1"/>
    <col min="13306" max="13306" width="2.6640625" style="228" customWidth="1"/>
    <col min="13307" max="13307" width="57.6640625" style="228" customWidth="1"/>
    <col min="13308" max="13308" width="9.109375" style="228"/>
    <col min="13309" max="13309" width="9.33203125" style="228" customWidth="1"/>
    <col min="13310" max="13310" width="14.109375" style="228" customWidth="1"/>
    <col min="13311" max="13311" width="13.5546875" style="228" customWidth="1"/>
    <col min="13312" max="13312" width="9.109375" style="228"/>
    <col min="13313" max="13313" width="11.88671875" style="228" customWidth="1"/>
    <col min="13314" max="13314" width="10.33203125" style="228" customWidth="1"/>
    <col min="13315" max="13560" width="9.109375" style="228"/>
    <col min="13561" max="13561" width="6.88671875" style="228" customWidth="1"/>
    <col min="13562" max="13562" width="2.6640625" style="228" customWidth="1"/>
    <col min="13563" max="13563" width="57.6640625" style="228" customWidth="1"/>
    <col min="13564" max="13564" width="9.109375" style="228"/>
    <col min="13565" max="13565" width="9.33203125" style="228" customWidth="1"/>
    <col min="13566" max="13566" width="14.109375" style="228" customWidth="1"/>
    <col min="13567" max="13567" width="13.5546875" style="228" customWidth="1"/>
    <col min="13568" max="13568" width="9.109375" style="228"/>
    <col min="13569" max="13569" width="11.88671875" style="228" customWidth="1"/>
    <col min="13570" max="13570" width="10.33203125" style="228" customWidth="1"/>
    <col min="13571" max="13816" width="9.109375" style="228"/>
    <col min="13817" max="13817" width="6.88671875" style="228" customWidth="1"/>
    <col min="13818" max="13818" width="2.6640625" style="228" customWidth="1"/>
    <col min="13819" max="13819" width="57.6640625" style="228" customWidth="1"/>
    <col min="13820" max="13820" width="9.109375" style="228"/>
    <col min="13821" max="13821" width="9.33203125" style="228" customWidth="1"/>
    <col min="13822" max="13822" width="14.109375" style="228" customWidth="1"/>
    <col min="13823" max="13823" width="13.5546875" style="228" customWidth="1"/>
    <col min="13824" max="13824" width="9.109375" style="228"/>
    <col min="13825" max="13825" width="11.88671875" style="228" customWidth="1"/>
    <col min="13826" max="13826" width="10.33203125" style="228" customWidth="1"/>
    <col min="13827" max="14072" width="9.109375" style="228"/>
    <col min="14073" max="14073" width="6.88671875" style="228" customWidth="1"/>
    <col min="14074" max="14074" width="2.6640625" style="228" customWidth="1"/>
    <col min="14075" max="14075" width="57.6640625" style="228" customWidth="1"/>
    <col min="14076" max="14076" width="9.109375" style="228"/>
    <col min="14077" max="14077" width="9.33203125" style="228" customWidth="1"/>
    <col min="14078" max="14078" width="14.109375" style="228" customWidth="1"/>
    <col min="14079" max="14079" width="13.5546875" style="228" customWidth="1"/>
    <col min="14080" max="14080" width="9.109375" style="228"/>
    <col min="14081" max="14081" width="11.88671875" style="228" customWidth="1"/>
    <col min="14082" max="14082" width="10.33203125" style="228" customWidth="1"/>
    <col min="14083" max="14328" width="9.109375" style="228"/>
    <col min="14329" max="14329" width="6.88671875" style="228" customWidth="1"/>
    <col min="14330" max="14330" width="2.6640625" style="228" customWidth="1"/>
    <col min="14331" max="14331" width="57.6640625" style="228" customWidth="1"/>
    <col min="14332" max="14332" width="9.109375" style="228"/>
    <col min="14333" max="14333" width="9.33203125" style="228" customWidth="1"/>
    <col min="14334" max="14334" width="14.109375" style="228" customWidth="1"/>
    <col min="14335" max="14335" width="13.5546875" style="228" customWidth="1"/>
    <col min="14336" max="14336" width="9.109375" style="228"/>
    <col min="14337" max="14337" width="11.88671875" style="228" customWidth="1"/>
    <col min="14338" max="14338" width="10.33203125" style="228" customWidth="1"/>
    <col min="14339" max="14584" width="9.109375" style="228"/>
    <col min="14585" max="14585" width="6.88671875" style="228" customWidth="1"/>
    <col min="14586" max="14586" width="2.6640625" style="228" customWidth="1"/>
    <col min="14587" max="14587" width="57.6640625" style="228" customWidth="1"/>
    <col min="14588" max="14588" width="9.109375" style="228"/>
    <col min="14589" max="14589" width="9.33203125" style="228" customWidth="1"/>
    <col min="14590" max="14590" width="14.109375" style="228" customWidth="1"/>
    <col min="14591" max="14591" width="13.5546875" style="228" customWidth="1"/>
    <col min="14592" max="14592" width="9.109375" style="228"/>
    <col min="14593" max="14593" width="11.88671875" style="228" customWidth="1"/>
    <col min="14594" max="14594" width="10.33203125" style="228" customWidth="1"/>
    <col min="14595" max="14840" width="9.109375" style="228"/>
    <col min="14841" max="14841" width="6.88671875" style="228" customWidth="1"/>
    <col min="14842" max="14842" width="2.6640625" style="228" customWidth="1"/>
    <col min="14843" max="14843" width="57.6640625" style="228" customWidth="1"/>
    <col min="14844" max="14844" width="9.109375" style="228"/>
    <col min="14845" max="14845" width="9.33203125" style="228" customWidth="1"/>
    <col min="14846" max="14846" width="14.109375" style="228" customWidth="1"/>
    <col min="14847" max="14847" width="13.5546875" style="228" customWidth="1"/>
    <col min="14848" max="14848" width="9.109375" style="228"/>
    <col min="14849" max="14849" width="11.88671875" style="228" customWidth="1"/>
    <col min="14850" max="14850" width="10.33203125" style="228" customWidth="1"/>
    <col min="14851" max="15096" width="9.109375" style="228"/>
    <col min="15097" max="15097" width="6.88671875" style="228" customWidth="1"/>
    <col min="15098" max="15098" width="2.6640625" style="228" customWidth="1"/>
    <col min="15099" max="15099" width="57.6640625" style="228" customWidth="1"/>
    <col min="15100" max="15100" width="9.109375" style="228"/>
    <col min="15101" max="15101" width="9.33203125" style="228" customWidth="1"/>
    <col min="15102" max="15102" width="14.109375" style="228" customWidth="1"/>
    <col min="15103" max="15103" width="13.5546875" style="228" customWidth="1"/>
    <col min="15104" max="15104" width="9.109375" style="228"/>
    <col min="15105" max="15105" width="11.88671875" style="228" customWidth="1"/>
    <col min="15106" max="15106" width="10.33203125" style="228" customWidth="1"/>
    <col min="15107" max="15352" width="9.109375" style="228"/>
    <col min="15353" max="15353" width="6.88671875" style="228" customWidth="1"/>
    <col min="15354" max="15354" width="2.6640625" style="228" customWidth="1"/>
    <col min="15355" max="15355" width="57.6640625" style="228" customWidth="1"/>
    <col min="15356" max="15356" width="9.109375" style="228"/>
    <col min="15357" max="15357" width="9.33203125" style="228" customWidth="1"/>
    <col min="15358" max="15358" width="14.109375" style="228" customWidth="1"/>
    <col min="15359" max="15359" width="13.5546875" style="228" customWidth="1"/>
    <col min="15360" max="15360" width="9.109375" style="228"/>
    <col min="15361" max="15361" width="11.88671875" style="228" customWidth="1"/>
    <col min="15362" max="15362" width="10.33203125" style="228" customWidth="1"/>
    <col min="15363" max="15608" width="9.109375" style="228"/>
    <col min="15609" max="15609" width="6.88671875" style="228" customWidth="1"/>
    <col min="15610" max="15610" width="2.6640625" style="228" customWidth="1"/>
    <col min="15611" max="15611" width="57.6640625" style="228" customWidth="1"/>
    <col min="15612" max="15612" width="9.109375" style="228"/>
    <col min="15613" max="15613" width="9.33203125" style="228" customWidth="1"/>
    <col min="15614" max="15614" width="14.109375" style="228" customWidth="1"/>
    <col min="15615" max="15615" width="13.5546875" style="228" customWidth="1"/>
    <col min="15616" max="15616" width="9.109375" style="228"/>
    <col min="15617" max="15617" width="11.88671875" style="228" customWidth="1"/>
    <col min="15618" max="15618" width="10.33203125" style="228" customWidth="1"/>
    <col min="15619" max="15864" width="9.109375" style="228"/>
    <col min="15865" max="15865" width="6.88671875" style="228" customWidth="1"/>
    <col min="15866" max="15866" width="2.6640625" style="228" customWidth="1"/>
    <col min="15867" max="15867" width="57.6640625" style="228" customWidth="1"/>
    <col min="15868" max="15868" width="9.109375" style="228"/>
    <col min="15869" max="15869" width="9.33203125" style="228" customWidth="1"/>
    <col min="15870" max="15870" width="14.109375" style="228" customWidth="1"/>
    <col min="15871" max="15871" width="13.5546875" style="228" customWidth="1"/>
    <col min="15872" max="15872" width="9.109375" style="228"/>
    <col min="15873" max="15873" width="11.88671875" style="228" customWidth="1"/>
    <col min="15874" max="15874" width="10.33203125" style="228" customWidth="1"/>
    <col min="15875" max="16120" width="9.109375" style="228"/>
    <col min="16121" max="16121" width="6.88671875" style="228" customWidth="1"/>
    <col min="16122" max="16122" width="2.6640625" style="228" customWidth="1"/>
    <col min="16123" max="16123" width="57.6640625" style="228" customWidth="1"/>
    <col min="16124" max="16124" width="9.109375" style="228"/>
    <col min="16125" max="16125" width="9.33203125" style="228" customWidth="1"/>
    <col min="16126" max="16126" width="14.109375" style="228" customWidth="1"/>
    <col min="16127" max="16127" width="13.5546875" style="228" customWidth="1"/>
    <col min="16128" max="16128" width="9.109375" style="228"/>
    <col min="16129" max="16129" width="11.88671875" style="228" customWidth="1"/>
    <col min="16130" max="16130" width="10.33203125" style="228" customWidth="1"/>
    <col min="16131" max="16384" width="9.109375" style="228"/>
  </cols>
  <sheetData>
    <row r="1" spans="1:219" ht="12">
      <c r="A1" s="332" t="str">
        <f>'I. PERSIAPAN'!B1</f>
        <v>PROGRESS MINGGUAN</v>
      </c>
    </row>
    <row r="2" spans="1:219" ht="12">
      <c r="A2" s="332" t="str">
        <f>'I. PERSIAPAN'!B2</f>
        <v>PROYEK SHOWROOM &amp; WORKSHOP</v>
      </c>
    </row>
    <row r="3" spans="1:219" ht="12">
      <c r="A3" s="332" t="str">
        <f>'I. PERSIAPAN'!B3</f>
        <v>DAIHATSU Cabang BATAM-KEPULAUAN RIAU</v>
      </c>
    </row>
    <row r="4" spans="1:219" ht="12">
      <c r="A4" s="332" t="str">
        <f>'I. PERSIAPAN'!B4</f>
        <v xml:space="preserve">PT. ASTRA INTERNATIONAL Tbk </v>
      </c>
    </row>
    <row r="5" spans="1:219" ht="12">
      <c r="A5" s="332" t="str">
        <f>'I. PERSIAPAN'!B5</f>
        <v>PERIODE : 6- 18 April2026</v>
      </c>
    </row>
    <row r="6" spans="1:219" ht="12">
      <c r="A6" s="332" t="str">
        <f>'I. PERSIAPAN'!B6</f>
        <v>MINGGU KE 2 (Dua)</v>
      </c>
    </row>
    <row r="7" spans="1:219" ht="19.5" customHeight="1">
      <c r="A7" s="332"/>
      <c r="F7" s="2191"/>
      <c r="G7" s="2191"/>
    </row>
    <row r="8" spans="1:219" ht="14.4" customHeight="1">
      <c r="A8" s="2193" t="s">
        <v>93</v>
      </c>
      <c r="B8" s="2195" t="s">
        <v>740</v>
      </c>
      <c r="C8" s="2195"/>
      <c r="D8" s="2195" t="s">
        <v>766</v>
      </c>
      <c r="E8" s="2197" t="s">
        <v>742</v>
      </c>
      <c r="F8" s="452" t="s">
        <v>552</v>
      </c>
      <c r="G8" s="453" t="s">
        <v>743</v>
      </c>
      <c r="H8" s="2199" t="s">
        <v>14</v>
      </c>
      <c r="I8" s="2203" t="s">
        <v>64</v>
      </c>
      <c r="J8" s="2203"/>
      <c r="K8" s="2203"/>
      <c r="L8" s="2203" t="s">
        <v>16</v>
      </c>
      <c r="M8" s="2203"/>
      <c r="N8" s="2203"/>
      <c r="O8" s="454" t="s">
        <v>65</v>
      </c>
      <c r="P8" s="454"/>
      <c r="Q8" s="454"/>
      <c r="R8" s="2201" t="s">
        <v>18</v>
      </c>
    </row>
    <row r="9" spans="1:219" ht="13.8">
      <c r="A9" s="2194"/>
      <c r="B9" s="2196"/>
      <c r="C9" s="2196"/>
      <c r="D9" s="2196"/>
      <c r="E9" s="2198"/>
      <c r="F9" s="455" t="s">
        <v>744</v>
      </c>
      <c r="G9" s="456" t="s">
        <v>552</v>
      </c>
      <c r="H9" s="2200"/>
      <c r="I9" s="457" t="s">
        <v>20</v>
      </c>
      <c r="J9" s="458" t="s">
        <v>21</v>
      </c>
      <c r="K9" s="459" t="s">
        <v>14</v>
      </c>
      <c r="L9" s="457" t="s">
        <v>20</v>
      </c>
      <c r="M9" s="460" t="s">
        <v>21</v>
      </c>
      <c r="N9" s="460" t="s">
        <v>14</v>
      </c>
      <c r="O9" s="461" t="s">
        <v>20</v>
      </c>
      <c r="P9" s="457" t="s">
        <v>21</v>
      </c>
      <c r="Q9" s="459" t="s">
        <v>14</v>
      </c>
      <c r="R9" s="2202"/>
    </row>
    <row r="10" spans="1:219">
      <c r="A10" s="345"/>
      <c r="B10" s="346"/>
      <c r="C10" s="347"/>
      <c r="D10" s="348"/>
      <c r="E10" s="349"/>
      <c r="F10" s="350"/>
      <c r="G10" s="351"/>
      <c r="H10" s="349"/>
      <c r="I10" s="351"/>
      <c r="J10" s="351"/>
      <c r="K10" s="351"/>
      <c r="L10" s="351"/>
      <c r="M10" s="351"/>
      <c r="N10" s="351"/>
      <c r="O10" s="351"/>
      <c r="P10" s="351"/>
      <c r="Q10" s="351"/>
      <c r="R10" s="351"/>
    </row>
    <row r="11" spans="1:219" s="328" customFormat="1" ht="12">
      <c r="A11" s="352" t="s">
        <v>22</v>
      </c>
      <c r="B11" s="353" t="s">
        <v>29</v>
      </c>
      <c r="C11" s="354"/>
      <c r="D11" s="355"/>
      <c r="E11" s="356"/>
      <c r="F11" s="357"/>
      <c r="G11" s="358"/>
      <c r="H11" s="359"/>
      <c r="I11" s="360"/>
      <c r="J11" s="360"/>
      <c r="K11" s="360"/>
      <c r="L11" s="360"/>
      <c r="M11" s="360"/>
      <c r="N11" s="360"/>
      <c r="O11" s="360"/>
      <c r="P11" s="360"/>
      <c r="Q11" s="360"/>
      <c r="R11" s="360"/>
      <c r="S11" s="361"/>
      <c r="T11" s="361"/>
      <c r="U11" s="361"/>
      <c r="V11" s="361"/>
      <c r="W11" s="361"/>
      <c r="X11" s="361"/>
      <c r="Y11" s="361"/>
      <c r="Z11" s="361"/>
      <c r="AA11" s="361"/>
      <c r="AB11" s="361"/>
      <c r="AC11" s="361"/>
      <c r="AD11" s="361"/>
      <c r="AE11" s="361"/>
      <c r="AF11" s="361"/>
      <c r="AG11" s="361"/>
      <c r="AH11" s="361"/>
      <c r="AI11" s="361"/>
      <c r="AJ11" s="361"/>
      <c r="AK11" s="361"/>
      <c r="AL11" s="361"/>
      <c r="AM11" s="361"/>
      <c r="AN11" s="361"/>
      <c r="AO11" s="361"/>
      <c r="AP11" s="361"/>
      <c r="AQ11" s="361"/>
      <c r="AR11" s="361"/>
      <c r="AS11" s="361"/>
      <c r="AT11" s="361"/>
      <c r="AU11" s="361"/>
      <c r="AV11" s="361"/>
      <c r="AW11" s="361"/>
      <c r="AX11" s="361"/>
      <c r="AY11" s="361"/>
      <c r="AZ11" s="361"/>
      <c r="BA11" s="361"/>
      <c r="BB11" s="361"/>
      <c r="BC11" s="361"/>
      <c r="BD11" s="361"/>
      <c r="BE11" s="361"/>
      <c r="BF11" s="361"/>
      <c r="BG11" s="361"/>
      <c r="BH11" s="361"/>
      <c r="BI11" s="361"/>
      <c r="BJ11" s="361"/>
      <c r="BK11" s="361"/>
      <c r="BL11" s="361"/>
      <c r="BM11" s="361"/>
      <c r="BN11" s="361"/>
      <c r="BO11" s="361"/>
      <c r="BP11" s="361"/>
      <c r="BQ11" s="361"/>
      <c r="BR11" s="361"/>
      <c r="BS11" s="361"/>
      <c r="BT11" s="361"/>
      <c r="BU11" s="361"/>
      <c r="BV11" s="361"/>
      <c r="BW11" s="361"/>
      <c r="BX11" s="361"/>
      <c r="BY11" s="361"/>
      <c r="BZ11" s="361"/>
      <c r="CA11" s="361"/>
      <c r="CB11" s="361"/>
      <c r="CC11" s="361"/>
      <c r="CD11" s="361"/>
      <c r="CE11" s="361"/>
      <c r="CF11" s="361"/>
      <c r="CG11" s="361"/>
      <c r="CH11" s="361"/>
      <c r="CI11" s="361"/>
      <c r="CJ11" s="361"/>
      <c r="CK11" s="361"/>
      <c r="CL11" s="361"/>
      <c r="CM11" s="361"/>
      <c r="CN11" s="361"/>
      <c r="CO11" s="361"/>
      <c r="CP11" s="361"/>
      <c r="CQ11" s="361"/>
      <c r="CR11" s="361"/>
      <c r="CS11" s="361"/>
      <c r="CT11" s="361"/>
      <c r="CU11" s="361"/>
      <c r="CV11" s="361"/>
      <c r="CW11" s="361"/>
      <c r="CX11" s="361"/>
      <c r="CY11" s="361"/>
      <c r="CZ11" s="361"/>
      <c r="DA11" s="361"/>
      <c r="DB11" s="361"/>
      <c r="DC11" s="361"/>
      <c r="DD11" s="361"/>
      <c r="DE11" s="361"/>
      <c r="DF11" s="361"/>
      <c r="DG11" s="361"/>
      <c r="DH11" s="361"/>
      <c r="DI11" s="361"/>
      <c r="DJ11" s="361"/>
      <c r="DK11" s="361"/>
      <c r="DL11" s="361"/>
      <c r="DM11" s="361"/>
      <c r="DN11" s="361"/>
      <c r="DO11" s="361"/>
      <c r="DP11" s="361"/>
      <c r="DQ11" s="361"/>
      <c r="DR11" s="361"/>
      <c r="DS11" s="361"/>
      <c r="DT11" s="361"/>
      <c r="DU11" s="361"/>
      <c r="DV11" s="361"/>
      <c r="DW11" s="361"/>
      <c r="DX11" s="361"/>
      <c r="DY11" s="361"/>
      <c r="DZ11" s="361"/>
      <c r="EA11" s="361"/>
      <c r="EB11" s="361"/>
      <c r="EC11" s="361"/>
      <c r="ED11" s="361"/>
      <c r="EE11" s="361"/>
      <c r="EF11" s="361"/>
      <c r="EG11" s="361"/>
      <c r="EH11" s="361"/>
      <c r="EI11" s="361"/>
      <c r="EJ11" s="361"/>
      <c r="EK11" s="361"/>
      <c r="EL11" s="361"/>
      <c r="EM11" s="361"/>
      <c r="EN11" s="361"/>
      <c r="EO11" s="361"/>
      <c r="EP11" s="361"/>
      <c r="EQ11" s="361"/>
      <c r="ER11" s="361"/>
      <c r="ES11" s="361"/>
      <c r="ET11" s="361"/>
      <c r="EU11" s="361"/>
      <c r="EV11" s="361"/>
      <c r="EW11" s="361"/>
      <c r="EX11" s="361"/>
      <c r="EY11" s="361"/>
      <c r="EZ11" s="361"/>
      <c r="FA11" s="361"/>
      <c r="FB11" s="361"/>
      <c r="FC11" s="361"/>
      <c r="FD11" s="361"/>
      <c r="FE11" s="361"/>
      <c r="FF11" s="361"/>
      <c r="FG11" s="361"/>
      <c r="FH11" s="361"/>
      <c r="FI11" s="361"/>
      <c r="FJ11" s="361"/>
      <c r="FK11" s="361"/>
      <c r="FL11" s="361"/>
      <c r="FM11" s="361"/>
      <c r="FN11" s="361"/>
      <c r="FO11" s="361"/>
      <c r="FP11" s="361"/>
      <c r="FQ11" s="361"/>
      <c r="FR11" s="361"/>
      <c r="FS11" s="361"/>
      <c r="FT11" s="361"/>
      <c r="FU11" s="361"/>
      <c r="FV11" s="361"/>
      <c r="FW11" s="361"/>
      <c r="FX11" s="361"/>
      <c r="FY11" s="361"/>
      <c r="FZ11" s="361"/>
      <c r="GA11" s="361"/>
      <c r="GB11" s="361"/>
      <c r="GC11" s="361"/>
      <c r="GD11" s="361"/>
      <c r="GE11" s="361"/>
      <c r="GF11" s="361"/>
      <c r="GG11" s="361"/>
      <c r="GH11" s="361"/>
      <c r="GI11" s="361"/>
      <c r="GJ11" s="361"/>
      <c r="GK11" s="361"/>
      <c r="GL11" s="361"/>
      <c r="GM11" s="361"/>
      <c r="GN11" s="361"/>
      <c r="GO11" s="361"/>
      <c r="GP11" s="361"/>
      <c r="GQ11" s="361"/>
      <c r="GR11" s="361"/>
      <c r="GS11" s="361"/>
      <c r="GT11" s="361"/>
      <c r="GU11" s="361"/>
      <c r="GV11" s="361"/>
      <c r="GW11" s="361"/>
      <c r="GX11" s="361"/>
      <c r="GY11" s="361"/>
      <c r="GZ11" s="361"/>
      <c r="HA11" s="361"/>
      <c r="HB11" s="361"/>
      <c r="HC11" s="361"/>
      <c r="HD11" s="361"/>
      <c r="HE11" s="361"/>
      <c r="HF11" s="361"/>
      <c r="HG11" s="361"/>
      <c r="HH11" s="361"/>
      <c r="HI11" s="361"/>
      <c r="HJ11" s="361"/>
      <c r="HK11" s="361"/>
    </row>
    <row r="12" spans="1:219" s="328" customFormat="1">
      <c r="A12" s="362"/>
      <c r="B12" s="363"/>
      <c r="C12" s="354"/>
      <c r="D12" s="355"/>
      <c r="E12" s="356"/>
      <c r="F12" s="357"/>
      <c r="G12" s="358"/>
      <c r="H12" s="359"/>
      <c r="I12" s="360"/>
      <c r="J12" s="360"/>
      <c r="K12" s="360"/>
      <c r="L12" s="360"/>
      <c r="M12" s="360"/>
      <c r="N12" s="360"/>
      <c r="O12" s="360"/>
      <c r="P12" s="360"/>
      <c r="Q12" s="360"/>
      <c r="R12" s="360"/>
      <c r="S12" s="361"/>
      <c r="T12" s="361"/>
      <c r="U12" s="361"/>
      <c r="V12" s="361"/>
      <c r="W12" s="361"/>
      <c r="X12" s="361"/>
      <c r="Y12" s="361"/>
      <c r="Z12" s="361"/>
      <c r="AA12" s="361"/>
      <c r="AB12" s="361"/>
      <c r="AC12" s="361"/>
      <c r="AD12" s="361"/>
      <c r="AE12" s="361"/>
      <c r="AF12" s="361"/>
      <c r="AG12" s="361"/>
      <c r="AH12" s="361"/>
      <c r="AI12" s="361"/>
      <c r="AJ12" s="361"/>
      <c r="AK12" s="361"/>
      <c r="AL12" s="361"/>
      <c r="AM12" s="361"/>
      <c r="AN12" s="361"/>
      <c r="AO12" s="361"/>
      <c r="AP12" s="361"/>
      <c r="AQ12" s="361"/>
      <c r="AR12" s="361"/>
      <c r="AS12" s="361"/>
      <c r="AT12" s="361"/>
      <c r="AU12" s="361"/>
      <c r="AV12" s="361"/>
      <c r="AW12" s="361"/>
      <c r="AX12" s="361"/>
      <c r="AY12" s="361"/>
      <c r="AZ12" s="361"/>
      <c r="BA12" s="361"/>
      <c r="BB12" s="361"/>
      <c r="BC12" s="361"/>
      <c r="BD12" s="361"/>
      <c r="BE12" s="361"/>
      <c r="BF12" s="361"/>
      <c r="BG12" s="361"/>
      <c r="BH12" s="361"/>
      <c r="BI12" s="361"/>
      <c r="BJ12" s="361"/>
      <c r="BK12" s="361"/>
      <c r="BL12" s="361"/>
      <c r="BM12" s="361"/>
      <c r="BN12" s="361"/>
      <c r="BO12" s="361"/>
      <c r="BP12" s="361"/>
      <c r="BQ12" s="361"/>
      <c r="BR12" s="361"/>
      <c r="BS12" s="361"/>
      <c r="BT12" s="361"/>
      <c r="BU12" s="361"/>
      <c r="BV12" s="361"/>
      <c r="BW12" s="361"/>
      <c r="BX12" s="361"/>
      <c r="BY12" s="361"/>
      <c r="BZ12" s="361"/>
      <c r="CA12" s="361"/>
      <c r="CB12" s="361"/>
      <c r="CC12" s="361"/>
      <c r="CD12" s="361"/>
      <c r="CE12" s="361"/>
      <c r="CF12" s="361"/>
      <c r="CG12" s="361"/>
      <c r="CH12" s="361"/>
      <c r="CI12" s="361"/>
      <c r="CJ12" s="361"/>
      <c r="CK12" s="361"/>
      <c r="CL12" s="361"/>
      <c r="CM12" s="361"/>
      <c r="CN12" s="361"/>
      <c r="CO12" s="361"/>
      <c r="CP12" s="361"/>
      <c r="CQ12" s="361"/>
      <c r="CR12" s="361"/>
      <c r="CS12" s="361"/>
      <c r="CT12" s="361"/>
      <c r="CU12" s="361"/>
      <c r="CV12" s="361"/>
      <c r="CW12" s="361"/>
      <c r="CX12" s="361"/>
      <c r="CY12" s="361"/>
      <c r="CZ12" s="361"/>
      <c r="DA12" s="361"/>
      <c r="DB12" s="361"/>
      <c r="DC12" s="361"/>
      <c r="DD12" s="361"/>
      <c r="DE12" s="361"/>
      <c r="DF12" s="361"/>
      <c r="DG12" s="361"/>
      <c r="DH12" s="361"/>
      <c r="DI12" s="361"/>
      <c r="DJ12" s="361"/>
      <c r="DK12" s="361"/>
      <c r="DL12" s="361"/>
      <c r="DM12" s="361"/>
      <c r="DN12" s="361"/>
      <c r="DO12" s="361"/>
      <c r="DP12" s="361"/>
      <c r="DQ12" s="361"/>
      <c r="DR12" s="361"/>
      <c r="DS12" s="361"/>
      <c r="DT12" s="361"/>
      <c r="DU12" s="361"/>
      <c r="DV12" s="361"/>
      <c r="DW12" s="361"/>
      <c r="DX12" s="361"/>
      <c r="DY12" s="361"/>
      <c r="DZ12" s="361"/>
      <c r="EA12" s="361"/>
      <c r="EB12" s="361"/>
      <c r="EC12" s="361"/>
      <c r="ED12" s="361"/>
      <c r="EE12" s="361"/>
      <c r="EF12" s="361"/>
      <c r="EG12" s="361"/>
      <c r="EH12" s="361"/>
      <c r="EI12" s="361"/>
      <c r="EJ12" s="361"/>
      <c r="EK12" s="361"/>
      <c r="EL12" s="361"/>
      <c r="EM12" s="361"/>
      <c r="EN12" s="361"/>
      <c r="EO12" s="361"/>
      <c r="EP12" s="361"/>
      <c r="EQ12" s="361"/>
      <c r="ER12" s="361"/>
      <c r="ES12" s="361"/>
      <c r="ET12" s="361"/>
      <c r="EU12" s="361"/>
      <c r="EV12" s="361"/>
      <c r="EW12" s="361"/>
      <c r="EX12" s="361"/>
      <c r="EY12" s="361"/>
      <c r="EZ12" s="361"/>
      <c r="FA12" s="361"/>
      <c r="FB12" s="361"/>
      <c r="FC12" s="361"/>
      <c r="FD12" s="361"/>
      <c r="FE12" s="361"/>
      <c r="FF12" s="361"/>
      <c r="FG12" s="361"/>
      <c r="FH12" s="361"/>
      <c r="FI12" s="361"/>
      <c r="FJ12" s="361"/>
      <c r="FK12" s="361"/>
      <c r="FL12" s="361"/>
      <c r="FM12" s="361"/>
      <c r="FN12" s="361"/>
      <c r="FO12" s="361"/>
      <c r="FP12" s="361"/>
      <c r="FQ12" s="361"/>
      <c r="FR12" s="361"/>
      <c r="FS12" s="361"/>
      <c r="FT12" s="361"/>
      <c r="FU12" s="361"/>
      <c r="FV12" s="361"/>
      <c r="FW12" s="361"/>
      <c r="FX12" s="361"/>
      <c r="FY12" s="361"/>
      <c r="FZ12" s="361"/>
      <c r="GA12" s="361"/>
      <c r="GB12" s="361"/>
      <c r="GC12" s="361"/>
      <c r="GD12" s="361"/>
      <c r="GE12" s="361"/>
      <c r="GF12" s="361"/>
      <c r="GG12" s="361"/>
      <c r="GH12" s="361"/>
      <c r="GI12" s="361"/>
      <c r="GJ12" s="361"/>
      <c r="GK12" s="361"/>
      <c r="GL12" s="361"/>
      <c r="GM12" s="361"/>
      <c r="GN12" s="361"/>
      <c r="GO12" s="361"/>
      <c r="GP12" s="361"/>
      <c r="GQ12" s="361"/>
      <c r="GR12" s="361"/>
      <c r="GS12" s="361"/>
      <c r="GT12" s="361"/>
      <c r="GU12" s="361"/>
      <c r="GV12" s="361"/>
      <c r="GW12" s="361"/>
      <c r="GX12" s="361"/>
      <c r="GY12" s="361"/>
      <c r="GZ12" s="361"/>
      <c r="HA12" s="361"/>
      <c r="HB12" s="361"/>
      <c r="HC12" s="361"/>
      <c r="HD12" s="361"/>
      <c r="HE12" s="361"/>
      <c r="HF12" s="361"/>
      <c r="HG12" s="361"/>
      <c r="HH12" s="361"/>
      <c r="HI12" s="361"/>
      <c r="HJ12" s="361"/>
      <c r="HK12" s="361"/>
    </row>
    <row r="13" spans="1:219" s="395" customFormat="1" ht="12">
      <c r="A13" s="409" t="s">
        <v>32</v>
      </c>
      <c r="B13" s="410" t="s">
        <v>753</v>
      </c>
      <c r="C13" s="411"/>
      <c r="D13" s="412"/>
      <c r="E13" s="413"/>
      <c r="F13" s="414"/>
      <c r="G13" s="415"/>
      <c r="H13" s="462"/>
      <c r="I13" s="463"/>
      <c r="J13" s="463"/>
      <c r="K13" s="463"/>
      <c r="L13" s="463"/>
      <c r="M13" s="463"/>
      <c r="N13" s="463"/>
      <c r="O13" s="463"/>
      <c r="P13" s="463"/>
      <c r="Q13" s="463"/>
      <c r="R13" s="463"/>
      <c r="S13" s="417"/>
      <c r="T13" s="417"/>
      <c r="U13" s="417"/>
      <c r="V13" s="417"/>
      <c r="W13" s="417"/>
      <c r="X13" s="417"/>
      <c r="Y13" s="417"/>
      <c r="Z13" s="417"/>
      <c r="AA13" s="417"/>
      <c r="AB13" s="417"/>
      <c r="AC13" s="417"/>
      <c r="AD13" s="417"/>
      <c r="AE13" s="417"/>
      <c r="AF13" s="417"/>
      <c r="AG13" s="417"/>
      <c r="AH13" s="417"/>
      <c r="AI13" s="417"/>
      <c r="AJ13" s="417"/>
      <c r="AK13" s="417"/>
      <c r="AL13" s="417"/>
      <c r="AM13" s="417"/>
      <c r="AN13" s="417"/>
      <c r="AO13" s="417"/>
      <c r="AP13" s="417"/>
      <c r="AQ13" s="417"/>
      <c r="AR13" s="417"/>
      <c r="AS13" s="417"/>
      <c r="AT13" s="417"/>
      <c r="AU13" s="417"/>
      <c r="AV13" s="417"/>
      <c r="AW13" s="417"/>
      <c r="AX13" s="417"/>
      <c r="AY13" s="417"/>
      <c r="AZ13" s="417"/>
      <c r="BA13" s="417"/>
      <c r="BB13" s="417"/>
      <c r="BC13" s="417"/>
      <c r="BD13" s="417"/>
      <c r="BE13" s="417"/>
      <c r="BF13" s="417"/>
      <c r="BG13" s="417"/>
      <c r="BH13" s="417"/>
      <c r="BI13" s="417"/>
      <c r="BJ13" s="417"/>
      <c r="BK13" s="417"/>
      <c r="BL13" s="417"/>
      <c r="BM13" s="417"/>
      <c r="BN13" s="417"/>
      <c r="BO13" s="417"/>
      <c r="BP13" s="417"/>
      <c r="BQ13" s="417"/>
      <c r="BR13" s="417"/>
      <c r="BS13" s="417"/>
      <c r="BT13" s="417"/>
      <c r="BU13" s="417"/>
      <c r="BV13" s="417"/>
      <c r="BW13" s="417"/>
      <c r="BX13" s="417"/>
      <c r="BY13" s="417"/>
      <c r="BZ13" s="417"/>
      <c r="CA13" s="417"/>
      <c r="CB13" s="417"/>
      <c r="CC13" s="417"/>
      <c r="CD13" s="417"/>
      <c r="CE13" s="417"/>
      <c r="CF13" s="417"/>
      <c r="CG13" s="417"/>
      <c r="CH13" s="417"/>
      <c r="CI13" s="417"/>
      <c r="CJ13" s="417"/>
      <c r="CK13" s="417"/>
      <c r="CL13" s="417"/>
      <c r="CM13" s="417"/>
      <c r="CN13" s="417"/>
      <c r="CO13" s="417"/>
      <c r="CP13" s="417"/>
      <c r="CQ13" s="417"/>
      <c r="CR13" s="417"/>
      <c r="CS13" s="417"/>
      <c r="CT13" s="417"/>
      <c r="CU13" s="417"/>
      <c r="CV13" s="417"/>
      <c r="CW13" s="417"/>
      <c r="CX13" s="417"/>
      <c r="CY13" s="417"/>
      <c r="CZ13" s="417"/>
      <c r="DA13" s="417"/>
      <c r="DB13" s="417"/>
      <c r="DC13" s="417"/>
      <c r="DD13" s="417"/>
      <c r="DE13" s="417"/>
      <c r="DF13" s="417"/>
      <c r="DG13" s="417"/>
      <c r="DH13" s="417"/>
      <c r="DI13" s="417"/>
      <c r="DJ13" s="417"/>
      <c r="DK13" s="417"/>
      <c r="DL13" s="417"/>
      <c r="DM13" s="417"/>
      <c r="DN13" s="417"/>
      <c r="DO13" s="417"/>
      <c r="DP13" s="417"/>
      <c r="DQ13" s="417"/>
      <c r="DR13" s="417"/>
      <c r="DS13" s="417"/>
      <c r="DT13" s="417"/>
      <c r="DU13" s="417"/>
      <c r="DV13" s="417"/>
      <c r="DW13" s="417"/>
      <c r="DX13" s="417"/>
      <c r="DY13" s="417"/>
      <c r="DZ13" s="417"/>
      <c r="EA13" s="417"/>
      <c r="EB13" s="417"/>
      <c r="EC13" s="417"/>
      <c r="ED13" s="417"/>
      <c r="EE13" s="417"/>
      <c r="EF13" s="417"/>
      <c r="EG13" s="417"/>
      <c r="EH13" s="417"/>
      <c r="EI13" s="417"/>
      <c r="EJ13" s="417"/>
      <c r="EK13" s="417"/>
      <c r="EL13" s="417"/>
      <c r="EM13" s="417"/>
      <c r="EN13" s="417"/>
      <c r="EO13" s="417"/>
      <c r="EP13" s="417"/>
      <c r="EQ13" s="417"/>
      <c r="ER13" s="417"/>
      <c r="ES13" s="417"/>
      <c r="ET13" s="417"/>
      <c r="EU13" s="417"/>
      <c r="EV13" s="417"/>
      <c r="EW13" s="417"/>
      <c r="EX13" s="417"/>
      <c r="EY13" s="417"/>
      <c r="EZ13" s="417"/>
      <c r="FA13" s="417"/>
      <c r="FB13" s="417"/>
      <c r="FC13" s="417"/>
      <c r="FD13" s="417"/>
      <c r="FE13" s="417"/>
      <c r="FF13" s="417"/>
      <c r="FG13" s="417"/>
      <c r="FH13" s="417"/>
      <c r="FI13" s="417"/>
      <c r="FJ13" s="417"/>
      <c r="FK13" s="417"/>
      <c r="FL13" s="417"/>
      <c r="FM13" s="417"/>
      <c r="FN13" s="417"/>
      <c r="FO13" s="417"/>
      <c r="FP13" s="417"/>
      <c r="FQ13" s="417"/>
      <c r="FR13" s="417"/>
      <c r="FS13" s="417"/>
      <c r="FT13" s="417"/>
      <c r="FU13" s="417"/>
      <c r="FV13" s="417"/>
      <c r="FW13" s="417"/>
      <c r="FX13" s="417"/>
      <c r="FY13" s="417"/>
      <c r="FZ13" s="417"/>
      <c r="GA13" s="417"/>
      <c r="GB13" s="417"/>
      <c r="GC13" s="417"/>
      <c r="GD13" s="417"/>
      <c r="GE13" s="417"/>
      <c r="GF13" s="417"/>
      <c r="GG13" s="417"/>
      <c r="GH13" s="417"/>
      <c r="GI13" s="417"/>
      <c r="GJ13" s="417"/>
      <c r="GK13" s="417"/>
      <c r="GL13" s="417"/>
      <c r="GM13" s="417"/>
      <c r="GN13" s="417"/>
      <c r="GO13" s="417"/>
      <c r="GP13" s="417"/>
      <c r="GQ13" s="417"/>
      <c r="GR13" s="417"/>
      <c r="GS13" s="417"/>
      <c r="GT13" s="417"/>
      <c r="GU13" s="417"/>
      <c r="GV13" s="417"/>
      <c r="GW13" s="417"/>
      <c r="GX13" s="417"/>
      <c r="GY13" s="417"/>
      <c r="GZ13" s="417"/>
      <c r="HA13" s="417"/>
      <c r="HB13" s="417"/>
      <c r="HC13" s="417"/>
      <c r="HD13" s="417"/>
      <c r="HE13" s="417"/>
      <c r="HF13" s="417"/>
      <c r="HG13" s="417"/>
      <c r="HH13" s="417"/>
      <c r="HI13" s="417"/>
      <c r="HJ13" s="417"/>
      <c r="HK13" s="417"/>
    </row>
    <row r="14" spans="1:219" s="395" customFormat="1">
      <c r="A14" s="418"/>
      <c r="B14" s="419" t="s">
        <v>754</v>
      </c>
      <c r="C14" s="420"/>
      <c r="D14" s="413"/>
      <c r="E14" s="413"/>
      <c r="F14" s="414"/>
      <c r="G14" s="415"/>
      <c r="H14" s="462"/>
      <c r="I14" s="463"/>
      <c r="J14" s="463"/>
      <c r="K14" s="463"/>
      <c r="L14" s="463"/>
      <c r="M14" s="463"/>
      <c r="N14" s="463"/>
      <c r="O14" s="463"/>
      <c r="P14" s="463"/>
      <c r="Q14" s="463"/>
      <c r="R14" s="463"/>
      <c r="S14" s="417"/>
      <c r="T14" s="417"/>
      <c r="U14" s="417"/>
      <c r="V14" s="417"/>
      <c r="W14" s="417"/>
      <c r="X14" s="417"/>
      <c r="Y14" s="417"/>
      <c r="Z14" s="417"/>
      <c r="AA14" s="417"/>
      <c r="AB14" s="417"/>
      <c r="AC14" s="417"/>
      <c r="AD14" s="417"/>
      <c r="AE14" s="417"/>
      <c r="AF14" s="417"/>
      <c r="AG14" s="417"/>
      <c r="AH14" s="417"/>
      <c r="AI14" s="417"/>
      <c r="AJ14" s="417"/>
      <c r="AK14" s="417"/>
      <c r="AL14" s="417"/>
      <c r="AM14" s="417"/>
      <c r="AN14" s="417"/>
      <c r="AO14" s="417"/>
      <c r="AP14" s="417"/>
      <c r="AQ14" s="417"/>
      <c r="AR14" s="417"/>
      <c r="AS14" s="417"/>
      <c r="AT14" s="417"/>
      <c r="AU14" s="417"/>
      <c r="AV14" s="417"/>
      <c r="AW14" s="417"/>
      <c r="AX14" s="417"/>
      <c r="AY14" s="417"/>
      <c r="AZ14" s="417"/>
      <c r="BA14" s="417"/>
      <c r="BB14" s="417"/>
      <c r="BC14" s="417"/>
      <c r="BD14" s="417"/>
      <c r="BE14" s="417"/>
      <c r="BF14" s="417"/>
      <c r="BG14" s="417"/>
      <c r="BH14" s="417"/>
      <c r="BI14" s="417"/>
      <c r="BJ14" s="417"/>
      <c r="BK14" s="417"/>
      <c r="BL14" s="417"/>
      <c r="BM14" s="417"/>
      <c r="BN14" s="417"/>
      <c r="BO14" s="417"/>
      <c r="BP14" s="417"/>
      <c r="BQ14" s="417"/>
      <c r="BR14" s="417"/>
      <c r="BS14" s="417"/>
      <c r="BT14" s="417"/>
      <c r="BU14" s="417"/>
      <c r="BV14" s="417"/>
      <c r="BW14" s="417"/>
      <c r="BX14" s="417"/>
      <c r="BY14" s="417"/>
      <c r="BZ14" s="417"/>
      <c r="CA14" s="417"/>
      <c r="CB14" s="417"/>
      <c r="CC14" s="417"/>
      <c r="CD14" s="417"/>
      <c r="CE14" s="417"/>
      <c r="CF14" s="417"/>
      <c r="CG14" s="417"/>
      <c r="CH14" s="417"/>
      <c r="CI14" s="417"/>
      <c r="CJ14" s="417"/>
      <c r="CK14" s="417"/>
      <c r="CL14" s="417"/>
      <c r="CM14" s="417"/>
      <c r="CN14" s="417"/>
      <c r="CO14" s="417"/>
      <c r="CP14" s="417"/>
      <c r="CQ14" s="417"/>
      <c r="CR14" s="417"/>
      <c r="CS14" s="417"/>
      <c r="CT14" s="417"/>
      <c r="CU14" s="417"/>
      <c r="CV14" s="417"/>
      <c r="CW14" s="417"/>
      <c r="CX14" s="417"/>
      <c r="CY14" s="417"/>
      <c r="CZ14" s="417"/>
      <c r="DA14" s="417"/>
      <c r="DB14" s="417"/>
      <c r="DC14" s="417"/>
      <c r="DD14" s="417"/>
      <c r="DE14" s="417"/>
      <c r="DF14" s="417"/>
      <c r="DG14" s="417"/>
      <c r="DH14" s="417"/>
      <c r="DI14" s="417"/>
      <c r="DJ14" s="417"/>
      <c r="DK14" s="417"/>
      <c r="DL14" s="417"/>
      <c r="DM14" s="417"/>
      <c r="DN14" s="417"/>
      <c r="DO14" s="417"/>
      <c r="DP14" s="417"/>
      <c r="DQ14" s="417"/>
      <c r="DR14" s="417"/>
      <c r="DS14" s="417"/>
      <c r="DT14" s="417"/>
      <c r="DU14" s="417"/>
      <c r="DV14" s="417"/>
      <c r="DW14" s="417"/>
      <c r="DX14" s="417"/>
      <c r="DY14" s="417"/>
      <c r="DZ14" s="417"/>
      <c r="EA14" s="417"/>
      <c r="EB14" s="417"/>
      <c r="EC14" s="417"/>
      <c r="ED14" s="417"/>
      <c r="EE14" s="417"/>
      <c r="EF14" s="417"/>
      <c r="EG14" s="417"/>
      <c r="EH14" s="417"/>
      <c r="EI14" s="417"/>
      <c r="EJ14" s="417"/>
      <c r="EK14" s="417"/>
      <c r="EL14" s="417"/>
      <c r="EM14" s="417"/>
      <c r="EN14" s="417"/>
      <c r="EO14" s="417"/>
      <c r="EP14" s="417"/>
      <c r="EQ14" s="417"/>
      <c r="ER14" s="417"/>
      <c r="ES14" s="417"/>
      <c r="ET14" s="417"/>
      <c r="EU14" s="417"/>
      <c r="EV14" s="417"/>
      <c r="EW14" s="417"/>
      <c r="EX14" s="417"/>
      <c r="EY14" s="417"/>
      <c r="EZ14" s="417"/>
      <c r="FA14" s="417"/>
      <c r="FB14" s="417"/>
      <c r="FC14" s="417"/>
      <c r="FD14" s="417"/>
      <c r="FE14" s="417"/>
      <c r="FF14" s="417"/>
      <c r="FG14" s="417"/>
      <c r="FH14" s="417"/>
      <c r="FI14" s="417"/>
      <c r="FJ14" s="417"/>
      <c r="FK14" s="417"/>
      <c r="FL14" s="417"/>
      <c r="FM14" s="417"/>
      <c r="FN14" s="417"/>
      <c r="FO14" s="417"/>
      <c r="FP14" s="417"/>
      <c r="FQ14" s="417"/>
      <c r="FR14" s="417"/>
      <c r="FS14" s="417"/>
      <c r="FT14" s="417"/>
      <c r="FU14" s="417"/>
      <c r="FV14" s="417"/>
      <c r="FW14" s="417"/>
      <c r="FX14" s="417"/>
      <c r="FY14" s="417"/>
      <c r="FZ14" s="417"/>
      <c r="GA14" s="417"/>
      <c r="GB14" s="417"/>
      <c r="GC14" s="417"/>
      <c r="GD14" s="417"/>
      <c r="GE14" s="417"/>
      <c r="GF14" s="417"/>
      <c r="GG14" s="417"/>
      <c r="GH14" s="417"/>
      <c r="GI14" s="417"/>
      <c r="GJ14" s="417"/>
      <c r="GK14" s="417"/>
      <c r="GL14" s="417"/>
      <c r="GM14" s="417"/>
      <c r="GN14" s="417"/>
      <c r="GO14" s="417"/>
      <c r="GP14" s="417"/>
      <c r="GQ14" s="417"/>
      <c r="GR14" s="417"/>
      <c r="GS14" s="417"/>
      <c r="GT14" s="417"/>
      <c r="GU14" s="417"/>
      <c r="GV14" s="417"/>
      <c r="GW14" s="417"/>
      <c r="GX14" s="417"/>
      <c r="GY14" s="417"/>
      <c r="GZ14" s="417"/>
      <c r="HA14" s="417"/>
      <c r="HB14" s="417"/>
      <c r="HC14" s="417"/>
      <c r="HD14" s="417"/>
      <c r="HE14" s="417"/>
      <c r="HF14" s="417"/>
      <c r="HG14" s="417"/>
      <c r="HH14" s="417"/>
      <c r="HI14" s="417"/>
      <c r="HJ14" s="417"/>
      <c r="HK14" s="417"/>
    </row>
    <row r="15" spans="1:219" s="395" customFormat="1">
      <c r="A15" s="418"/>
      <c r="B15" s="419" t="s">
        <v>755</v>
      </c>
      <c r="C15" s="420"/>
      <c r="D15" s="413"/>
      <c r="E15" s="413"/>
      <c r="F15" s="414"/>
      <c r="G15" s="415"/>
      <c r="H15" s="462"/>
      <c r="I15" s="463"/>
      <c r="J15" s="463"/>
      <c r="K15" s="463"/>
      <c r="L15" s="463"/>
      <c r="M15" s="463"/>
      <c r="N15" s="463"/>
      <c r="O15" s="463"/>
      <c r="P15" s="463"/>
      <c r="Q15" s="463"/>
      <c r="R15" s="463"/>
      <c r="S15" s="417"/>
      <c r="T15" s="417"/>
      <c r="U15" s="417"/>
      <c r="V15" s="417"/>
      <c r="W15" s="417"/>
      <c r="X15" s="417"/>
      <c r="Y15" s="417"/>
      <c r="Z15" s="417"/>
      <c r="AA15" s="417"/>
      <c r="AB15" s="417"/>
      <c r="AC15" s="417"/>
      <c r="AD15" s="417"/>
      <c r="AE15" s="417"/>
      <c r="AF15" s="417"/>
      <c r="AG15" s="417"/>
      <c r="AH15" s="417"/>
      <c r="AI15" s="417"/>
      <c r="AJ15" s="417"/>
      <c r="AK15" s="417"/>
      <c r="AL15" s="417"/>
      <c r="AM15" s="417"/>
      <c r="AN15" s="417"/>
      <c r="AO15" s="417"/>
      <c r="AP15" s="417"/>
      <c r="AQ15" s="417"/>
      <c r="AR15" s="417"/>
      <c r="AS15" s="417"/>
      <c r="AT15" s="417"/>
      <c r="AU15" s="417"/>
      <c r="AV15" s="417"/>
      <c r="AW15" s="417"/>
      <c r="AX15" s="417"/>
      <c r="AY15" s="417"/>
      <c r="AZ15" s="417"/>
      <c r="BA15" s="417"/>
      <c r="BB15" s="417"/>
      <c r="BC15" s="417"/>
      <c r="BD15" s="417"/>
      <c r="BE15" s="417"/>
      <c r="BF15" s="417"/>
      <c r="BG15" s="417"/>
      <c r="BH15" s="417"/>
      <c r="BI15" s="417"/>
      <c r="BJ15" s="417"/>
      <c r="BK15" s="417"/>
      <c r="BL15" s="417"/>
      <c r="BM15" s="417"/>
      <c r="BN15" s="417"/>
      <c r="BO15" s="417"/>
      <c r="BP15" s="417"/>
      <c r="BQ15" s="417"/>
      <c r="BR15" s="417"/>
      <c r="BS15" s="417"/>
      <c r="BT15" s="417"/>
      <c r="BU15" s="417"/>
      <c r="BV15" s="417"/>
      <c r="BW15" s="417"/>
      <c r="BX15" s="417"/>
      <c r="BY15" s="417"/>
      <c r="BZ15" s="417"/>
      <c r="CA15" s="417"/>
      <c r="CB15" s="417"/>
      <c r="CC15" s="417"/>
      <c r="CD15" s="417"/>
      <c r="CE15" s="417"/>
      <c r="CF15" s="417"/>
      <c r="CG15" s="417"/>
      <c r="CH15" s="417"/>
      <c r="CI15" s="417"/>
      <c r="CJ15" s="417"/>
      <c r="CK15" s="417"/>
      <c r="CL15" s="417"/>
      <c r="CM15" s="417"/>
      <c r="CN15" s="417"/>
      <c r="CO15" s="417"/>
      <c r="CP15" s="417"/>
      <c r="CQ15" s="417"/>
      <c r="CR15" s="417"/>
      <c r="CS15" s="417"/>
      <c r="CT15" s="417"/>
      <c r="CU15" s="417"/>
      <c r="CV15" s="417"/>
      <c r="CW15" s="417"/>
      <c r="CX15" s="417"/>
      <c r="CY15" s="417"/>
      <c r="CZ15" s="417"/>
      <c r="DA15" s="417"/>
      <c r="DB15" s="417"/>
      <c r="DC15" s="417"/>
      <c r="DD15" s="417"/>
      <c r="DE15" s="417"/>
      <c r="DF15" s="417"/>
      <c r="DG15" s="417"/>
      <c r="DH15" s="417"/>
      <c r="DI15" s="417"/>
      <c r="DJ15" s="417"/>
      <c r="DK15" s="417"/>
      <c r="DL15" s="417"/>
      <c r="DM15" s="417"/>
      <c r="DN15" s="417"/>
      <c r="DO15" s="417"/>
      <c r="DP15" s="417"/>
      <c r="DQ15" s="417"/>
      <c r="DR15" s="417"/>
      <c r="DS15" s="417"/>
      <c r="DT15" s="417"/>
      <c r="DU15" s="417"/>
      <c r="DV15" s="417"/>
      <c r="DW15" s="417"/>
      <c r="DX15" s="417"/>
      <c r="DY15" s="417"/>
      <c r="DZ15" s="417"/>
      <c r="EA15" s="417"/>
      <c r="EB15" s="417"/>
      <c r="EC15" s="417"/>
      <c r="ED15" s="417"/>
      <c r="EE15" s="417"/>
      <c r="EF15" s="417"/>
      <c r="EG15" s="417"/>
      <c r="EH15" s="417"/>
      <c r="EI15" s="417"/>
      <c r="EJ15" s="417"/>
      <c r="EK15" s="417"/>
      <c r="EL15" s="417"/>
      <c r="EM15" s="417"/>
      <c r="EN15" s="417"/>
      <c r="EO15" s="417"/>
      <c r="EP15" s="417"/>
      <c r="EQ15" s="417"/>
      <c r="ER15" s="417"/>
      <c r="ES15" s="417"/>
      <c r="ET15" s="417"/>
      <c r="EU15" s="417"/>
      <c r="EV15" s="417"/>
      <c r="EW15" s="417"/>
      <c r="EX15" s="417"/>
      <c r="EY15" s="417"/>
      <c r="EZ15" s="417"/>
      <c r="FA15" s="417"/>
      <c r="FB15" s="417"/>
      <c r="FC15" s="417"/>
      <c r="FD15" s="417"/>
      <c r="FE15" s="417"/>
      <c r="FF15" s="417"/>
      <c r="FG15" s="417"/>
      <c r="FH15" s="417"/>
      <c r="FI15" s="417"/>
      <c r="FJ15" s="417"/>
      <c r="FK15" s="417"/>
      <c r="FL15" s="417"/>
      <c r="FM15" s="417"/>
      <c r="FN15" s="417"/>
      <c r="FO15" s="417"/>
      <c r="FP15" s="417"/>
      <c r="FQ15" s="417"/>
      <c r="FR15" s="417"/>
      <c r="FS15" s="417"/>
      <c r="FT15" s="417"/>
      <c r="FU15" s="417"/>
      <c r="FV15" s="417"/>
      <c r="FW15" s="417"/>
      <c r="FX15" s="417"/>
      <c r="FY15" s="417"/>
      <c r="FZ15" s="417"/>
      <c r="GA15" s="417"/>
      <c r="GB15" s="417"/>
      <c r="GC15" s="417"/>
      <c r="GD15" s="417"/>
      <c r="GE15" s="417"/>
      <c r="GF15" s="417"/>
      <c r="GG15" s="417"/>
      <c r="GH15" s="417"/>
      <c r="GI15" s="417"/>
      <c r="GJ15" s="417"/>
      <c r="GK15" s="417"/>
      <c r="GL15" s="417"/>
      <c r="GM15" s="417"/>
      <c r="GN15" s="417"/>
      <c r="GO15" s="417"/>
      <c r="GP15" s="417"/>
      <c r="GQ15" s="417"/>
      <c r="GR15" s="417"/>
      <c r="GS15" s="417"/>
      <c r="GT15" s="417"/>
      <c r="GU15" s="417"/>
      <c r="GV15" s="417"/>
      <c r="GW15" s="417"/>
      <c r="GX15" s="417"/>
      <c r="GY15" s="417"/>
      <c r="GZ15" s="417"/>
      <c r="HA15" s="417"/>
      <c r="HB15" s="417"/>
      <c r="HC15" s="417"/>
      <c r="HD15" s="417"/>
      <c r="HE15" s="417"/>
      <c r="HF15" s="417"/>
      <c r="HG15" s="417"/>
      <c r="HH15" s="417"/>
      <c r="HI15" s="417"/>
      <c r="HJ15" s="417"/>
      <c r="HK15" s="417"/>
    </row>
    <row r="16" spans="1:219" s="395" customFormat="1">
      <c r="A16" s="418"/>
      <c r="B16" s="419" t="s">
        <v>756</v>
      </c>
      <c r="C16" s="420"/>
      <c r="D16" s="413"/>
      <c r="E16" s="413"/>
      <c r="F16" s="414"/>
      <c r="G16" s="415"/>
      <c r="H16" s="462"/>
      <c r="I16" s="463"/>
      <c r="J16" s="463"/>
      <c r="K16" s="463"/>
      <c r="L16" s="463"/>
      <c r="M16" s="463"/>
      <c r="N16" s="463"/>
      <c r="O16" s="463"/>
      <c r="P16" s="463"/>
      <c r="Q16" s="463"/>
      <c r="R16" s="463"/>
      <c r="S16" s="417"/>
      <c r="T16" s="417"/>
      <c r="U16" s="417"/>
      <c r="V16" s="417"/>
      <c r="W16" s="417"/>
      <c r="X16" s="417"/>
      <c r="Y16" s="417"/>
      <c r="Z16" s="417"/>
      <c r="AA16" s="417"/>
      <c r="AB16" s="417"/>
      <c r="AC16" s="417"/>
      <c r="AD16" s="417"/>
      <c r="AE16" s="417"/>
      <c r="AF16" s="417"/>
      <c r="AG16" s="417"/>
      <c r="AH16" s="417"/>
      <c r="AI16" s="417"/>
      <c r="AJ16" s="417"/>
      <c r="AK16" s="417"/>
      <c r="AL16" s="417"/>
      <c r="AM16" s="417"/>
      <c r="AN16" s="417"/>
      <c r="AO16" s="417"/>
      <c r="AP16" s="417"/>
      <c r="AQ16" s="417"/>
      <c r="AR16" s="417"/>
      <c r="AS16" s="417"/>
      <c r="AT16" s="417"/>
      <c r="AU16" s="417"/>
      <c r="AV16" s="417"/>
      <c r="AW16" s="417"/>
      <c r="AX16" s="417"/>
      <c r="AY16" s="417"/>
      <c r="AZ16" s="417"/>
      <c r="BA16" s="417"/>
      <c r="BB16" s="417"/>
      <c r="BC16" s="417"/>
      <c r="BD16" s="417"/>
      <c r="BE16" s="417"/>
      <c r="BF16" s="417"/>
      <c r="BG16" s="417"/>
      <c r="BH16" s="417"/>
      <c r="BI16" s="417"/>
      <c r="BJ16" s="417"/>
      <c r="BK16" s="417"/>
      <c r="BL16" s="417"/>
      <c r="BM16" s="417"/>
      <c r="BN16" s="417"/>
      <c r="BO16" s="417"/>
      <c r="BP16" s="417"/>
      <c r="BQ16" s="417"/>
      <c r="BR16" s="417"/>
      <c r="BS16" s="417"/>
      <c r="BT16" s="417"/>
      <c r="BU16" s="417"/>
      <c r="BV16" s="417"/>
      <c r="BW16" s="417"/>
      <c r="BX16" s="417"/>
      <c r="BY16" s="417"/>
      <c r="BZ16" s="417"/>
      <c r="CA16" s="417"/>
      <c r="CB16" s="417"/>
      <c r="CC16" s="417"/>
      <c r="CD16" s="417"/>
      <c r="CE16" s="417"/>
      <c r="CF16" s="417"/>
      <c r="CG16" s="417"/>
      <c r="CH16" s="417"/>
      <c r="CI16" s="417"/>
      <c r="CJ16" s="417"/>
      <c r="CK16" s="417"/>
      <c r="CL16" s="417"/>
      <c r="CM16" s="417"/>
      <c r="CN16" s="417"/>
      <c r="CO16" s="417"/>
      <c r="CP16" s="417"/>
      <c r="CQ16" s="417"/>
      <c r="CR16" s="417"/>
      <c r="CS16" s="417"/>
      <c r="CT16" s="417"/>
      <c r="CU16" s="417"/>
      <c r="CV16" s="417"/>
      <c r="CW16" s="417"/>
      <c r="CX16" s="417"/>
      <c r="CY16" s="417"/>
      <c r="CZ16" s="417"/>
      <c r="DA16" s="417"/>
      <c r="DB16" s="417"/>
      <c r="DC16" s="417"/>
      <c r="DD16" s="417"/>
      <c r="DE16" s="417"/>
      <c r="DF16" s="417"/>
      <c r="DG16" s="417"/>
      <c r="DH16" s="417"/>
      <c r="DI16" s="417"/>
      <c r="DJ16" s="417"/>
      <c r="DK16" s="417"/>
      <c r="DL16" s="417"/>
      <c r="DM16" s="417"/>
      <c r="DN16" s="417"/>
      <c r="DO16" s="417"/>
      <c r="DP16" s="417"/>
      <c r="DQ16" s="417"/>
      <c r="DR16" s="417"/>
      <c r="DS16" s="417"/>
      <c r="DT16" s="417"/>
      <c r="DU16" s="417"/>
      <c r="DV16" s="417"/>
      <c r="DW16" s="417"/>
      <c r="DX16" s="417"/>
      <c r="DY16" s="417"/>
      <c r="DZ16" s="417"/>
      <c r="EA16" s="417"/>
      <c r="EB16" s="417"/>
      <c r="EC16" s="417"/>
      <c r="ED16" s="417"/>
      <c r="EE16" s="417"/>
      <c r="EF16" s="417"/>
      <c r="EG16" s="417"/>
      <c r="EH16" s="417"/>
      <c r="EI16" s="417"/>
      <c r="EJ16" s="417"/>
      <c r="EK16" s="417"/>
      <c r="EL16" s="417"/>
      <c r="EM16" s="417"/>
      <c r="EN16" s="417"/>
      <c r="EO16" s="417"/>
      <c r="EP16" s="417"/>
      <c r="EQ16" s="417"/>
      <c r="ER16" s="417"/>
      <c r="ES16" s="417"/>
      <c r="ET16" s="417"/>
      <c r="EU16" s="417"/>
      <c r="EV16" s="417"/>
      <c r="EW16" s="417"/>
      <c r="EX16" s="417"/>
      <c r="EY16" s="417"/>
      <c r="EZ16" s="417"/>
      <c r="FA16" s="417"/>
      <c r="FB16" s="417"/>
      <c r="FC16" s="417"/>
      <c r="FD16" s="417"/>
      <c r="FE16" s="417"/>
      <c r="FF16" s="417"/>
      <c r="FG16" s="417"/>
      <c r="FH16" s="417"/>
      <c r="FI16" s="417"/>
      <c r="FJ16" s="417"/>
      <c r="FK16" s="417"/>
      <c r="FL16" s="417"/>
      <c r="FM16" s="417"/>
      <c r="FN16" s="417"/>
      <c r="FO16" s="417"/>
      <c r="FP16" s="417"/>
      <c r="FQ16" s="417"/>
      <c r="FR16" s="417"/>
      <c r="FS16" s="417"/>
      <c r="FT16" s="417"/>
      <c r="FU16" s="417"/>
      <c r="FV16" s="417"/>
      <c r="FW16" s="417"/>
      <c r="FX16" s="417"/>
      <c r="FY16" s="417"/>
      <c r="FZ16" s="417"/>
      <c r="GA16" s="417"/>
      <c r="GB16" s="417"/>
      <c r="GC16" s="417"/>
      <c r="GD16" s="417"/>
      <c r="GE16" s="417"/>
      <c r="GF16" s="417"/>
      <c r="GG16" s="417"/>
      <c r="GH16" s="417"/>
      <c r="GI16" s="417"/>
      <c r="GJ16" s="417"/>
      <c r="GK16" s="417"/>
      <c r="GL16" s="417"/>
      <c r="GM16" s="417"/>
      <c r="GN16" s="417"/>
      <c r="GO16" s="417"/>
      <c r="GP16" s="417"/>
      <c r="GQ16" s="417"/>
      <c r="GR16" s="417"/>
      <c r="GS16" s="417"/>
      <c r="GT16" s="417"/>
      <c r="GU16" s="417"/>
      <c r="GV16" s="417"/>
      <c r="GW16" s="417"/>
      <c r="GX16" s="417"/>
      <c r="GY16" s="417"/>
      <c r="GZ16" s="417"/>
      <c r="HA16" s="417"/>
      <c r="HB16" s="417"/>
      <c r="HC16" s="417"/>
      <c r="HD16" s="417"/>
      <c r="HE16" s="417"/>
      <c r="HF16" s="417"/>
      <c r="HG16" s="417"/>
      <c r="HH16" s="417"/>
      <c r="HI16" s="417"/>
      <c r="HJ16" s="417"/>
      <c r="HK16" s="417"/>
    </row>
    <row r="17" spans="1:219" s="395" customFormat="1">
      <c r="A17" s="418"/>
      <c r="B17" s="419" t="s">
        <v>757</v>
      </c>
      <c r="C17" s="420"/>
      <c r="D17" s="413"/>
      <c r="E17" s="413"/>
      <c r="F17" s="414"/>
      <c r="G17" s="415"/>
      <c r="H17" s="462"/>
      <c r="I17" s="463"/>
      <c r="J17" s="463"/>
      <c r="K17" s="463"/>
      <c r="L17" s="463"/>
      <c r="M17" s="463"/>
      <c r="N17" s="463"/>
      <c r="O17" s="463"/>
      <c r="P17" s="463"/>
      <c r="Q17" s="463"/>
      <c r="R17" s="463"/>
      <c r="S17" s="417"/>
      <c r="T17" s="417"/>
      <c r="U17" s="417"/>
      <c r="V17" s="417"/>
      <c r="W17" s="417"/>
      <c r="X17" s="417"/>
      <c r="Y17" s="417"/>
      <c r="Z17" s="417"/>
      <c r="AA17" s="417"/>
      <c r="AB17" s="417"/>
      <c r="AC17" s="417"/>
      <c r="AD17" s="417"/>
      <c r="AE17" s="417"/>
      <c r="AF17" s="417"/>
      <c r="AG17" s="417"/>
      <c r="AH17" s="417"/>
      <c r="AI17" s="417"/>
      <c r="AJ17" s="417"/>
      <c r="AK17" s="417"/>
      <c r="AL17" s="417"/>
      <c r="AM17" s="417"/>
      <c r="AN17" s="417"/>
      <c r="AO17" s="417"/>
      <c r="AP17" s="417"/>
      <c r="AQ17" s="417"/>
      <c r="AR17" s="417"/>
      <c r="AS17" s="417"/>
      <c r="AT17" s="417"/>
      <c r="AU17" s="417"/>
      <c r="AV17" s="417"/>
      <c r="AW17" s="417"/>
      <c r="AX17" s="417"/>
      <c r="AY17" s="417"/>
      <c r="AZ17" s="417"/>
      <c r="BA17" s="417"/>
      <c r="BB17" s="417"/>
      <c r="BC17" s="417"/>
      <c r="BD17" s="417"/>
      <c r="BE17" s="417"/>
      <c r="BF17" s="417"/>
      <c r="BG17" s="417"/>
      <c r="BH17" s="417"/>
      <c r="BI17" s="417"/>
      <c r="BJ17" s="417"/>
      <c r="BK17" s="417"/>
      <c r="BL17" s="417"/>
      <c r="BM17" s="417"/>
      <c r="BN17" s="417"/>
      <c r="BO17" s="417"/>
      <c r="BP17" s="417"/>
      <c r="BQ17" s="417"/>
      <c r="BR17" s="417"/>
      <c r="BS17" s="417"/>
      <c r="BT17" s="417"/>
      <c r="BU17" s="417"/>
      <c r="BV17" s="417"/>
      <c r="BW17" s="417"/>
      <c r="BX17" s="417"/>
      <c r="BY17" s="417"/>
      <c r="BZ17" s="417"/>
      <c r="CA17" s="417"/>
      <c r="CB17" s="417"/>
      <c r="CC17" s="417"/>
      <c r="CD17" s="417"/>
      <c r="CE17" s="417"/>
      <c r="CF17" s="417"/>
      <c r="CG17" s="417"/>
      <c r="CH17" s="417"/>
      <c r="CI17" s="417"/>
      <c r="CJ17" s="417"/>
      <c r="CK17" s="417"/>
      <c r="CL17" s="417"/>
      <c r="CM17" s="417"/>
      <c r="CN17" s="417"/>
      <c r="CO17" s="417"/>
      <c r="CP17" s="417"/>
      <c r="CQ17" s="417"/>
      <c r="CR17" s="417"/>
      <c r="CS17" s="417"/>
      <c r="CT17" s="417"/>
      <c r="CU17" s="417"/>
      <c r="CV17" s="417"/>
      <c r="CW17" s="417"/>
      <c r="CX17" s="417"/>
      <c r="CY17" s="417"/>
      <c r="CZ17" s="417"/>
      <c r="DA17" s="417"/>
      <c r="DB17" s="417"/>
      <c r="DC17" s="417"/>
      <c r="DD17" s="417"/>
      <c r="DE17" s="417"/>
      <c r="DF17" s="417"/>
      <c r="DG17" s="417"/>
      <c r="DH17" s="417"/>
      <c r="DI17" s="417"/>
      <c r="DJ17" s="417"/>
      <c r="DK17" s="417"/>
      <c r="DL17" s="417"/>
      <c r="DM17" s="417"/>
      <c r="DN17" s="417"/>
      <c r="DO17" s="417"/>
      <c r="DP17" s="417"/>
      <c r="DQ17" s="417"/>
      <c r="DR17" s="417"/>
      <c r="DS17" s="417"/>
      <c r="DT17" s="417"/>
      <c r="DU17" s="417"/>
      <c r="DV17" s="417"/>
      <c r="DW17" s="417"/>
      <c r="DX17" s="417"/>
      <c r="DY17" s="417"/>
      <c r="DZ17" s="417"/>
      <c r="EA17" s="417"/>
      <c r="EB17" s="417"/>
      <c r="EC17" s="417"/>
      <c r="ED17" s="417"/>
      <c r="EE17" s="417"/>
      <c r="EF17" s="417"/>
      <c r="EG17" s="417"/>
      <c r="EH17" s="417"/>
      <c r="EI17" s="417"/>
      <c r="EJ17" s="417"/>
      <c r="EK17" s="417"/>
      <c r="EL17" s="417"/>
      <c r="EM17" s="417"/>
      <c r="EN17" s="417"/>
      <c r="EO17" s="417"/>
      <c r="EP17" s="417"/>
      <c r="EQ17" s="417"/>
      <c r="ER17" s="417"/>
      <c r="ES17" s="417"/>
      <c r="ET17" s="417"/>
      <c r="EU17" s="417"/>
      <c r="EV17" s="417"/>
      <c r="EW17" s="417"/>
      <c r="EX17" s="417"/>
      <c r="EY17" s="417"/>
      <c r="EZ17" s="417"/>
      <c r="FA17" s="417"/>
      <c r="FB17" s="417"/>
      <c r="FC17" s="417"/>
      <c r="FD17" s="417"/>
      <c r="FE17" s="417"/>
      <c r="FF17" s="417"/>
      <c r="FG17" s="417"/>
      <c r="FH17" s="417"/>
      <c r="FI17" s="417"/>
      <c r="FJ17" s="417"/>
      <c r="FK17" s="417"/>
      <c r="FL17" s="417"/>
      <c r="FM17" s="417"/>
      <c r="FN17" s="417"/>
      <c r="FO17" s="417"/>
      <c r="FP17" s="417"/>
      <c r="FQ17" s="417"/>
      <c r="FR17" s="417"/>
      <c r="FS17" s="417"/>
      <c r="FT17" s="417"/>
      <c r="FU17" s="417"/>
      <c r="FV17" s="417"/>
      <c r="FW17" s="417"/>
      <c r="FX17" s="417"/>
      <c r="FY17" s="417"/>
      <c r="FZ17" s="417"/>
      <c r="GA17" s="417"/>
      <c r="GB17" s="417"/>
      <c r="GC17" s="417"/>
      <c r="GD17" s="417"/>
      <c r="GE17" s="417"/>
      <c r="GF17" s="417"/>
      <c r="GG17" s="417"/>
      <c r="GH17" s="417"/>
      <c r="GI17" s="417"/>
      <c r="GJ17" s="417"/>
      <c r="GK17" s="417"/>
      <c r="GL17" s="417"/>
      <c r="GM17" s="417"/>
      <c r="GN17" s="417"/>
      <c r="GO17" s="417"/>
      <c r="GP17" s="417"/>
      <c r="GQ17" s="417"/>
      <c r="GR17" s="417"/>
      <c r="GS17" s="417"/>
      <c r="GT17" s="417"/>
      <c r="GU17" s="417"/>
      <c r="GV17" s="417"/>
      <c r="GW17" s="417"/>
      <c r="GX17" s="417"/>
      <c r="GY17" s="417"/>
      <c r="GZ17" s="417"/>
      <c r="HA17" s="417"/>
      <c r="HB17" s="417"/>
      <c r="HC17" s="417"/>
      <c r="HD17" s="417"/>
      <c r="HE17" s="417"/>
      <c r="HF17" s="417"/>
      <c r="HG17" s="417"/>
      <c r="HH17" s="417"/>
      <c r="HI17" s="417"/>
      <c r="HJ17" s="417"/>
      <c r="HK17" s="417"/>
    </row>
    <row r="18" spans="1:219" s="395" customFormat="1">
      <c r="A18" s="418"/>
      <c r="B18" s="419" t="s">
        <v>758</v>
      </c>
      <c r="C18" s="420"/>
      <c r="D18" s="413"/>
      <c r="E18" s="413"/>
      <c r="F18" s="414"/>
      <c r="G18" s="415"/>
      <c r="H18" s="464"/>
      <c r="I18" s="464"/>
      <c r="J18" s="464"/>
      <c r="K18" s="464"/>
      <c r="L18" s="464"/>
      <c r="M18" s="464"/>
      <c r="N18" s="464"/>
      <c r="O18" s="464"/>
      <c r="P18" s="464"/>
      <c r="Q18" s="464"/>
      <c r="R18" s="464"/>
    </row>
    <row r="19" spans="1:219" s="395" customFormat="1">
      <c r="A19" s="418"/>
      <c r="B19" s="419"/>
      <c r="C19" s="420"/>
      <c r="D19" s="413"/>
      <c r="E19" s="413"/>
      <c r="F19" s="414"/>
      <c r="G19" s="415"/>
      <c r="H19" s="464"/>
      <c r="I19" s="464"/>
      <c r="J19" s="464"/>
      <c r="K19" s="464"/>
      <c r="L19" s="464"/>
      <c r="M19" s="464"/>
      <c r="N19" s="464"/>
      <c r="O19" s="464"/>
      <c r="P19" s="464"/>
      <c r="Q19" s="464"/>
      <c r="R19" s="464"/>
    </row>
    <row r="20" spans="1:219" s="395" customFormat="1">
      <c r="A20" s="418"/>
      <c r="B20" s="422" t="s">
        <v>759</v>
      </c>
      <c r="C20" s="420"/>
      <c r="D20" s="413"/>
      <c r="E20" s="413"/>
      <c r="F20" s="414"/>
      <c r="G20" s="415"/>
      <c r="H20" s="464"/>
      <c r="I20" s="464"/>
      <c r="J20" s="464"/>
      <c r="K20" s="464"/>
      <c r="L20" s="464"/>
      <c r="M20" s="464"/>
      <c r="N20" s="464"/>
      <c r="O20" s="464"/>
      <c r="P20" s="464"/>
      <c r="Q20" s="464"/>
      <c r="R20" s="464"/>
    </row>
    <row r="21" spans="1:219" s="395" customFormat="1">
      <c r="A21" s="418"/>
      <c r="B21" s="422" t="s">
        <v>760</v>
      </c>
      <c r="C21" s="420"/>
      <c r="D21" s="413"/>
      <c r="E21" s="413"/>
      <c r="F21" s="414"/>
      <c r="G21" s="415"/>
      <c r="H21" s="464"/>
      <c r="I21" s="464"/>
      <c r="J21" s="464"/>
      <c r="K21" s="464"/>
      <c r="L21" s="464"/>
      <c r="M21" s="464"/>
      <c r="N21" s="464"/>
      <c r="O21" s="464"/>
      <c r="P21" s="464"/>
      <c r="Q21" s="464"/>
      <c r="R21" s="464"/>
    </row>
    <row r="22" spans="1:219" s="395" customFormat="1">
      <c r="A22" s="418"/>
      <c r="B22" s="422"/>
      <c r="C22" s="420"/>
      <c r="D22" s="413"/>
      <c r="E22" s="413"/>
      <c r="F22" s="414"/>
      <c r="G22" s="415"/>
      <c r="H22" s="464"/>
      <c r="I22" s="464"/>
      <c r="J22" s="464"/>
      <c r="K22" s="464"/>
      <c r="L22" s="464"/>
      <c r="M22" s="464"/>
      <c r="N22" s="464"/>
      <c r="O22" s="464"/>
      <c r="P22" s="464"/>
      <c r="Q22" s="464"/>
      <c r="R22" s="464"/>
    </row>
    <row r="23" spans="1:219" s="328" customFormat="1" ht="13.8">
      <c r="A23" s="362"/>
      <c r="B23" s="2060" t="s">
        <v>767</v>
      </c>
      <c r="C23" s="354"/>
      <c r="D23" s="355" t="s">
        <v>135</v>
      </c>
      <c r="E23" s="355">
        <v>1</v>
      </c>
      <c r="F23" s="367">
        <v>12120000</v>
      </c>
      <c r="G23" s="368">
        <f>E23*F23</f>
        <v>12120000</v>
      </c>
      <c r="H23" s="374">
        <f>G23/'REKAP TOTAL'!F44</f>
        <v>9.9678504326204567E-4</v>
      </c>
      <c r="I23" s="372"/>
      <c r="J23" s="372"/>
      <c r="K23" s="372"/>
      <c r="L23" s="372"/>
      <c r="M23" s="372"/>
      <c r="N23" s="372"/>
      <c r="O23" s="372"/>
      <c r="P23" s="372"/>
      <c r="Q23" s="372"/>
      <c r="R23" s="372"/>
    </row>
    <row r="24" spans="1:219" s="328" customFormat="1">
      <c r="A24" s="362"/>
      <c r="B24" s="363"/>
      <c r="C24" s="354"/>
      <c r="D24" s="355"/>
      <c r="E24" s="355"/>
      <c r="F24" s="367"/>
      <c r="G24" s="368"/>
      <c r="H24" s="372"/>
      <c r="I24" s="372"/>
      <c r="J24" s="372"/>
      <c r="K24" s="372"/>
      <c r="L24" s="372"/>
      <c r="M24" s="372"/>
      <c r="N24" s="372"/>
      <c r="O24" s="372"/>
      <c r="P24" s="372"/>
      <c r="Q24" s="372"/>
      <c r="R24" s="372"/>
    </row>
    <row r="25" spans="1:219" s="328" customFormat="1" ht="13.8">
      <c r="A25" s="362"/>
      <c r="B25" s="2060" t="s">
        <v>768</v>
      </c>
      <c r="C25" s="354"/>
      <c r="D25" s="355" t="s">
        <v>135</v>
      </c>
      <c r="E25" s="355">
        <v>1</v>
      </c>
      <c r="F25" s="367">
        <v>28785000</v>
      </c>
      <c r="G25" s="368">
        <f>E25*F25</f>
        <v>28785000</v>
      </c>
      <c r="H25" s="374">
        <f>G25/'REKAP TOTAL'!F44</f>
        <v>2.3673644777473584E-3</v>
      </c>
      <c r="I25" s="372"/>
      <c r="J25" s="372"/>
      <c r="K25" s="372"/>
      <c r="L25" s="372"/>
      <c r="M25" s="372"/>
      <c r="N25" s="372"/>
      <c r="O25" s="372"/>
      <c r="P25" s="372"/>
      <c r="Q25" s="372"/>
      <c r="R25" s="372"/>
    </row>
    <row r="26" spans="1:219" s="328" customFormat="1">
      <c r="A26" s="362"/>
      <c r="B26" s="363"/>
      <c r="C26" s="354"/>
      <c r="D26" s="355"/>
      <c r="E26" s="355"/>
      <c r="F26" s="367"/>
      <c r="G26" s="368"/>
      <c r="H26" s="372"/>
      <c r="I26" s="372"/>
      <c r="J26" s="372"/>
      <c r="K26" s="372"/>
      <c r="L26" s="372"/>
      <c r="M26" s="372"/>
      <c r="N26" s="372"/>
      <c r="O26" s="372"/>
      <c r="P26" s="372"/>
      <c r="Q26" s="372"/>
      <c r="R26" s="372"/>
    </row>
    <row r="27" spans="1:219" s="328" customFormat="1" ht="13.8">
      <c r="A27" s="362"/>
      <c r="B27" s="2060" t="s">
        <v>769</v>
      </c>
      <c r="C27" s="354"/>
      <c r="D27" s="355" t="s">
        <v>135</v>
      </c>
      <c r="E27" s="355">
        <v>1</v>
      </c>
      <c r="F27" s="367">
        <v>3535000</v>
      </c>
      <c r="G27" s="368">
        <f>E27*F27</f>
        <v>3535000</v>
      </c>
      <c r="H27" s="374">
        <f>G27/'REKAP TOTAL'!F44</f>
        <v>2.9072897095142996E-4</v>
      </c>
      <c r="I27" s="372"/>
      <c r="J27" s="372"/>
      <c r="K27" s="372"/>
      <c r="L27" s="372"/>
      <c r="M27" s="372"/>
      <c r="N27" s="372"/>
      <c r="O27" s="372"/>
      <c r="P27" s="372"/>
      <c r="Q27" s="372"/>
      <c r="R27" s="372"/>
    </row>
    <row r="28" spans="1:219" s="328" customFormat="1">
      <c r="A28" s="362"/>
      <c r="B28" s="363"/>
      <c r="C28" s="354"/>
      <c r="D28" s="355"/>
      <c r="E28" s="355"/>
      <c r="F28" s="367"/>
      <c r="G28" s="368"/>
      <c r="H28" s="372"/>
      <c r="I28" s="372"/>
      <c r="J28" s="372"/>
      <c r="K28" s="372"/>
      <c r="L28" s="372"/>
      <c r="M28" s="372"/>
      <c r="N28" s="372"/>
      <c r="O28" s="372"/>
      <c r="P28" s="372"/>
      <c r="Q28" s="372"/>
      <c r="R28" s="372"/>
    </row>
    <row r="29" spans="1:219" s="328" customFormat="1" ht="13.8">
      <c r="A29" s="362"/>
      <c r="B29" s="2060" t="s">
        <v>770</v>
      </c>
      <c r="C29" s="354"/>
      <c r="D29" s="355" t="s">
        <v>135</v>
      </c>
      <c r="E29" s="355">
        <v>1</v>
      </c>
      <c r="F29" s="367">
        <v>43430000</v>
      </c>
      <c r="G29" s="368">
        <f>E29*F29</f>
        <v>43430000</v>
      </c>
      <c r="H29" s="374">
        <f>G29/'REKAP TOTAL'!F44</f>
        <v>3.5718130716889968E-3</v>
      </c>
      <c r="I29" s="372"/>
      <c r="J29" s="372"/>
      <c r="K29" s="372"/>
      <c r="L29" s="372"/>
      <c r="M29" s="372"/>
      <c r="N29" s="372"/>
      <c r="O29" s="372"/>
      <c r="P29" s="372"/>
      <c r="Q29" s="372"/>
      <c r="R29" s="372"/>
    </row>
    <row r="30" spans="1:219" s="328" customFormat="1">
      <c r="A30" s="362"/>
      <c r="B30" s="363"/>
      <c r="C30" s="354"/>
      <c r="D30" s="355"/>
      <c r="E30" s="355"/>
      <c r="F30" s="367"/>
      <c r="G30" s="368"/>
      <c r="H30" s="372"/>
      <c r="I30" s="372"/>
      <c r="J30" s="372"/>
      <c r="K30" s="372"/>
      <c r="L30" s="372"/>
      <c r="M30" s="372"/>
      <c r="N30" s="372"/>
      <c r="O30" s="372"/>
      <c r="P30" s="372"/>
      <c r="Q30" s="372"/>
      <c r="R30" s="372"/>
    </row>
    <row r="31" spans="1:219" s="328" customFormat="1" ht="13.8">
      <c r="A31" s="362"/>
      <c r="B31" s="2060" t="s">
        <v>771</v>
      </c>
      <c r="C31" s="354"/>
      <c r="D31" s="355" t="s">
        <v>135</v>
      </c>
      <c r="E31" s="355">
        <v>1</v>
      </c>
      <c r="F31" s="367">
        <v>15150000</v>
      </c>
      <c r="G31" s="368">
        <f>E31*F31</f>
        <v>15150000</v>
      </c>
      <c r="H31" s="374">
        <f>G31/'REKAP TOTAL'!F44</f>
        <v>1.2459813040775571E-3</v>
      </c>
      <c r="I31" s="372"/>
      <c r="J31" s="372"/>
      <c r="K31" s="372"/>
      <c r="L31" s="372"/>
      <c r="M31" s="372"/>
      <c r="N31" s="372"/>
      <c r="O31" s="372"/>
      <c r="P31" s="372"/>
      <c r="Q31" s="372"/>
      <c r="R31" s="372"/>
    </row>
    <row r="32" spans="1:219" s="328" customFormat="1">
      <c r="A32" s="362"/>
      <c r="B32" s="363"/>
      <c r="C32" s="354"/>
      <c r="D32" s="355"/>
      <c r="E32" s="355"/>
      <c r="F32" s="367"/>
      <c r="G32" s="368"/>
      <c r="H32" s="372"/>
      <c r="I32" s="372"/>
      <c r="J32" s="372"/>
      <c r="K32" s="372"/>
      <c r="L32" s="372"/>
      <c r="M32" s="372"/>
      <c r="N32" s="372"/>
      <c r="O32" s="372"/>
      <c r="P32" s="372"/>
      <c r="Q32" s="372"/>
      <c r="R32" s="372"/>
    </row>
    <row r="33" spans="1:18" s="328" customFormat="1" ht="13.8">
      <c r="A33" s="362"/>
      <c r="B33" s="2060" t="s">
        <v>772</v>
      </c>
      <c r="C33" s="354"/>
      <c r="D33" s="355" t="s">
        <v>135</v>
      </c>
      <c r="E33" s="355">
        <v>1</v>
      </c>
      <c r="F33" s="367">
        <v>15150000</v>
      </c>
      <c r="G33" s="368">
        <f>E33*F33</f>
        <v>15150000</v>
      </c>
      <c r="H33" s="374">
        <f>G33/'REKAP TOTAL'!F44</f>
        <v>1.2459813040775571E-3</v>
      </c>
      <c r="I33" s="372"/>
      <c r="J33" s="372"/>
      <c r="K33" s="372"/>
      <c r="L33" s="372"/>
      <c r="M33" s="372"/>
      <c r="N33" s="372"/>
      <c r="O33" s="372"/>
      <c r="P33" s="372"/>
      <c r="Q33" s="372"/>
      <c r="R33" s="372"/>
    </row>
    <row r="34" spans="1:18">
      <c r="A34" s="362"/>
      <c r="B34" s="363"/>
      <c r="C34" s="354"/>
      <c r="D34" s="355"/>
      <c r="E34" s="355"/>
      <c r="F34" s="367"/>
      <c r="G34" s="368"/>
      <c r="H34" s="356"/>
      <c r="I34" s="358"/>
      <c r="J34" s="358"/>
      <c r="K34" s="358"/>
      <c r="L34" s="358"/>
      <c r="M34" s="358"/>
      <c r="N34" s="358"/>
      <c r="O34" s="358"/>
      <c r="P34" s="358"/>
      <c r="Q34" s="358"/>
      <c r="R34" s="358"/>
    </row>
    <row r="35" spans="1:18" s="395" customFormat="1" ht="12">
      <c r="A35" s="426" t="s">
        <v>34</v>
      </c>
      <c r="B35" s="427" t="s">
        <v>773</v>
      </c>
      <c r="C35" s="428"/>
      <c r="D35" s="413"/>
      <c r="E35" s="413"/>
      <c r="F35" s="414"/>
      <c r="G35" s="415"/>
      <c r="H35" s="464"/>
      <c r="I35" s="464"/>
      <c r="J35" s="464"/>
      <c r="K35" s="464"/>
      <c r="L35" s="464"/>
      <c r="M35" s="464"/>
      <c r="N35" s="464"/>
      <c r="O35" s="464"/>
      <c r="P35" s="464"/>
      <c r="Q35" s="464"/>
      <c r="R35" s="464"/>
    </row>
    <row r="36" spans="1:18" s="395" customFormat="1">
      <c r="A36" s="412"/>
      <c r="B36" s="429"/>
      <c r="C36" s="420"/>
      <c r="D36" s="413"/>
      <c r="E36" s="413"/>
      <c r="F36" s="414"/>
      <c r="G36" s="415"/>
      <c r="H36" s="464"/>
      <c r="I36" s="464"/>
      <c r="J36" s="464"/>
      <c r="K36" s="464"/>
      <c r="L36" s="464"/>
      <c r="M36" s="464"/>
      <c r="N36" s="464"/>
      <c r="O36" s="464"/>
      <c r="P36" s="464"/>
      <c r="Q36" s="464"/>
      <c r="R36" s="464"/>
    </row>
    <row r="37" spans="1:18" s="395" customFormat="1">
      <c r="A37" s="412"/>
      <c r="B37" s="430" t="s">
        <v>774</v>
      </c>
      <c r="C37" s="411"/>
      <c r="D37" s="412"/>
      <c r="E37" s="413"/>
      <c r="F37" s="414"/>
      <c r="G37" s="415"/>
      <c r="H37" s="464"/>
      <c r="I37" s="464"/>
      <c r="J37" s="464"/>
      <c r="K37" s="464"/>
      <c r="L37" s="464"/>
      <c r="M37" s="464"/>
      <c r="N37" s="464"/>
      <c r="O37" s="464"/>
      <c r="P37" s="464"/>
      <c r="Q37" s="464"/>
      <c r="R37" s="464"/>
    </row>
    <row r="38" spans="1:18" s="395" customFormat="1">
      <c r="A38" s="412"/>
      <c r="B38" s="430" t="s">
        <v>775</v>
      </c>
      <c r="C38" s="411"/>
      <c r="D38" s="412"/>
      <c r="E38" s="413"/>
      <c r="F38" s="414"/>
      <c r="G38" s="415"/>
      <c r="H38" s="464"/>
      <c r="I38" s="464"/>
      <c r="J38" s="464"/>
      <c r="K38" s="464"/>
      <c r="L38" s="464"/>
      <c r="M38" s="464"/>
      <c r="N38" s="464"/>
      <c r="O38" s="464"/>
      <c r="P38" s="464"/>
      <c r="Q38" s="464"/>
      <c r="R38" s="464"/>
    </row>
    <row r="39" spans="1:18" s="395" customFormat="1">
      <c r="A39" s="412"/>
      <c r="B39" s="430" t="s">
        <v>776</v>
      </c>
      <c r="C39" s="411"/>
      <c r="D39" s="412"/>
      <c r="E39" s="413"/>
      <c r="F39" s="414"/>
      <c r="G39" s="415"/>
      <c r="H39" s="464"/>
      <c r="I39" s="464"/>
      <c r="J39" s="464"/>
      <c r="K39" s="464"/>
      <c r="L39" s="464"/>
      <c r="M39" s="464"/>
      <c r="N39" s="464"/>
      <c r="O39" s="464"/>
      <c r="P39" s="464"/>
      <c r="Q39" s="464"/>
      <c r="R39" s="464"/>
    </row>
    <row r="40" spans="1:18" s="395" customFormat="1">
      <c r="A40" s="412"/>
      <c r="B40" s="430" t="s">
        <v>777</v>
      </c>
      <c r="C40" s="411"/>
      <c r="D40" s="412"/>
      <c r="E40" s="413"/>
      <c r="F40" s="414"/>
      <c r="G40" s="415"/>
      <c r="H40" s="464"/>
      <c r="I40" s="464"/>
      <c r="J40" s="464"/>
      <c r="K40" s="464"/>
      <c r="L40" s="464"/>
      <c r="M40" s="464"/>
      <c r="N40" s="464"/>
      <c r="O40" s="464"/>
      <c r="P40" s="464"/>
      <c r="Q40" s="464"/>
      <c r="R40" s="464"/>
    </row>
    <row r="41" spans="1:18" s="395" customFormat="1">
      <c r="A41" s="412"/>
      <c r="B41" s="429"/>
      <c r="C41" s="420"/>
      <c r="D41" s="413"/>
      <c r="E41" s="413"/>
      <c r="F41" s="414"/>
      <c r="G41" s="415"/>
      <c r="H41" s="464"/>
      <c r="I41" s="464"/>
      <c r="J41" s="464"/>
      <c r="K41" s="464"/>
      <c r="L41" s="464"/>
      <c r="M41" s="464"/>
      <c r="N41" s="464"/>
      <c r="O41" s="464"/>
      <c r="P41" s="464"/>
      <c r="Q41" s="464"/>
      <c r="R41" s="464"/>
    </row>
    <row r="42" spans="1:18" s="396" customFormat="1" ht="12">
      <c r="A42" s="431"/>
      <c r="B42" s="432">
        <v>1</v>
      </c>
      <c r="C42" s="433" t="s">
        <v>778</v>
      </c>
      <c r="D42" s="434"/>
      <c r="E42" s="434"/>
      <c r="F42" s="414"/>
      <c r="G42" s="415"/>
      <c r="H42" s="465"/>
      <c r="I42" s="465"/>
      <c r="J42" s="465"/>
      <c r="K42" s="465"/>
      <c r="L42" s="465"/>
      <c r="M42" s="465"/>
      <c r="N42" s="465"/>
      <c r="O42" s="465"/>
      <c r="P42" s="465"/>
      <c r="Q42" s="465"/>
      <c r="R42" s="465"/>
    </row>
    <row r="43" spans="1:18" s="395" customFormat="1">
      <c r="A43" s="412"/>
      <c r="B43" s="429"/>
      <c r="C43" s="420"/>
      <c r="D43" s="413"/>
      <c r="E43" s="413"/>
      <c r="F43" s="414"/>
      <c r="G43" s="415"/>
      <c r="H43" s="464"/>
      <c r="I43" s="464"/>
      <c r="J43" s="464"/>
      <c r="K43" s="464"/>
      <c r="L43" s="464"/>
      <c r="M43" s="464"/>
      <c r="N43" s="464"/>
      <c r="O43" s="464"/>
      <c r="P43" s="464"/>
      <c r="Q43" s="464"/>
      <c r="R43" s="464"/>
    </row>
    <row r="44" spans="1:18" s="395" customFormat="1" ht="13.8">
      <c r="A44" s="412"/>
      <c r="B44" s="436" t="s">
        <v>185</v>
      </c>
      <c r="C44" s="420" t="s">
        <v>779</v>
      </c>
      <c r="D44" s="413" t="s">
        <v>681</v>
      </c>
      <c r="E44" s="413">
        <v>98</v>
      </c>
      <c r="F44" s="414">
        <v>619660.25</v>
      </c>
      <c r="G44" s="368">
        <f>E44*F44</f>
        <v>60726704.5</v>
      </c>
      <c r="H44" s="374">
        <f>G44/'REKAP TOTAL'!F44</f>
        <v>4.9943457732833305E-3</v>
      </c>
      <c r="I44" s="464"/>
      <c r="J44" s="464"/>
      <c r="K44" s="464"/>
      <c r="L44" s="464"/>
      <c r="M44" s="464"/>
      <c r="N44" s="464"/>
      <c r="O44" s="464"/>
      <c r="P44" s="464"/>
      <c r="Q44" s="464"/>
      <c r="R44" s="464"/>
    </row>
    <row r="45" spans="1:18" s="395" customFormat="1" ht="12">
      <c r="A45" s="412"/>
      <c r="B45" s="436"/>
      <c r="C45" s="420" t="s">
        <v>780</v>
      </c>
      <c r="D45" s="413"/>
      <c r="E45" s="413"/>
      <c r="F45" s="414"/>
      <c r="G45" s="415"/>
      <c r="H45" s="464"/>
      <c r="I45" s="464"/>
      <c r="J45" s="464"/>
      <c r="K45" s="464"/>
      <c r="L45" s="464"/>
      <c r="M45" s="464"/>
      <c r="N45" s="464"/>
      <c r="O45" s="464"/>
      <c r="P45" s="464"/>
      <c r="Q45" s="464"/>
      <c r="R45" s="464"/>
    </row>
    <row r="46" spans="1:18" s="395" customFormat="1">
      <c r="A46" s="412"/>
      <c r="B46" s="437"/>
      <c r="C46" s="420"/>
      <c r="D46" s="413"/>
      <c r="E46" s="413"/>
      <c r="F46" s="414"/>
      <c r="G46" s="415"/>
      <c r="H46" s="464"/>
      <c r="I46" s="464"/>
      <c r="J46" s="464"/>
      <c r="K46" s="464"/>
      <c r="L46" s="464"/>
      <c r="M46" s="464"/>
      <c r="N46" s="464"/>
      <c r="O46" s="464"/>
      <c r="P46" s="464"/>
      <c r="Q46" s="464"/>
      <c r="R46" s="464"/>
    </row>
    <row r="47" spans="1:18" s="396" customFormat="1" ht="12">
      <c r="A47" s="431"/>
      <c r="B47" s="432">
        <v>2</v>
      </c>
      <c r="C47" s="433" t="s">
        <v>781</v>
      </c>
      <c r="D47" s="434"/>
      <c r="E47" s="434"/>
      <c r="F47" s="414"/>
      <c r="G47" s="415"/>
      <c r="H47" s="465"/>
      <c r="I47" s="465"/>
      <c r="J47" s="465"/>
      <c r="K47" s="465"/>
      <c r="L47" s="465"/>
      <c r="M47" s="465"/>
      <c r="N47" s="465"/>
      <c r="O47" s="465"/>
      <c r="P47" s="465"/>
      <c r="Q47" s="465"/>
      <c r="R47" s="465"/>
    </row>
    <row r="48" spans="1:18" s="395" customFormat="1">
      <c r="A48" s="412"/>
      <c r="B48" s="429"/>
      <c r="C48" s="420"/>
      <c r="D48" s="413"/>
      <c r="E48" s="413"/>
      <c r="F48" s="414"/>
      <c r="G48" s="415"/>
      <c r="H48" s="464"/>
      <c r="I48" s="464"/>
      <c r="J48" s="464"/>
      <c r="K48" s="464"/>
      <c r="L48" s="464"/>
      <c r="M48" s="464"/>
      <c r="N48" s="464"/>
      <c r="O48" s="464"/>
      <c r="P48" s="464"/>
      <c r="Q48" s="464"/>
      <c r="R48" s="464"/>
    </row>
    <row r="49" spans="1:18" s="395" customFormat="1" ht="13.8">
      <c r="A49" s="412"/>
      <c r="B49" s="436" t="s">
        <v>185</v>
      </c>
      <c r="C49" s="420" t="s">
        <v>782</v>
      </c>
      <c r="D49" s="413" t="s">
        <v>681</v>
      </c>
      <c r="E49" s="413">
        <f>(13+4+4)*1.1</f>
        <v>23.1</v>
      </c>
      <c r="F49" s="414">
        <v>108660.86616000001</v>
      </c>
      <c r="G49" s="368">
        <f>E49*F49</f>
        <v>2510066.0082959998</v>
      </c>
      <c r="H49" s="374">
        <f>G49/'REKAP TOTAL'!F44</f>
        <v>2.0643533454372265E-4</v>
      </c>
      <c r="I49" s="464"/>
      <c r="J49" s="464"/>
      <c r="K49" s="464"/>
      <c r="L49" s="464"/>
      <c r="M49" s="464"/>
      <c r="N49" s="464"/>
      <c r="O49" s="464"/>
      <c r="P49" s="464"/>
      <c r="Q49" s="464"/>
      <c r="R49" s="464"/>
    </row>
    <row r="50" spans="1:18" s="395" customFormat="1" ht="12">
      <c r="A50" s="412"/>
      <c r="B50" s="437"/>
      <c r="C50" s="420" t="s">
        <v>783</v>
      </c>
      <c r="D50" s="413"/>
      <c r="E50" s="413"/>
      <c r="F50" s="414"/>
      <c r="G50" s="415"/>
      <c r="H50" s="464"/>
      <c r="I50" s="464"/>
      <c r="J50" s="464"/>
      <c r="K50" s="464"/>
      <c r="L50" s="464"/>
      <c r="M50" s="464"/>
      <c r="N50" s="464"/>
      <c r="O50" s="464"/>
      <c r="P50" s="464"/>
      <c r="Q50" s="464"/>
      <c r="R50" s="464"/>
    </row>
    <row r="51" spans="1:18" s="395" customFormat="1">
      <c r="A51" s="412"/>
      <c r="B51" s="437"/>
      <c r="C51" s="420"/>
      <c r="D51" s="413"/>
      <c r="E51" s="413"/>
      <c r="F51" s="414"/>
      <c r="G51" s="415"/>
      <c r="H51" s="464"/>
      <c r="I51" s="464"/>
      <c r="J51" s="464"/>
      <c r="K51" s="464"/>
      <c r="L51" s="464"/>
      <c r="M51" s="464"/>
      <c r="N51" s="464"/>
      <c r="O51" s="464"/>
      <c r="P51" s="464"/>
      <c r="Q51" s="464"/>
      <c r="R51" s="464"/>
    </row>
    <row r="52" spans="1:18" s="395" customFormat="1" ht="13.8">
      <c r="A52" s="412"/>
      <c r="B52" s="436" t="s">
        <v>188</v>
      </c>
      <c r="C52" s="420" t="s">
        <v>784</v>
      </c>
      <c r="D52" s="413" t="s">
        <v>681</v>
      </c>
      <c r="E52" s="413">
        <f>(18+4+4)*1.1</f>
        <v>28.6</v>
      </c>
      <c r="F52" s="414">
        <v>108660.86616000001</v>
      </c>
      <c r="G52" s="368">
        <f>E52*F52</f>
        <v>3107700.7721759998</v>
      </c>
      <c r="H52" s="374">
        <f>G52/'REKAP TOTAL'!F44</f>
        <v>2.5558660467318043E-4</v>
      </c>
      <c r="I52" s="464"/>
      <c r="J52" s="464"/>
      <c r="K52" s="464"/>
      <c r="L52" s="464"/>
      <c r="M52" s="464"/>
      <c r="N52" s="464"/>
      <c r="O52" s="464"/>
      <c r="P52" s="464"/>
      <c r="Q52" s="464"/>
      <c r="R52" s="464"/>
    </row>
    <row r="53" spans="1:18" s="395" customFormat="1" ht="12">
      <c r="A53" s="412"/>
      <c r="B53" s="437"/>
      <c r="C53" s="420" t="s">
        <v>783</v>
      </c>
      <c r="D53" s="413"/>
      <c r="E53" s="413"/>
      <c r="F53" s="414"/>
      <c r="G53" s="415"/>
      <c r="H53" s="464"/>
      <c r="I53" s="464"/>
      <c r="J53" s="464"/>
      <c r="K53" s="464"/>
      <c r="L53" s="464"/>
      <c r="M53" s="464"/>
      <c r="N53" s="464"/>
      <c r="O53" s="464"/>
      <c r="P53" s="464"/>
      <c r="Q53" s="464"/>
      <c r="R53" s="464"/>
    </row>
    <row r="54" spans="1:18" s="395" customFormat="1">
      <c r="A54" s="412"/>
      <c r="B54" s="437"/>
      <c r="C54" s="420"/>
      <c r="D54" s="413"/>
      <c r="E54" s="413"/>
      <c r="F54" s="414"/>
      <c r="G54" s="415"/>
      <c r="H54" s="464"/>
      <c r="I54" s="464"/>
      <c r="J54" s="464"/>
      <c r="K54" s="464"/>
      <c r="L54" s="464"/>
      <c r="M54" s="464"/>
      <c r="N54" s="464"/>
      <c r="O54" s="464"/>
      <c r="P54" s="464"/>
      <c r="Q54" s="464"/>
      <c r="R54" s="464"/>
    </row>
    <row r="55" spans="1:18" s="395" customFormat="1" ht="13.8">
      <c r="A55" s="412"/>
      <c r="B55" s="436" t="s">
        <v>195</v>
      </c>
      <c r="C55" s="420" t="s">
        <v>785</v>
      </c>
      <c r="D55" s="413" t="s">
        <v>681</v>
      </c>
      <c r="E55" s="413">
        <f>(8+4+1+12+4+1)*1.1</f>
        <v>33</v>
      </c>
      <c r="F55" s="414">
        <v>49342.26528</v>
      </c>
      <c r="G55" s="368">
        <f>E55*F55</f>
        <v>1628294.7542399999</v>
      </c>
      <c r="H55" s="374">
        <f>G55/'REKAP TOTAL'!F44</f>
        <v>1.3391582978947858E-4</v>
      </c>
      <c r="I55" s="464"/>
      <c r="J55" s="464"/>
      <c r="K55" s="464"/>
      <c r="L55" s="464"/>
      <c r="M55" s="464"/>
      <c r="N55" s="464"/>
      <c r="O55" s="464"/>
      <c r="P55" s="464"/>
      <c r="Q55" s="464"/>
      <c r="R55" s="464"/>
    </row>
    <row r="56" spans="1:18" s="395" customFormat="1" ht="12">
      <c r="A56" s="412"/>
      <c r="B56" s="437"/>
      <c r="C56" s="420" t="s">
        <v>786</v>
      </c>
      <c r="D56" s="413"/>
      <c r="E56" s="413"/>
      <c r="F56" s="414"/>
      <c r="G56" s="415"/>
      <c r="H56" s="464"/>
      <c r="I56" s="464"/>
      <c r="J56" s="464"/>
      <c r="K56" s="464"/>
      <c r="L56" s="464"/>
      <c r="M56" s="464"/>
      <c r="N56" s="464"/>
      <c r="O56" s="464"/>
      <c r="P56" s="464"/>
      <c r="Q56" s="464"/>
      <c r="R56" s="464"/>
    </row>
    <row r="57" spans="1:18" s="451" customFormat="1">
      <c r="A57" s="412"/>
      <c r="B57" s="437"/>
      <c r="C57" s="420"/>
      <c r="D57" s="413"/>
      <c r="E57" s="413"/>
      <c r="F57" s="414"/>
      <c r="G57" s="415"/>
      <c r="H57" s="466"/>
      <c r="I57" s="466"/>
      <c r="J57" s="466"/>
      <c r="K57" s="466"/>
      <c r="L57" s="466"/>
      <c r="M57" s="466"/>
      <c r="N57" s="466"/>
      <c r="O57" s="466"/>
      <c r="P57" s="466"/>
      <c r="Q57" s="466"/>
      <c r="R57" s="466"/>
    </row>
    <row r="58" spans="1:18" s="395" customFormat="1" ht="13.8">
      <c r="A58" s="467"/>
      <c r="B58" s="468" t="s">
        <v>787</v>
      </c>
      <c r="C58" s="424" t="s">
        <v>692</v>
      </c>
      <c r="D58" s="413" t="s">
        <v>681</v>
      </c>
      <c r="E58" s="413">
        <v>37</v>
      </c>
      <c r="F58" s="414">
        <v>49342.26528</v>
      </c>
      <c r="G58" s="368">
        <f>E58*F58</f>
        <v>1825663.8153599999</v>
      </c>
      <c r="H58" s="374">
        <f>G58/'REKAP TOTAL'!F44</f>
        <v>1.5014805158214265E-4</v>
      </c>
      <c r="I58" s="464"/>
      <c r="J58" s="464"/>
      <c r="K58" s="464"/>
      <c r="L58" s="464"/>
      <c r="M58" s="464"/>
      <c r="N58" s="464"/>
      <c r="O58" s="464"/>
      <c r="P58" s="464"/>
      <c r="Q58" s="464"/>
      <c r="R58" s="464"/>
    </row>
    <row r="59" spans="1:18" s="395" customFormat="1" ht="12">
      <c r="A59" s="467"/>
      <c r="B59" s="469"/>
      <c r="C59" s="424" t="s">
        <v>786</v>
      </c>
      <c r="D59" s="413"/>
      <c r="E59" s="413"/>
      <c r="F59" s="414"/>
      <c r="G59" s="415"/>
      <c r="H59" s="464"/>
      <c r="I59" s="464"/>
      <c r="J59" s="464"/>
      <c r="K59" s="464"/>
      <c r="L59" s="464"/>
      <c r="M59" s="464"/>
      <c r="N59" s="464"/>
      <c r="O59" s="464"/>
      <c r="P59" s="464"/>
      <c r="Q59" s="464"/>
      <c r="R59" s="464"/>
    </row>
    <row r="60" spans="1:18" s="451" customFormat="1">
      <c r="A60" s="412"/>
      <c r="B60" s="437"/>
      <c r="C60" s="420"/>
      <c r="D60" s="413"/>
      <c r="E60" s="413"/>
      <c r="F60" s="414"/>
      <c r="G60" s="415"/>
      <c r="H60" s="466"/>
      <c r="I60" s="466"/>
      <c r="J60" s="466"/>
      <c r="K60" s="466"/>
      <c r="L60" s="466"/>
      <c r="M60" s="466"/>
      <c r="N60" s="466"/>
      <c r="O60" s="466"/>
      <c r="P60" s="466"/>
      <c r="Q60" s="466"/>
      <c r="R60" s="466"/>
    </row>
    <row r="61" spans="1:18" s="395" customFormat="1" ht="12">
      <c r="A61" s="431" t="s">
        <v>24</v>
      </c>
      <c r="B61" s="432" t="s">
        <v>788</v>
      </c>
      <c r="C61" s="411"/>
      <c r="D61" s="413"/>
      <c r="E61" s="413"/>
      <c r="F61" s="414"/>
      <c r="G61" s="415"/>
      <c r="H61" s="464"/>
      <c r="I61" s="464"/>
      <c r="J61" s="464"/>
      <c r="K61" s="464"/>
      <c r="L61" s="464"/>
      <c r="M61" s="464"/>
      <c r="N61" s="464"/>
      <c r="O61" s="464"/>
      <c r="P61" s="464"/>
      <c r="Q61" s="464"/>
      <c r="R61" s="464"/>
    </row>
    <row r="62" spans="1:18" s="395" customFormat="1">
      <c r="A62" s="412"/>
      <c r="B62" s="430" t="s">
        <v>789</v>
      </c>
      <c r="C62" s="411"/>
      <c r="D62" s="413"/>
      <c r="E62" s="413"/>
      <c r="F62" s="414"/>
      <c r="G62" s="415"/>
      <c r="H62" s="464"/>
      <c r="I62" s="464"/>
      <c r="J62" s="464"/>
      <c r="K62" s="464"/>
      <c r="L62" s="464"/>
      <c r="M62" s="464"/>
      <c r="N62" s="464"/>
      <c r="O62" s="464"/>
      <c r="P62" s="464"/>
      <c r="Q62" s="464"/>
      <c r="R62" s="464"/>
    </row>
    <row r="63" spans="1:18" s="395" customFormat="1">
      <c r="A63" s="412"/>
      <c r="B63" s="430" t="s">
        <v>790</v>
      </c>
      <c r="C63" s="411"/>
      <c r="D63" s="413"/>
      <c r="E63" s="470"/>
      <c r="F63" s="414"/>
      <c r="G63" s="415"/>
      <c r="H63" s="464"/>
      <c r="I63" s="464"/>
      <c r="J63" s="464"/>
      <c r="K63" s="464"/>
      <c r="L63" s="464"/>
      <c r="M63" s="464"/>
      <c r="N63" s="464"/>
      <c r="O63" s="464"/>
      <c r="P63" s="464"/>
      <c r="Q63" s="464"/>
      <c r="R63" s="464"/>
    </row>
    <row r="64" spans="1:18" s="395" customFormat="1">
      <c r="A64" s="412"/>
      <c r="B64" s="430" t="s">
        <v>791</v>
      </c>
      <c r="C64" s="411"/>
      <c r="D64" s="413"/>
      <c r="E64" s="413"/>
      <c r="F64" s="414"/>
      <c r="G64" s="415"/>
      <c r="H64" s="464"/>
      <c r="I64" s="464"/>
      <c r="J64" s="464"/>
      <c r="K64" s="464"/>
      <c r="L64" s="464"/>
      <c r="M64" s="464"/>
      <c r="N64" s="464"/>
      <c r="O64" s="464"/>
      <c r="P64" s="464"/>
      <c r="Q64" s="464"/>
      <c r="R64" s="464"/>
    </row>
    <row r="65" spans="1:18" s="395" customFormat="1">
      <c r="A65" s="412"/>
      <c r="B65" s="430"/>
      <c r="C65" s="411"/>
      <c r="D65" s="413"/>
      <c r="E65" s="413"/>
      <c r="F65" s="414"/>
      <c r="G65" s="415"/>
      <c r="H65" s="464"/>
      <c r="I65" s="464"/>
      <c r="J65" s="464"/>
      <c r="K65" s="464"/>
      <c r="L65" s="464"/>
      <c r="M65" s="464"/>
      <c r="N65" s="464"/>
      <c r="O65" s="464"/>
      <c r="P65" s="464"/>
      <c r="Q65" s="464"/>
      <c r="R65" s="464"/>
    </row>
    <row r="66" spans="1:18" s="395" customFormat="1">
      <c r="A66" s="412"/>
      <c r="B66" s="429" t="s">
        <v>792</v>
      </c>
      <c r="C66" s="411"/>
      <c r="D66" s="413"/>
      <c r="E66" s="413"/>
      <c r="F66" s="414"/>
      <c r="G66" s="415"/>
      <c r="H66" s="464"/>
      <c r="I66" s="464"/>
      <c r="J66" s="464"/>
      <c r="K66" s="464"/>
      <c r="L66" s="464"/>
      <c r="M66" s="464"/>
      <c r="N66" s="464"/>
      <c r="O66" s="464"/>
      <c r="P66" s="464"/>
      <c r="Q66" s="464"/>
      <c r="R66" s="464"/>
    </row>
    <row r="67" spans="1:18" s="395" customFormat="1">
      <c r="A67" s="412"/>
      <c r="B67" s="429"/>
      <c r="C67" s="420"/>
      <c r="D67" s="413"/>
      <c r="E67" s="413"/>
      <c r="F67" s="414"/>
      <c r="G67" s="415"/>
      <c r="H67" s="464"/>
      <c r="I67" s="464"/>
      <c r="J67" s="464"/>
      <c r="K67" s="464"/>
      <c r="L67" s="464"/>
      <c r="M67" s="464"/>
      <c r="N67" s="464"/>
      <c r="O67" s="464"/>
      <c r="P67" s="464"/>
      <c r="Q67" s="464"/>
      <c r="R67" s="464"/>
    </row>
    <row r="68" spans="1:18" s="395" customFormat="1">
      <c r="A68" s="412"/>
      <c r="B68" s="429">
        <v>1</v>
      </c>
      <c r="C68" s="420" t="s">
        <v>793</v>
      </c>
      <c r="D68" s="413"/>
      <c r="E68" s="413"/>
      <c r="F68" s="414"/>
      <c r="G68" s="415"/>
      <c r="H68" s="464"/>
      <c r="I68" s="464"/>
      <c r="J68" s="464"/>
      <c r="K68" s="464"/>
      <c r="L68" s="464"/>
      <c r="M68" s="464"/>
      <c r="N68" s="464"/>
      <c r="O68" s="464"/>
      <c r="P68" s="464"/>
      <c r="Q68" s="464"/>
      <c r="R68" s="464"/>
    </row>
    <row r="69" spans="1:18" s="395" customFormat="1">
      <c r="A69" s="412"/>
      <c r="B69" s="429"/>
      <c r="C69" s="420"/>
      <c r="D69" s="413"/>
      <c r="E69" s="413"/>
      <c r="F69" s="414"/>
      <c r="G69" s="415"/>
      <c r="H69" s="464"/>
      <c r="I69" s="464"/>
      <c r="J69" s="464"/>
      <c r="K69" s="464"/>
      <c r="L69" s="464"/>
      <c r="M69" s="464"/>
      <c r="N69" s="464"/>
      <c r="O69" s="464"/>
      <c r="P69" s="464"/>
      <c r="Q69" s="464"/>
      <c r="R69" s="464"/>
    </row>
    <row r="70" spans="1:18" s="395" customFormat="1">
      <c r="A70" s="412"/>
      <c r="B70" s="430" t="s">
        <v>794</v>
      </c>
      <c r="C70" s="420"/>
      <c r="D70" s="413"/>
      <c r="E70" s="413"/>
      <c r="F70" s="414"/>
      <c r="G70" s="415"/>
      <c r="H70" s="464"/>
      <c r="I70" s="464"/>
      <c r="J70" s="464"/>
      <c r="K70" s="464"/>
      <c r="L70" s="464"/>
      <c r="M70" s="464"/>
      <c r="N70" s="464"/>
      <c r="O70" s="464"/>
      <c r="P70" s="464"/>
      <c r="Q70" s="464"/>
      <c r="R70" s="464"/>
    </row>
    <row r="71" spans="1:18" s="395" customFormat="1">
      <c r="A71" s="412"/>
      <c r="B71" s="429"/>
      <c r="C71" s="420"/>
      <c r="D71" s="413"/>
      <c r="E71" s="413"/>
      <c r="F71" s="414"/>
      <c r="G71" s="415"/>
      <c r="H71" s="464"/>
      <c r="I71" s="464"/>
      <c r="J71" s="464"/>
      <c r="K71" s="464"/>
      <c r="L71" s="464"/>
      <c r="M71" s="464"/>
      <c r="N71" s="464"/>
      <c r="O71" s="464"/>
      <c r="P71" s="464"/>
      <c r="Q71" s="464"/>
      <c r="R71" s="464"/>
    </row>
    <row r="72" spans="1:18" s="395" customFormat="1" ht="13.8">
      <c r="A72" s="412"/>
      <c r="B72" s="429" t="s">
        <v>795</v>
      </c>
      <c r="C72" s="422"/>
      <c r="D72" s="413" t="s">
        <v>681</v>
      </c>
      <c r="E72" s="413">
        <f>56+18+2</f>
        <v>76</v>
      </c>
      <c r="F72" s="414">
        <v>384940.77153805399</v>
      </c>
      <c r="G72" s="368">
        <f>E72*F72</f>
        <v>29255498.636892099</v>
      </c>
      <c r="H72" s="374">
        <f>G72/'REKAP TOTAL'!F44</f>
        <v>2.4060596926095057E-3</v>
      </c>
      <c r="I72" s="464"/>
      <c r="J72" s="464"/>
      <c r="K72" s="464"/>
      <c r="L72" s="464"/>
      <c r="M72" s="464"/>
      <c r="N72" s="464"/>
      <c r="O72" s="464"/>
      <c r="P72" s="464"/>
      <c r="Q72" s="464"/>
      <c r="R72" s="464"/>
    </row>
    <row r="73" spans="1:18" s="395" customFormat="1">
      <c r="A73" s="412"/>
      <c r="B73" s="429"/>
      <c r="C73" s="420"/>
      <c r="D73" s="413"/>
      <c r="E73" s="413"/>
      <c r="F73" s="414"/>
      <c r="G73" s="415"/>
      <c r="H73" s="464"/>
      <c r="I73" s="464"/>
      <c r="J73" s="464"/>
      <c r="K73" s="464"/>
      <c r="L73" s="464"/>
      <c r="M73" s="464"/>
      <c r="N73" s="464"/>
      <c r="O73" s="464"/>
      <c r="P73" s="464"/>
      <c r="Q73" s="464"/>
      <c r="R73" s="464"/>
    </row>
    <row r="74" spans="1:18" s="395" customFormat="1" ht="13.8">
      <c r="A74" s="412"/>
      <c r="B74" s="429" t="s">
        <v>796</v>
      </c>
      <c r="C74" s="422"/>
      <c r="D74" s="413" t="s">
        <v>681</v>
      </c>
      <c r="E74" s="413">
        <f>17+2</f>
        <v>19</v>
      </c>
      <c r="F74" s="414">
        <v>230964.462922832</v>
      </c>
      <c r="G74" s="368">
        <f>E74*F74</f>
        <v>4388324.7955338098</v>
      </c>
      <c r="H74" s="374">
        <f>G74/'REKAP TOTAL'!F44</f>
        <v>3.6090895389142544E-4</v>
      </c>
      <c r="I74" s="464"/>
      <c r="J74" s="464"/>
      <c r="K74" s="464"/>
      <c r="L74" s="464"/>
      <c r="M74" s="464"/>
      <c r="N74" s="464"/>
      <c r="O74" s="464"/>
      <c r="P74" s="464"/>
      <c r="Q74" s="464"/>
      <c r="R74" s="464"/>
    </row>
    <row r="75" spans="1:18" s="395" customFormat="1">
      <c r="A75" s="412"/>
      <c r="B75" s="429"/>
      <c r="C75" s="420"/>
      <c r="D75" s="413"/>
      <c r="E75" s="413"/>
      <c r="F75" s="414"/>
      <c r="G75" s="415"/>
      <c r="H75" s="464"/>
      <c r="I75" s="464"/>
      <c r="J75" s="464"/>
      <c r="K75" s="464"/>
      <c r="L75" s="464"/>
      <c r="M75" s="464"/>
      <c r="N75" s="464"/>
      <c r="O75" s="464"/>
      <c r="P75" s="464"/>
      <c r="Q75" s="464"/>
      <c r="R75" s="464"/>
    </row>
    <row r="76" spans="1:18" s="395" customFormat="1" ht="13.8">
      <c r="A76" s="412"/>
      <c r="B76" s="429" t="s">
        <v>797</v>
      </c>
      <c r="C76" s="420"/>
      <c r="D76" s="413" t="s">
        <v>262</v>
      </c>
      <c r="E76" s="413">
        <v>1</v>
      </c>
      <c r="F76" s="414">
        <v>348450</v>
      </c>
      <c r="G76" s="368">
        <f>E76*F76</f>
        <v>348450</v>
      </c>
      <c r="H76" s="374">
        <f>G76/'REKAP TOTAL'!F44</f>
        <v>2.8657569993783811E-5</v>
      </c>
      <c r="I76" s="464"/>
      <c r="J76" s="464"/>
      <c r="K76" s="464"/>
      <c r="L76" s="464"/>
      <c r="M76" s="464"/>
      <c r="N76" s="464"/>
      <c r="O76" s="464"/>
      <c r="P76" s="464"/>
      <c r="Q76" s="464"/>
      <c r="R76" s="464"/>
    </row>
    <row r="77" spans="1:18" s="395" customFormat="1">
      <c r="A77" s="412"/>
      <c r="B77" s="429"/>
      <c r="C77" s="420"/>
      <c r="D77" s="413"/>
      <c r="E77" s="413"/>
      <c r="F77" s="414"/>
      <c r="G77" s="415"/>
      <c r="H77" s="464"/>
      <c r="I77" s="464"/>
      <c r="J77" s="464"/>
      <c r="K77" s="464"/>
      <c r="L77" s="464"/>
      <c r="M77" s="464"/>
      <c r="N77" s="464"/>
      <c r="O77" s="464"/>
      <c r="P77" s="464"/>
      <c r="Q77" s="464"/>
      <c r="R77" s="464"/>
    </row>
    <row r="78" spans="1:18" s="395" customFormat="1" ht="13.8">
      <c r="A78" s="412"/>
      <c r="B78" s="429" t="s">
        <v>798</v>
      </c>
      <c r="C78" s="420"/>
      <c r="D78" s="413" t="s">
        <v>262</v>
      </c>
      <c r="E78" s="413">
        <v>1</v>
      </c>
      <c r="F78" s="414">
        <v>399776.685</v>
      </c>
      <c r="G78" s="368">
        <f>E78*F78</f>
        <v>399776.685</v>
      </c>
      <c r="H78" s="374">
        <f>G78/'REKAP TOTAL'!F44</f>
        <v>3.2878830053868168E-5</v>
      </c>
      <c r="I78" s="464"/>
      <c r="J78" s="464"/>
      <c r="K78" s="464"/>
      <c r="L78" s="464"/>
      <c r="M78" s="464"/>
      <c r="N78" s="464"/>
      <c r="O78" s="464"/>
      <c r="P78" s="464"/>
      <c r="Q78" s="464"/>
      <c r="R78" s="464"/>
    </row>
    <row r="79" spans="1:18" s="451" customFormat="1">
      <c r="A79" s="412"/>
      <c r="B79" s="429"/>
      <c r="C79" s="420"/>
      <c r="D79" s="413"/>
      <c r="E79" s="413"/>
      <c r="F79" s="414"/>
      <c r="G79" s="415"/>
      <c r="H79" s="466"/>
      <c r="I79" s="466"/>
      <c r="J79" s="466"/>
      <c r="K79" s="466"/>
      <c r="L79" s="466"/>
      <c r="M79" s="466"/>
      <c r="N79" s="466"/>
      <c r="O79" s="466"/>
      <c r="P79" s="466"/>
      <c r="Q79" s="466"/>
      <c r="R79" s="466"/>
    </row>
    <row r="80" spans="1:18" s="395" customFormat="1" ht="13.8">
      <c r="A80" s="412"/>
      <c r="B80" s="429" t="s">
        <v>799</v>
      </c>
      <c r="C80" s="420"/>
      <c r="D80" s="413" t="s">
        <v>262</v>
      </c>
      <c r="E80" s="413">
        <v>1</v>
      </c>
      <c r="F80" s="414">
        <v>399776.685</v>
      </c>
      <c r="G80" s="368">
        <f>E80*F80</f>
        <v>399776.685</v>
      </c>
      <c r="H80" s="374">
        <f>G80/'REKAP TOTAL'!F44</f>
        <v>3.2878830053868168E-5</v>
      </c>
      <c r="I80" s="464"/>
      <c r="J80" s="464"/>
      <c r="K80" s="464"/>
      <c r="L80" s="464"/>
      <c r="M80" s="464"/>
      <c r="N80" s="464"/>
      <c r="O80" s="464"/>
      <c r="P80" s="464"/>
      <c r="Q80" s="464"/>
      <c r="R80" s="464"/>
    </row>
    <row r="81" spans="1:18" s="395" customFormat="1">
      <c r="A81" s="412"/>
      <c r="B81" s="429"/>
      <c r="C81" s="420"/>
      <c r="D81" s="413"/>
      <c r="E81" s="413"/>
      <c r="F81" s="414"/>
      <c r="G81" s="415"/>
      <c r="H81" s="464"/>
      <c r="I81" s="464"/>
      <c r="J81" s="464"/>
      <c r="K81" s="464"/>
      <c r="L81" s="464"/>
      <c r="M81" s="464"/>
      <c r="N81" s="464"/>
      <c r="O81" s="464"/>
      <c r="P81" s="464"/>
      <c r="Q81" s="464"/>
      <c r="R81" s="464"/>
    </row>
    <row r="82" spans="1:18" s="395" customFormat="1" ht="13.8">
      <c r="A82" s="412"/>
      <c r="B82" s="429" t="s">
        <v>800</v>
      </c>
      <c r="C82" s="420"/>
      <c r="D82" s="413" t="s">
        <v>262</v>
      </c>
      <c r="E82" s="413">
        <v>1</v>
      </c>
      <c r="F82" s="414">
        <v>382336.76250000001</v>
      </c>
      <c r="G82" s="368">
        <f>E82*F82</f>
        <v>382336.76250000001</v>
      </c>
      <c r="H82" s="374">
        <f>G82/'REKAP TOTAL'!F44</f>
        <v>3.1444518675679289E-5</v>
      </c>
      <c r="I82" s="464"/>
      <c r="J82" s="464"/>
      <c r="K82" s="464"/>
      <c r="L82" s="464"/>
      <c r="M82" s="464"/>
      <c r="N82" s="464"/>
      <c r="O82" s="464"/>
      <c r="P82" s="464"/>
      <c r="Q82" s="464"/>
      <c r="R82" s="464"/>
    </row>
    <row r="83" spans="1:18" s="395" customFormat="1">
      <c r="A83" s="412"/>
      <c r="B83" s="429"/>
      <c r="C83" s="429"/>
      <c r="D83" s="413"/>
      <c r="E83" s="413"/>
      <c r="F83" s="414"/>
      <c r="G83" s="415"/>
      <c r="H83" s="464"/>
      <c r="I83" s="464"/>
      <c r="J83" s="464"/>
      <c r="K83" s="464"/>
      <c r="L83" s="464"/>
      <c r="M83" s="464"/>
      <c r="N83" s="464"/>
      <c r="O83" s="464"/>
      <c r="P83" s="464"/>
      <c r="Q83" s="464"/>
      <c r="R83" s="464"/>
    </row>
    <row r="84" spans="1:18" s="395" customFormat="1" ht="13.8">
      <c r="A84" s="412"/>
      <c r="B84" s="429" t="s">
        <v>801</v>
      </c>
      <c r="C84" s="420"/>
      <c r="D84" s="413" t="s">
        <v>262</v>
      </c>
      <c r="E84" s="413">
        <v>1</v>
      </c>
      <c r="F84" s="414">
        <v>239866.011</v>
      </c>
      <c r="G84" s="368">
        <f>E84*F84</f>
        <v>239866.011</v>
      </c>
      <c r="H84" s="374">
        <f>G84/'REKAP TOTAL'!F44</f>
        <v>1.9727298032320901E-5</v>
      </c>
      <c r="I84" s="464"/>
      <c r="J84" s="464"/>
      <c r="K84" s="464"/>
      <c r="L84" s="464"/>
      <c r="M84" s="464"/>
      <c r="N84" s="464"/>
      <c r="O84" s="464"/>
      <c r="P84" s="464"/>
      <c r="Q84" s="464"/>
      <c r="R84" s="464"/>
    </row>
    <row r="85" spans="1:18" s="395" customFormat="1">
      <c r="A85" s="412"/>
      <c r="B85" s="429"/>
      <c r="C85" s="420"/>
      <c r="D85" s="413"/>
      <c r="E85" s="413"/>
      <c r="F85" s="414"/>
      <c r="G85" s="415"/>
      <c r="H85" s="464"/>
      <c r="I85" s="464"/>
      <c r="J85" s="464"/>
      <c r="K85" s="464"/>
      <c r="L85" s="464"/>
      <c r="M85" s="464"/>
      <c r="N85" s="464"/>
      <c r="O85" s="464"/>
      <c r="P85" s="464"/>
      <c r="Q85" s="464"/>
      <c r="R85" s="464"/>
    </row>
    <row r="86" spans="1:18" s="395" customFormat="1" ht="13.8">
      <c r="A86" s="412"/>
      <c r="B86" s="429" t="s">
        <v>802</v>
      </c>
      <c r="C86" s="420"/>
      <c r="D86" s="413" t="s">
        <v>262</v>
      </c>
      <c r="E86" s="413">
        <v>1</v>
      </c>
      <c r="F86" s="414">
        <v>239866.011</v>
      </c>
      <c r="G86" s="368">
        <f>E86*F86</f>
        <v>239866.011</v>
      </c>
      <c r="H86" s="374">
        <f>G86/'REKAP TOTAL'!F44</f>
        <v>1.9727298032320901E-5</v>
      </c>
      <c r="I86" s="464"/>
      <c r="J86" s="464"/>
      <c r="K86" s="464"/>
      <c r="L86" s="464"/>
      <c r="M86" s="464"/>
      <c r="N86" s="464"/>
      <c r="O86" s="464"/>
      <c r="P86" s="464"/>
      <c r="Q86" s="464"/>
      <c r="R86" s="464"/>
    </row>
    <row r="87" spans="1:18" s="395" customFormat="1">
      <c r="A87" s="412"/>
      <c r="B87" s="429"/>
      <c r="C87" s="420"/>
      <c r="D87" s="413"/>
      <c r="E87" s="413"/>
      <c r="F87" s="414"/>
      <c r="G87" s="415"/>
      <c r="H87" s="464"/>
      <c r="I87" s="464"/>
      <c r="J87" s="464"/>
      <c r="K87" s="464"/>
      <c r="L87" s="464"/>
      <c r="M87" s="464"/>
      <c r="N87" s="464"/>
      <c r="O87" s="464"/>
      <c r="P87" s="464"/>
      <c r="Q87" s="464"/>
      <c r="R87" s="464"/>
    </row>
    <row r="88" spans="1:18" s="395" customFormat="1" ht="13.8">
      <c r="A88" s="412"/>
      <c r="B88" s="429" t="s">
        <v>803</v>
      </c>
      <c r="C88" s="420"/>
      <c r="D88" s="413" t="s">
        <v>262</v>
      </c>
      <c r="E88" s="413">
        <v>2</v>
      </c>
      <c r="F88" s="414">
        <v>229402.0575</v>
      </c>
      <c r="G88" s="368">
        <f>E88*F88</f>
        <v>458804.11499999999</v>
      </c>
      <c r="H88" s="374">
        <f>G88/'REKAP TOTAL'!F44</f>
        <v>3.7733422410815147E-5</v>
      </c>
      <c r="I88" s="464"/>
      <c r="J88" s="464"/>
      <c r="K88" s="464"/>
      <c r="L88" s="464"/>
      <c r="M88" s="464"/>
      <c r="N88" s="464"/>
      <c r="O88" s="464"/>
      <c r="P88" s="464"/>
      <c r="Q88" s="464"/>
      <c r="R88" s="464"/>
    </row>
    <row r="89" spans="1:18" s="451" customFormat="1">
      <c r="A89" s="412"/>
      <c r="B89" s="429"/>
      <c r="C89" s="429"/>
      <c r="D89" s="413"/>
      <c r="E89" s="413"/>
      <c r="F89" s="414"/>
      <c r="G89" s="415"/>
      <c r="H89" s="466"/>
      <c r="I89" s="466"/>
      <c r="J89" s="466"/>
      <c r="K89" s="466"/>
      <c r="L89" s="466"/>
      <c r="M89" s="466"/>
      <c r="N89" s="466"/>
      <c r="O89" s="466"/>
      <c r="P89" s="466"/>
      <c r="Q89" s="466"/>
      <c r="R89" s="466"/>
    </row>
    <row r="90" spans="1:18" s="395" customFormat="1" ht="13.8">
      <c r="A90" s="412"/>
      <c r="B90" s="429" t="s">
        <v>804</v>
      </c>
      <c r="C90" s="429"/>
      <c r="D90" s="413" t="s">
        <v>681</v>
      </c>
      <c r="E90" s="413">
        <f>(44*2)+(28*2)+(6*24)+(22*2)+18+12</f>
        <v>362</v>
      </c>
      <c r="F90" s="414">
        <v>159865.95624999999</v>
      </c>
      <c r="G90" s="368">
        <f>E90*F90</f>
        <v>57871476.1624998</v>
      </c>
      <c r="H90" s="374">
        <f>G90/'REKAP TOTAL'!F44</f>
        <v>4.759523256623416E-3</v>
      </c>
      <c r="I90" s="464"/>
      <c r="J90" s="464"/>
      <c r="K90" s="464"/>
      <c r="L90" s="464"/>
      <c r="M90" s="464"/>
      <c r="N90" s="464"/>
      <c r="O90" s="464"/>
      <c r="P90" s="464"/>
      <c r="Q90" s="464"/>
      <c r="R90" s="464"/>
    </row>
    <row r="91" spans="1:18" s="395" customFormat="1">
      <c r="A91" s="412"/>
      <c r="B91" s="429"/>
      <c r="C91" s="429"/>
      <c r="D91" s="413"/>
      <c r="E91" s="413"/>
      <c r="F91" s="414"/>
      <c r="G91" s="415"/>
      <c r="H91" s="464"/>
      <c r="I91" s="464"/>
      <c r="J91" s="464"/>
      <c r="K91" s="464"/>
      <c r="L91" s="464"/>
      <c r="M91" s="464"/>
      <c r="N91" s="464"/>
      <c r="O91" s="464"/>
      <c r="P91" s="464"/>
      <c r="Q91" s="464"/>
      <c r="R91" s="464"/>
    </row>
    <row r="92" spans="1:18" ht="12">
      <c r="A92" s="364" t="s">
        <v>25</v>
      </c>
      <c r="B92" s="365" t="s">
        <v>805</v>
      </c>
      <c r="C92" s="366"/>
      <c r="D92" s="355"/>
      <c r="E92" s="355"/>
      <c r="F92" s="367"/>
      <c r="G92" s="368"/>
      <c r="H92" s="356"/>
      <c r="I92" s="358"/>
      <c r="J92" s="358"/>
      <c r="K92" s="358"/>
      <c r="L92" s="358"/>
      <c r="M92" s="358"/>
      <c r="N92" s="358"/>
      <c r="O92" s="358"/>
      <c r="P92" s="358"/>
      <c r="Q92" s="358"/>
      <c r="R92" s="358"/>
    </row>
    <row r="93" spans="1:18">
      <c r="A93" s="369"/>
      <c r="B93" s="370" t="s">
        <v>806</v>
      </c>
      <c r="C93" s="366"/>
      <c r="D93" s="369"/>
      <c r="E93" s="355"/>
      <c r="F93" s="367"/>
      <c r="G93" s="368"/>
      <c r="H93" s="356"/>
      <c r="I93" s="358"/>
      <c r="J93" s="358"/>
      <c r="K93" s="358"/>
      <c r="L93" s="358"/>
      <c r="M93" s="358"/>
      <c r="N93" s="358"/>
      <c r="O93" s="358"/>
      <c r="P93" s="358"/>
      <c r="Q93" s="358"/>
      <c r="R93" s="358"/>
    </row>
    <row r="94" spans="1:18">
      <c r="A94" s="369"/>
      <c r="B94" s="370" t="s">
        <v>807</v>
      </c>
      <c r="C94" s="366"/>
      <c r="D94" s="369"/>
      <c r="E94" s="355"/>
      <c r="F94" s="367"/>
      <c r="G94" s="368"/>
      <c r="H94" s="356"/>
      <c r="I94" s="358"/>
      <c r="J94" s="358"/>
      <c r="K94" s="358"/>
      <c r="L94" s="358"/>
      <c r="M94" s="358"/>
      <c r="N94" s="358"/>
      <c r="O94" s="358"/>
      <c r="P94" s="358"/>
      <c r="Q94" s="358"/>
      <c r="R94" s="358"/>
    </row>
    <row r="95" spans="1:18">
      <c r="A95" s="369"/>
      <c r="B95" s="370" t="s">
        <v>808</v>
      </c>
      <c r="C95" s="366"/>
      <c r="D95" s="369"/>
      <c r="E95" s="355"/>
      <c r="F95" s="367"/>
      <c r="G95" s="368"/>
      <c r="H95" s="356"/>
      <c r="I95" s="358"/>
      <c r="J95" s="358"/>
      <c r="K95" s="358"/>
      <c r="L95" s="358"/>
      <c r="M95" s="358"/>
      <c r="N95" s="358"/>
      <c r="O95" s="358"/>
      <c r="P95" s="358"/>
      <c r="Q95" s="358"/>
      <c r="R95" s="358"/>
    </row>
    <row r="96" spans="1:18">
      <c r="A96" s="369"/>
      <c r="B96" s="370" t="s">
        <v>809</v>
      </c>
      <c r="C96" s="366"/>
      <c r="D96" s="369"/>
      <c r="E96" s="355"/>
      <c r="F96" s="367"/>
      <c r="G96" s="368"/>
      <c r="H96" s="356"/>
      <c r="I96" s="358"/>
      <c r="J96" s="358"/>
      <c r="K96" s="358"/>
      <c r="L96" s="358"/>
      <c r="M96" s="358"/>
      <c r="N96" s="358"/>
      <c r="O96" s="358"/>
      <c r="P96" s="358"/>
      <c r="Q96" s="358"/>
      <c r="R96" s="358"/>
    </row>
    <row r="97" spans="1:18">
      <c r="A97" s="369"/>
      <c r="B97" s="370" t="s">
        <v>810</v>
      </c>
      <c r="C97" s="354"/>
      <c r="D97" s="355"/>
      <c r="E97" s="355"/>
      <c r="F97" s="367"/>
      <c r="G97" s="368"/>
      <c r="H97" s="356"/>
      <c r="I97" s="358"/>
      <c r="J97" s="358"/>
      <c r="K97" s="358"/>
      <c r="L97" s="358"/>
      <c r="M97" s="358"/>
      <c r="N97" s="358"/>
      <c r="O97" s="358"/>
      <c r="P97" s="358"/>
      <c r="Q97" s="358"/>
      <c r="R97" s="358"/>
    </row>
    <row r="98" spans="1:18">
      <c r="A98" s="369"/>
      <c r="B98" s="371"/>
      <c r="C98" s="354"/>
      <c r="D98" s="355"/>
      <c r="E98" s="355"/>
      <c r="F98" s="367"/>
      <c r="G98" s="368"/>
      <c r="H98" s="356"/>
      <c r="I98" s="358"/>
      <c r="J98" s="358"/>
      <c r="K98" s="358"/>
      <c r="L98" s="358"/>
      <c r="M98" s="358"/>
      <c r="N98" s="358"/>
      <c r="O98" s="358"/>
      <c r="P98" s="358"/>
      <c r="Q98" s="358"/>
      <c r="R98" s="358"/>
    </row>
    <row r="99" spans="1:18">
      <c r="A99" s="369"/>
      <c r="B99" s="370" t="s">
        <v>811</v>
      </c>
      <c r="C99" s="354"/>
      <c r="D99" s="355"/>
      <c r="E99" s="355"/>
      <c r="F99" s="367"/>
      <c r="G99" s="368"/>
      <c r="H99" s="356"/>
      <c r="I99" s="358"/>
      <c r="J99" s="358"/>
      <c r="K99" s="358"/>
      <c r="L99" s="358"/>
      <c r="M99" s="358"/>
      <c r="N99" s="358"/>
      <c r="O99" s="358"/>
      <c r="P99" s="358"/>
      <c r="Q99" s="358"/>
      <c r="R99" s="358"/>
    </row>
    <row r="100" spans="1:18">
      <c r="A100" s="369"/>
      <c r="B100" s="371"/>
      <c r="C100" s="354"/>
      <c r="D100" s="355"/>
      <c r="E100" s="355"/>
      <c r="F100" s="367"/>
      <c r="G100" s="368"/>
      <c r="H100" s="356"/>
      <c r="I100" s="358"/>
      <c r="J100" s="358"/>
      <c r="K100" s="358"/>
      <c r="L100" s="358"/>
      <c r="M100" s="358"/>
      <c r="N100" s="358"/>
      <c r="O100" s="358"/>
      <c r="P100" s="358"/>
      <c r="Q100" s="358"/>
      <c r="R100" s="358"/>
    </row>
    <row r="101" spans="1:18" s="395" customFormat="1" ht="13.8">
      <c r="A101" s="438"/>
      <c r="B101" s="429"/>
      <c r="C101" s="429" t="s">
        <v>812</v>
      </c>
      <c r="D101" s="413" t="s">
        <v>262</v>
      </c>
      <c r="E101" s="413">
        <v>58</v>
      </c>
      <c r="F101" s="414">
        <v>533929.93500000006</v>
      </c>
      <c r="G101" s="368">
        <f>E101*F101</f>
        <v>30967936.23</v>
      </c>
      <c r="H101" s="374">
        <f>G101/'REKAP TOTAL'!F44</f>
        <v>2.5468956810855464E-3</v>
      </c>
      <c r="I101" s="464"/>
      <c r="J101" s="464"/>
      <c r="K101" s="464"/>
      <c r="L101" s="464"/>
      <c r="M101" s="464"/>
      <c r="N101" s="464"/>
      <c r="O101" s="464"/>
      <c r="P101" s="464"/>
      <c r="Q101" s="464"/>
      <c r="R101" s="464"/>
    </row>
    <row r="102" spans="1:18" s="395" customFormat="1">
      <c r="A102" s="438"/>
      <c r="B102" s="429"/>
      <c r="C102" s="429" t="s">
        <v>813</v>
      </c>
      <c r="D102" s="413"/>
      <c r="E102" s="413"/>
      <c r="F102" s="414"/>
      <c r="G102" s="415"/>
      <c r="H102" s="464"/>
      <c r="I102" s="464"/>
      <c r="J102" s="464"/>
      <c r="K102" s="464"/>
      <c r="L102" s="464"/>
      <c r="M102" s="464"/>
      <c r="N102" s="464"/>
      <c r="O102" s="464"/>
      <c r="P102" s="464"/>
      <c r="Q102" s="464"/>
      <c r="R102" s="464"/>
    </row>
    <row r="103" spans="1:18" s="395" customFormat="1">
      <c r="A103" s="438"/>
      <c r="B103" s="429"/>
      <c r="C103" s="429"/>
      <c r="D103" s="413"/>
      <c r="E103" s="413"/>
      <c r="F103" s="414"/>
      <c r="G103" s="415"/>
      <c r="H103" s="464"/>
      <c r="I103" s="464"/>
      <c r="J103" s="464"/>
      <c r="K103" s="464"/>
      <c r="L103" s="464"/>
      <c r="M103" s="464"/>
      <c r="N103" s="464"/>
      <c r="O103" s="464"/>
      <c r="P103" s="464"/>
      <c r="Q103" s="464"/>
      <c r="R103" s="464"/>
    </row>
    <row r="104" spans="1:18" s="395" customFormat="1" ht="13.8">
      <c r="A104" s="438"/>
      <c r="B104" s="429"/>
      <c r="C104" s="429" t="s">
        <v>814</v>
      </c>
      <c r="D104" s="413" t="s">
        <v>262</v>
      </c>
      <c r="E104" s="413">
        <v>15</v>
      </c>
      <c r="F104" s="471">
        <v>4471775</v>
      </c>
      <c r="G104" s="368">
        <f>E104*F104</f>
        <v>67076625</v>
      </c>
      <c r="H104" s="374">
        <f>G104/'REKAP TOTAL'!F44</f>
        <v>5.5165822238033837E-3</v>
      </c>
      <c r="I104" s="464"/>
      <c r="J104" s="464"/>
      <c r="K104" s="464"/>
      <c r="L104" s="464"/>
      <c r="M104" s="464"/>
      <c r="N104" s="464"/>
      <c r="O104" s="464"/>
      <c r="P104" s="464"/>
      <c r="Q104" s="464"/>
      <c r="R104" s="464"/>
    </row>
    <row r="105" spans="1:18" s="395" customFormat="1" ht="14.25" customHeight="1">
      <c r="A105" s="438"/>
      <c r="B105" s="429"/>
      <c r="C105" s="429" t="s">
        <v>813</v>
      </c>
      <c r="D105" s="413"/>
      <c r="E105" s="413"/>
      <c r="F105" s="471"/>
      <c r="G105" s="472"/>
      <c r="H105" s="464"/>
      <c r="I105" s="464"/>
      <c r="J105" s="464"/>
      <c r="K105" s="464"/>
      <c r="L105" s="464"/>
      <c r="M105" s="464"/>
      <c r="N105" s="464"/>
      <c r="O105" s="464"/>
      <c r="P105" s="464"/>
      <c r="Q105" s="464"/>
      <c r="R105" s="464"/>
    </row>
    <row r="106" spans="1:18" s="395" customFormat="1" ht="14.25" customHeight="1">
      <c r="A106" s="438"/>
      <c r="B106" s="429"/>
      <c r="C106" s="429"/>
      <c r="D106" s="413"/>
      <c r="E106" s="413"/>
      <c r="F106" s="471"/>
      <c r="G106" s="472"/>
      <c r="H106" s="464"/>
      <c r="I106" s="464"/>
      <c r="J106" s="464"/>
      <c r="K106" s="464"/>
      <c r="L106" s="464"/>
      <c r="M106" s="464"/>
      <c r="N106" s="464"/>
      <c r="O106" s="464"/>
      <c r="P106" s="464"/>
      <c r="Q106" s="464"/>
      <c r="R106" s="464"/>
    </row>
    <row r="107" spans="1:18" s="328" customFormat="1" ht="14.25" customHeight="1">
      <c r="A107" s="373"/>
      <c r="B107" s="371"/>
      <c r="C107" s="375" t="s">
        <v>815</v>
      </c>
      <c r="D107" s="355" t="s">
        <v>262</v>
      </c>
      <c r="E107" s="355">
        <v>2</v>
      </c>
      <c r="F107" s="439">
        <v>338389.98736726597</v>
      </c>
      <c r="G107" s="368">
        <f>E107*F107</f>
        <v>676779.97473453102</v>
      </c>
      <c r="H107" s="374">
        <f>G107/'REKAP TOTAL'!F44</f>
        <v>5.5660408943452614E-5</v>
      </c>
      <c r="I107" s="372"/>
      <c r="J107" s="372"/>
      <c r="K107" s="372"/>
      <c r="L107" s="372"/>
      <c r="M107" s="372"/>
      <c r="N107" s="372"/>
      <c r="O107" s="372"/>
      <c r="P107" s="372"/>
      <c r="Q107" s="372"/>
      <c r="R107" s="372"/>
    </row>
    <row r="108" spans="1:18" s="328" customFormat="1" ht="14.25" customHeight="1">
      <c r="A108" s="373"/>
      <c r="B108" s="371"/>
      <c r="C108" s="371" t="s">
        <v>813</v>
      </c>
      <c r="D108" s="355"/>
      <c r="E108" s="355"/>
      <c r="F108" s="367"/>
      <c r="G108" s="368"/>
      <c r="H108" s="372"/>
      <c r="I108" s="372"/>
      <c r="J108" s="372"/>
      <c r="K108" s="372"/>
      <c r="L108" s="372"/>
      <c r="M108" s="372"/>
      <c r="N108" s="372"/>
      <c r="O108" s="372"/>
      <c r="P108" s="372"/>
      <c r="Q108" s="372"/>
      <c r="R108" s="372"/>
    </row>
    <row r="109" spans="1:18" s="328" customFormat="1" ht="14.25" customHeight="1">
      <c r="A109" s="373"/>
      <c r="B109" s="363"/>
      <c r="C109" s="354"/>
      <c r="D109" s="355"/>
      <c r="E109" s="355"/>
      <c r="F109" s="367"/>
      <c r="G109" s="368"/>
      <c r="H109" s="372"/>
      <c r="I109" s="372"/>
      <c r="J109" s="372"/>
      <c r="K109" s="372"/>
      <c r="L109" s="372"/>
      <c r="M109" s="372"/>
      <c r="N109" s="372"/>
      <c r="O109" s="372"/>
      <c r="P109" s="372"/>
      <c r="Q109" s="372"/>
      <c r="R109" s="372"/>
    </row>
    <row r="110" spans="1:18" s="328" customFormat="1" ht="14.25" customHeight="1">
      <c r="A110" s="373"/>
      <c r="B110" s="363"/>
      <c r="C110" s="354" t="s">
        <v>816</v>
      </c>
      <c r="D110" s="355" t="s">
        <v>262</v>
      </c>
      <c r="E110" s="355">
        <v>2</v>
      </c>
      <c r="F110" s="440">
        <v>399543.375</v>
      </c>
      <c r="G110" s="368">
        <f>E110*F110</f>
        <v>799086.75</v>
      </c>
      <c r="H110" s="374">
        <f>G110/'REKAP TOTAL'!F44</f>
        <v>6.5719283883570743E-5</v>
      </c>
      <c r="I110" s="372"/>
      <c r="J110" s="372"/>
      <c r="K110" s="372"/>
      <c r="L110" s="372"/>
      <c r="M110" s="372"/>
      <c r="N110" s="372"/>
      <c r="O110" s="372"/>
      <c r="P110" s="372"/>
      <c r="Q110" s="372"/>
      <c r="R110" s="372"/>
    </row>
    <row r="111" spans="1:18" s="328" customFormat="1" ht="14.25" customHeight="1">
      <c r="A111" s="373"/>
      <c r="B111" s="363"/>
      <c r="C111" s="354" t="s">
        <v>813</v>
      </c>
      <c r="D111" s="355"/>
      <c r="E111" s="355"/>
      <c r="F111" s="367"/>
      <c r="G111" s="441"/>
      <c r="H111" s="372"/>
      <c r="I111" s="372"/>
      <c r="J111" s="372"/>
      <c r="K111" s="372"/>
      <c r="L111" s="372"/>
      <c r="M111" s="372"/>
      <c r="N111" s="372"/>
      <c r="O111" s="372"/>
      <c r="P111" s="372"/>
      <c r="Q111" s="372"/>
      <c r="R111" s="372"/>
    </row>
    <row r="112" spans="1:18" ht="14.25" customHeight="1">
      <c r="A112" s="373"/>
      <c r="B112" s="371"/>
      <c r="C112" s="354"/>
      <c r="D112" s="355"/>
      <c r="E112" s="355"/>
      <c r="F112" s="367"/>
      <c r="G112" s="441"/>
      <c r="H112" s="356"/>
      <c r="I112" s="358"/>
      <c r="J112" s="358"/>
      <c r="K112" s="358"/>
      <c r="L112" s="358"/>
      <c r="M112" s="358"/>
      <c r="N112" s="358"/>
      <c r="O112" s="358"/>
      <c r="P112" s="358"/>
      <c r="Q112" s="358"/>
      <c r="R112" s="358"/>
    </row>
    <row r="113" spans="1:18" s="395" customFormat="1" ht="14.25" customHeight="1">
      <c r="A113" s="438"/>
      <c r="B113" s="429"/>
      <c r="C113" s="429" t="s">
        <v>817</v>
      </c>
      <c r="D113" s="413" t="s">
        <v>262</v>
      </c>
      <c r="E113" s="413">
        <v>6</v>
      </c>
      <c r="F113" s="471">
        <v>416108.38500000001</v>
      </c>
      <c r="G113" s="368">
        <f>E113*F113</f>
        <v>2496650.31</v>
      </c>
      <c r="H113" s="374">
        <f>G113/'REKAP TOTAL'!F44</f>
        <v>2.0533198739798263E-4</v>
      </c>
      <c r="I113" s="464"/>
      <c r="J113" s="464"/>
      <c r="K113" s="464"/>
      <c r="L113" s="464"/>
      <c r="M113" s="464"/>
      <c r="N113" s="464"/>
      <c r="O113" s="464"/>
      <c r="P113" s="464"/>
      <c r="Q113" s="464"/>
      <c r="R113" s="464"/>
    </row>
    <row r="114" spans="1:18" s="395" customFormat="1" ht="14.25" customHeight="1">
      <c r="A114" s="438"/>
      <c r="B114" s="429"/>
      <c r="C114" s="429" t="s">
        <v>813</v>
      </c>
      <c r="D114" s="413"/>
      <c r="E114" s="413"/>
      <c r="F114" s="414"/>
      <c r="G114" s="415"/>
      <c r="H114" s="464"/>
      <c r="I114" s="464"/>
      <c r="J114" s="464"/>
      <c r="K114" s="464"/>
      <c r="L114" s="464"/>
      <c r="M114" s="464"/>
      <c r="N114" s="464"/>
      <c r="O114" s="464"/>
      <c r="P114" s="464"/>
      <c r="Q114" s="464"/>
      <c r="R114" s="464"/>
    </row>
    <row r="115" spans="1:18" s="395" customFormat="1" ht="14.25" customHeight="1">
      <c r="A115" s="438"/>
      <c r="B115" s="429"/>
      <c r="C115" s="429"/>
      <c r="D115" s="413"/>
      <c r="E115" s="413"/>
      <c r="F115" s="414"/>
      <c r="G115" s="415"/>
      <c r="H115" s="464"/>
      <c r="I115" s="464"/>
      <c r="J115" s="464"/>
      <c r="K115" s="464"/>
      <c r="L115" s="464"/>
      <c r="M115" s="464"/>
      <c r="N115" s="464"/>
      <c r="O115" s="464"/>
      <c r="P115" s="464"/>
      <c r="Q115" s="464"/>
      <c r="R115" s="464"/>
    </row>
    <row r="116" spans="1:18" s="395" customFormat="1" ht="13.5" customHeight="1">
      <c r="A116" s="438"/>
      <c r="B116" s="429"/>
      <c r="C116" s="429" t="s">
        <v>818</v>
      </c>
      <c r="D116" s="413" t="s">
        <v>262</v>
      </c>
      <c r="E116" s="413">
        <v>3</v>
      </c>
      <c r="F116" s="471">
        <v>1180840.2375</v>
      </c>
      <c r="G116" s="368">
        <f>E116*F116</f>
        <v>3542520.7124999999</v>
      </c>
      <c r="H116" s="374">
        <f>G116/'REKAP TOTAL'!F44</f>
        <v>2.9134749683712912E-4</v>
      </c>
      <c r="I116" s="464"/>
      <c r="J116" s="464"/>
      <c r="K116" s="464"/>
      <c r="L116" s="464"/>
      <c r="M116" s="464"/>
      <c r="N116" s="464"/>
      <c r="O116" s="464"/>
      <c r="P116" s="464"/>
      <c r="Q116" s="464"/>
      <c r="R116" s="464"/>
    </row>
    <row r="117" spans="1:18" s="395" customFormat="1" ht="13.5" customHeight="1">
      <c r="A117" s="438"/>
      <c r="B117" s="429"/>
      <c r="C117" s="429" t="s">
        <v>813</v>
      </c>
      <c r="D117" s="413"/>
      <c r="E117" s="413"/>
      <c r="F117" s="414"/>
      <c r="G117" s="415"/>
      <c r="H117" s="464"/>
      <c r="I117" s="464"/>
      <c r="J117" s="464"/>
      <c r="K117" s="464"/>
      <c r="L117" s="464"/>
      <c r="M117" s="464"/>
      <c r="N117" s="464"/>
      <c r="O117" s="464"/>
      <c r="P117" s="464"/>
      <c r="Q117" s="464"/>
      <c r="R117" s="464"/>
    </row>
    <row r="118" spans="1:18" s="451" customFormat="1" ht="13.5" customHeight="1">
      <c r="A118" s="438"/>
      <c r="B118" s="429"/>
      <c r="C118" s="429"/>
      <c r="D118" s="413"/>
      <c r="E118" s="413"/>
      <c r="F118" s="414"/>
      <c r="G118" s="415"/>
      <c r="H118" s="466"/>
      <c r="I118" s="466"/>
      <c r="J118" s="466"/>
      <c r="K118" s="466"/>
      <c r="L118" s="466"/>
      <c r="M118" s="466"/>
      <c r="N118" s="466"/>
      <c r="O118" s="466"/>
      <c r="P118" s="466"/>
      <c r="Q118" s="466"/>
      <c r="R118" s="466"/>
    </row>
    <row r="119" spans="1:18" s="395" customFormat="1" ht="13.5" customHeight="1">
      <c r="A119" s="438"/>
      <c r="B119" s="429"/>
      <c r="C119" s="429" t="s">
        <v>819</v>
      </c>
      <c r="D119" s="413" t="s">
        <v>262</v>
      </c>
      <c r="E119" s="413">
        <v>4</v>
      </c>
      <c r="F119" s="471">
        <v>1180840.2375</v>
      </c>
      <c r="G119" s="368">
        <f>E119*F119</f>
        <v>4723360.95</v>
      </c>
      <c r="H119" s="374">
        <f>G119/'REKAP TOTAL'!F44</f>
        <v>3.8846332911617222E-4</v>
      </c>
      <c r="I119" s="464"/>
      <c r="J119" s="464"/>
      <c r="K119" s="464"/>
      <c r="L119" s="464"/>
      <c r="M119" s="464"/>
      <c r="N119" s="464"/>
      <c r="O119" s="464"/>
      <c r="P119" s="464"/>
      <c r="Q119" s="464"/>
      <c r="R119" s="464"/>
    </row>
    <row r="120" spans="1:18" s="395" customFormat="1" ht="13.5" customHeight="1">
      <c r="A120" s="438"/>
      <c r="B120" s="429"/>
      <c r="C120" s="429" t="s">
        <v>813</v>
      </c>
      <c r="D120" s="413"/>
      <c r="E120" s="413"/>
      <c r="F120" s="414"/>
      <c r="G120" s="415"/>
      <c r="H120" s="464"/>
      <c r="I120" s="464"/>
      <c r="J120" s="464"/>
      <c r="K120" s="464"/>
      <c r="L120" s="464"/>
      <c r="M120" s="464"/>
      <c r="N120" s="464"/>
      <c r="O120" s="464"/>
      <c r="P120" s="464"/>
      <c r="Q120" s="464"/>
      <c r="R120" s="464"/>
    </row>
    <row r="121" spans="1:18" s="395" customFormat="1" ht="13.5" customHeight="1">
      <c r="A121" s="438"/>
      <c r="B121" s="429"/>
      <c r="C121" s="429"/>
      <c r="D121" s="413"/>
      <c r="E121" s="413"/>
      <c r="F121" s="414"/>
      <c r="G121" s="415"/>
      <c r="H121" s="464"/>
      <c r="I121" s="464"/>
      <c r="J121" s="464"/>
      <c r="K121" s="464"/>
      <c r="L121" s="464"/>
      <c r="M121" s="464"/>
      <c r="N121" s="464"/>
      <c r="O121" s="464"/>
      <c r="P121" s="464"/>
      <c r="Q121" s="464"/>
      <c r="R121" s="464"/>
    </row>
    <row r="122" spans="1:18" s="328" customFormat="1" ht="13.5" customHeight="1">
      <c r="A122" s="373"/>
      <c r="B122" s="371"/>
      <c r="C122" s="371" t="s">
        <v>820</v>
      </c>
      <c r="D122" s="355" t="s">
        <v>262</v>
      </c>
      <c r="E122" s="355">
        <v>2</v>
      </c>
      <c r="F122" s="377">
        <v>65326.8</v>
      </c>
      <c r="G122" s="368">
        <f>E122*F122</f>
        <v>130653.6</v>
      </c>
      <c r="H122" s="374">
        <f>G122/'REKAP TOTAL'!F44</f>
        <v>1.0745342766364852E-5</v>
      </c>
      <c r="I122" s="372"/>
      <c r="J122" s="372"/>
      <c r="K122" s="372"/>
      <c r="L122" s="372"/>
      <c r="M122" s="372"/>
      <c r="N122" s="372"/>
      <c r="O122" s="372"/>
      <c r="P122" s="372"/>
      <c r="Q122" s="372"/>
      <c r="R122" s="372"/>
    </row>
    <row r="123" spans="1:18" s="328" customFormat="1" ht="13.5" customHeight="1">
      <c r="A123" s="373"/>
      <c r="B123" s="371"/>
      <c r="C123" s="371"/>
      <c r="D123" s="355"/>
      <c r="E123" s="355"/>
      <c r="F123" s="367"/>
      <c r="G123" s="368"/>
      <c r="H123" s="372"/>
      <c r="I123" s="372"/>
      <c r="J123" s="372"/>
      <c r="K123" s="372"/>
      <c r="L123" s="372"/>
      <c r="M123" s="372"/>
      <c r="N123" s="372"/>
      <c r="O123" s="372"/>
      <c r="P123" s="372"/>
      <c r="Q123" s="372"/>
      <c r="R123" s="372"/>
    </row>
    <row r="124" spans="1:18" s="328" customFormat="1" ht="13.5" customHeight="1">
      <c r="A124" s="373"/>
      <c r="B124" s="371"/>
      <c r="C124" s="371" t="s">
        <v>821</v>
      </c>
      <c r="D124" s="355" t="s">
        <v>262</v>
      </c>
      <c r="E124" s="355">
        <v>11</v>
      </c>
      <c r="F124" s="367">
        <v>71159.55</v>
      </c>
      <c r="G124" s="368">
        <f>E124*F124</f>
        <v>782755.05</v>
      </c>
      <c r="H124" s="374">
        <f>G124/'REKAP TOTAL'!F44</f>
        <v>6.4376116037775141E-5</v>
      </c>
      <c r="I124" s="372"/>
      <c r="J124" s="372"/>
      <c r="K124" s="372"/>
      <c r="L124" s="372"/>
      <c r="M124" s="372"/>
      <c r="N124" s="372"/>
      <c r="O124" s="372"/>
      <c r="P124" s="372"/>
      <c r="Q124" s="372"/>
      <c r="R124" s="372"/>
    </row>
    <row r="125" spans="1:18" s="328" customFormat="1" ht="13.5" customHeight="1">
      <c r="A125" s="373"/>
      <c r="B125" s="371"/>
      <c r="C125" s="371"/>
      <c r="D125" s="355"/>
      <c r="E125" s="355"/>
      <c r="F125" s="367"/>
      <c r="G125" s="368"/>
      <c r="H125" s="372"/>
      <c r="I125" s="372"/>
      <c r="J125" s="372"/>
      <c r="K125" s="372"/>
      <c r="L125" s="372"/>
      <c r="M125" s="372"/>
      <c r="N125" s="372"/>
      <c r="O125" s="372"/>
      <c r="P125" s="372"/>
      <c r="Q125" s="372"/>
      <c r="R125" s="372"/>
    </row>
    <row r="126" spans="1:18" s="328" customFormat="1" ht="13.5" customHeight="1">
      <c r="A126" s="373"/>
      <c r="B126" s="371"/>
      <c r="C126" s="371" t="s">
        <v>822</v>
      </c>
      <c r="D126" s="355" t="s">
        <v>262</v>
      </c>
      <c r="E126" s="355">
        <v>1</v>
      </c>
      <c r="F126" s="367">
        <v>767600</v>
      </c>
      <c r="G126" s="368">
        <f>E126*F126</f>
        <v>767600</v>
      </c>
      <c r="H126" s="374">
        <f>G126/'REKAP TOTAL'!F44</f>
        <v>6.3129719406596223E-5</v>
      </c>
      <c r="I126" s="372"/>
      <c r="J126" s="372"/>
      <c r="K126" s="372"/>
      <c r="L126" s="372"/>
      <c r="M126" s="372"/>
      <c r="N126" s="372"/>
      <c r="O126" s="372"/>
      <c r="P126" s="372"/>
      <c r="Q126" s="372"/>
      <c r="R126" s="372"/>
    </row>
    <row r="127" spans="1:18" s="328" customFormat="1">
      <c r="A127" s="373"/>
      <c r="B127" s="371"/>
      <c r="C127" s="371"/>
      <c r="D127" s="355"/>
      <c r="E127" s="355"/>
      <c r="F127" s="367"/>
      <c r="G127" s="368"/>
      <c r="H127" s="372"/>
      <c r="I127" s="372"/>
      <c r="J127" s="372"/>
      <c r="K127" s="372"/>
      <c r="L127" s="372"/>
      <c r="M127" s="372"/>
      <c r="N127" s="372"/>
      <c r="O127" s="372"/>
      <c r="P127" s="372"/>
      <c r="Q127" s="372"/>
      <c r="R127" s="372"/>
    </row>
    <row r="128" spans="1:18" s="328" customFormat="1" ht="13.5" customHeight="1">
      <c r="A128" s="373"/>
      <c r="B128" s="371"/>
      <c r="C128" s="371" t="s">
        <v>823</v>
      </c>
      <c r="D128" s="355" t="s">
        <v>179</v>
      </c>
      <c r="E128" s="355">
        <f>SUM(E101:E120)</f>
        <v>90</v>
      </c>
      <c r="F128" s="367">
        <v>334799.84999999998</v>
      </c>
      <c r="G128" s="368">
        <f>E128*F128</f>
        <v>30131986.5</v>
      </c>
      <c r="H128" s="374">
        <f>G128/'REKAP TOTAL'!F44</f>
        <v>2.4781446754928941E-3</v>
      </c>
      <c r="I128" s="372"/>
      <c r="J128" s="372"/>
      <c r="K128" s="372"/>
      <c r="L128" s="372"/>
      <c r="M128" s="372"/>
      <c r="N128" s="372"/>
      <c r="O128" s="372"/>
      <c r="P128" s="372"/>
      <c r="Q128" s="372"/>
      <c r="R128" s="372"/>
    </row>
    <row r="129" spans="1:18" s="328" customFormat="1" ht="13.5" customHeight="1">
      <c r="A129" s="373"/>
      <c r="B129" s="371"/>
      <c r="C129" s="371" t="s">
        <v>824</v>
      </c>
      <c r="D129" s="355"/>
      <c r="E129" s="355"/>
      <c r="F129" s="367"/>
      <c r="G129" s="368"/>
      <c r="H129" s="372"/>
      <c r="I129" s="372"/>
      <c r="J129" s="372"/>
      <c r="K129" s="372"/>
      <c r="L129" s="372"/>
      <c r="M129" s="372"/>
      <c r="N129" s="372"/>
      <c r="O129" s="372"/>
      <c r="P129" s="372"/>
      <c r="Q129" s="372"/>
      <c r="R129" s="372"/>
    </row>
    <row r="130" spans="1:18" s="328" customFormat="1" ht="13.5" customHeight="1">
      <c r="A130" s="373"/>
      <c r="B130" s="371"/>
      <c r="C130" s="371"/>
      <c r="D130" s="355"/>
      <c r="E130" s="355"/>
      <c r="F130" s="367"/>
      <c r="G130" s="368"/>
      <c r="H130" s="372"/>
      <c r="I130" s="372"/>
      <c r="J130" s="372"/>
      <c r="K130" s="372"/>
      <c r="L130" s="372"/>
      <c r="M130" s="372"/>
      <c r="N130" s="372"/>
      <c r="O130" s="372"/>
      <c r="P130" s="372"/>
      <c r="Q130" s="372"/>
      <c r="R130" s="372"/>
    </row>
    <row r="131" spans="1:18" s="328" customFormat="1" ht="13.5" customHeight="1">
      <c r="A131" s="373"/>
      <c r="B131" s="371"/>
      <c r="C131" s="371" t="s">
        <v>825</v>
      </c>
      <c r="D131" s="355" t="s">
        <v>179</v>
      </c>
      <c r="E131" s="355">
        <v>3</v>
      </c>
      <c r="F131" s="367">
        <v>128320.5</v>
      </c>
      <c r="G131" s="368">
        <f>E131*F131</f>
        <v>384961.5</v>
      </c>
      <c r="H131" s="374">
        <f>G131/'REKAP TOTAL'!F44</f>
        <v>3.1660384936610722E-5</v>
      </c>
      <c r="I131" s="372"/>
      <c r="J131" s="372"/>
      <c r="K131" s="372"/>
      <c r="L131" s="372"/>
      <c r="M131" s="372"/>
      <c r="N131" s="372"/>
      <c r="O131" s="372"/>
      <c r="P131" s="372"/>
      <c r="Q131" s="372"/>
      <c r="R131" s="372"/>
    </row>
    <row r="132" spans="1:18" s="328" customFormat="1" ht="13.5" customHeight="1">
      <c r="A132" s="373"/>
      <c r="B132" s="371"/>
      <c r="C132" s="371" t="s">
        <v>824</v>
      </c>
      <c r="D132" s="355"/>
      <c r="E132" s="355"/>
      <c r="F132" s="367"/>
      <c r="G132" s="368"/>
      <c r="H132" s="372"/>
      <c r="I132" s="372"/>
      <c r="J132" s="372"/>
      <c r="K132" s="372"/>
      <c r="L132" s="372"/>
      <c r="M132" s="372"/>
      <c r="N132" s="372"/>
      <c r="O132" s="372"/>
      <c r="P132" s="372"/>
      <c r="Q132" s="372"/>
      <c r="R132" s="372"/>
    </row>
    <row r="133" spans="1:18" s="328" customFormat="1" ht="13.5" customHeight="1">
      <c r="A133" s="373"/>
      <c r="B133" s="371"/>
      <c r="C133" s="371"/>
      <c r="D133" s="355"/>
      <c r="E133" s="355"/>
      <c r="F133" s="367"/>
      <c r="G133" s="368"/>
      <c r="H133" s="372"/>
      <c r="I133" s="372"/>
      <c r="J133" s="372"/>
      <c r="K133" s="372"/>
      <c r="L133" s="372"/>
      <c r="M133" s="372"/>
      <c r="N133" s="372"/>
      <c r="O133" s="372"/>
      <c r="P133" s="372"/>
      <c r="Q133" s="372"/>
      <c r="R133" s="372"/>
    </row>
    <row r="134" spans="1:18" s="328" customFormat="1" ht="13.5" customHeight="1">
      <c r="A134" s="373"/>
      <c r="B134" s="371"/>
      <c r="C134" s="371" t="s">
        <v>826</v>
      </c>
      <c r="D134" s="355" t="s">
        <v>262</v>
      </c>
      <c r="E134" s="355">
        <v>4</v>
      </c>
      <c r="F134" s="367">
        <v>87491.25</v>
      </c>
      <c r="G134" s="368">
        <f>E134*F134</f>
        <v>349965</v>
      </c>
      <c r="H134" s="374">
        <f>G134/'REKAP TOTAL'!F44</f>
        <v>2.8782168124191567E-5</v>
      </c>
      <c r="I134" s="372"/>
      <c r="J134" s="372"/>
      <c r="K134" s="372"/>
      <c r="L134" s="372"/>
      <c r="M134" s="372"/>
      <c r="N134" s="372"/>
      <c r="O134" s="372"/>
      <c r="P134" s="372"/>
      <c r="Q134" s="372"/>
      <c r="R134" s="372"/>
    </row>
    <row r="135" spans="1:18" s="328" customFormat="1" ht="13.5" customHeight="1">
      <c r="A135" s="373"/>
      <c r="B135" s="371"/>
      <c r="C135" s="371"/>
      <c r="D135" s="355"/>
      <c r="E135" s="355"/>
      <c r="F135" s="367"/>
      <c r="G135" s="368"/>
      <c r="H135" s="372"/>
      <c r="I135" s="372"/>
      <c r="J135" s="372"/>
      <c r="K135" s="372"/>
      <c r="L135" s="372"/>
      <c r="M135" s="372"/>
      <c r="N135" s="372"/>
      <c r="O135" s="372"/>
      <c r="P135" s="372"/>
      <c r="Q135" s="372"/>
      <c r="R135" s="372"/>
    </row>
    <row r="136" spans="1:18" s="328" customFormat="1" ht="13.5" customHeight="1">
      <c r="A136" s="373"/>
      <c r="B136" s="371"/>
      <c r="C136" s="371" t="s">
        <v>827</v>
      </c>
      <c r="D136" s="355" t="s">
        <v>262</v>
      </c>
      <c r="E136" s="355">
        <v>2</v>
      </c>
      <c r="F136" s="367">
        <v>87491.25</v>
      </c>
      <c r="G136" s="368">
        <f>E136*F136</f>
        <v>174982.5</v>
      </c>
      <c r="H136" s="374">
        <f>G136/'REKAP TOTAL'!F44</f>
        <v>1.4391084062095783E-5</v>
      </c>
      <c r="I136" s="372"/>
      <c r="J136" s="372"/>
      <c r="K136" s="372"/>
      <c r="L136" s="372"/>
      <c r="M136" s="372"/>
      <c r="N136" s="372"/>
      <c r="O136" s="372"/>
      <c r="P136" s="372"/>
      <c r="Q136" s="372"/>
      <c r="R136" s="372"/>
    </row>
    <row r="137" spans="1:18" s="328" customFormat="1" ht="13.5" customHeight="1">
      <c r="A137" s="373"/>
      <c r="B137" s="371"/>
      <c r="C137" s="371"/>
      <c r="D137" s="355"/>
      <c r="E137" s="355"/>
      <c r="F137" s="367"/>
      <c r="G137" s="368"/>
      <c r="H137" s="372"/>
      <c r="I137" s="372"/>
      <c r="J137" s="372"/>
      <c r="K137" s="372"/>
      <c r="L137" s="372"/>
      <c r="M137" s="372"/>
      <c r="N137" s="372"/>
      <c r="O137" s="372"/>
      <c r="P137" s="372"/>
      <c r="Q137" s="372"/>
      <c r="R137" s="372"/>
    </row>
    <row r="138" spans="1:18" s="395" customFormat="1" ht="13.5" customHeight="1">
      <c r="A138" s="438"/>
      <c r="B138" s="429"/>
      <c r="C138" s="429" t="s">
        <v>828</v>
      </c>
      <c r="D138" s="413" t="s">
        <v>262</v>
      </c>
      <c r="E138" s="413">
        <v>2</v>
      </c>
      <c r="F138" s="471">
        <v>295137.15000000002</v>
      </c>
      <c r="G138" s="368">
        <f>E138*F138</f>
        <v>590274.30000000005</v>
      </c>
      <c r="H138" s="374">
        <f>G138/'REKAP TOTAL'!F44</f>
        <v>4.854592356946978E-5</v>
      </c>
      <c r="I138" s="464"/>
      <c r="J138" s="464"/>
      <c r="K138" s="464"/>
      <c r="L138" s="464"/>
      <c r="M138" s="464"/>
      <c r="N138" s="464"/>
      <c r="O138" s="464"/>
      <c r="P138" s="464"/>
      <c r="Q138" s="464"/>
      <c r="R138" s="464"/>
    </row>
    <row r="139" spans="1:18" s="395" customFormat="1" ht="13.5" customHeight="1">
      <c r="A139" s="438"/>
      <c r="B139" s="429"/>
      <c r="C139" s="429"/>
      <c r="D139" s="413"/>
      <c r="E139" s="413"/>
      <c r="F139" s="414"/>
      <c r="G139" s="415"/>
      <c r="H139" s="464"/>
      <c r="I139" s="464"/>
      <c r="J139" s="464"/>
      <c r="K139" s="464"/>
      <c r="L139" s="464"/>
      <c r="M139" s="464"/>
      <c r="N139" s="464"/>
      <c r="O139" s="464"/>
      <c r="P139" s="464"/>
      <c r="Q139" s="464"/>
      <c r="R139" s="464"/>
    </row>
    <row r="140" spans="1:18" s="395" customFormat="1" ht="13.5" customHeight="1">
      <c r="A140" s="438"/>
      <c r="B140" s="429"/>
      <c r="C140" s="429" t="s">
        <v>829</v>
      </c>
      <c r="D140" s="413" t="s">
        <v>262</v>
      </c>
      <c r="E140" s="413">
        <v>14</v>
      </c>
      <c r="F140" s="414">
        <v>87491.25</v>
      </c>
      <c r="G140" s="368">
        <f>E140*F140</f>
        <v>1224877.5</v>
      </c>
      <c r="H140" s="374">
        <f>G140/'REKAP TOTAL'!F44</f>
        <v>1.0073758843467049E-4</v>
      </c>
      <c r="I140" s="464"/>
      <c r="J140" s="464"/>
      <c r="K140" s="464"/>
      <c r="L140" s="464"/>
      <c r="M140" s="464"/>
      <c r="N140" s="464"/>
      <c r="O140" s="464"/>
      <c r="P140" s="464"/>
      <c r="Q140" s="464"/>
      <c r="R140" s="464"/>
    </row>
    <row r="141" spans="1:18" s="395" customFormat="1" ht="13.5" customHeight="1">
      <c r="A141" s="438"/>
      <c r="B141" s="429"/>
      <c r="C141" s="429"/>
      <c r="D141" s="413"/>
      <c r="E141" s="413"/>
      <c r="F141" s="414"/>
      <c r="G141" s="415"/>
      <c r="H141" s="464"/>
      <c r="I141" s="464"/>
      <c r="J141" s="464"/>
      <c r="K141" s="464"/>
      <c r="L141" s="464"/>
      <c r="M141" s="464"/>
      <c r="N141" s="464"/>
      <c r="O141" s="464"/>
      <c r="P141" s="464"/>
      <c r="Q141" s="464"/>
      <c r="R141" s="464"/>
    </row>
    <row r="142" spans="1:18" s="328" customFormat="1" ht="13.5" customHeight="1">
      <c r="A142" s="373"/>
      <c r="B142" s="371"/>
      <c r="C142" s="371" t="s">
        <v>830</v>
      </c>
      <c r="D142" s="355" t="s">
        <v>179</v>
      </c>
      <c r="E142" s="355">
        <f>SUM(E134:E141)</f>
        <v>22</v>
      </c>
      <c r="F142" s="367">
        <v>381461.85</v>
      </c>
      <c r="G142" s="368">
        <f>E142*F142</f>
        <v>8392160.6999999993</v>
      </c>
      <c r="H142" s="374">
        <f>G142/'REKAP TOTAL'!F44</f>
        <v>6.9019639161811371E-4</v>
      </c>
      <c r="I142" s="372"/>
      <c r="J142" s="372"/>
      <c r="K142" s="372"/>
      <c r="L142" s="372"/>
      <c r="M142" s="372"/>
      <c r="N142" s="372"/>
      <c r="O142" s="372"/>
      <c r="P142" s="372"/>
      <c r="Q142" s="372"/>
      <c r="R142" s="372"/>
    </row>
    <row r="143" spans="1:18" s="328" customFormat="1" ht="13.5" customHeight="1">
      <c r="A143" s="373"/>
      <c r="B143" s="371"/>
      <c r="C143" s="371" t="s">
        <v>831</v>
      </c>
      <c r="D143" s="355"/>
      <c r="E143" s="355"/>
      <c r="F143" s="367"/>
      <c r="G143" s="368"/>
      <c r="H143" s="372"/>
      <c r="I143" s="372"/>
      <c r="J143" s="372"/>
      <c r="K143" s="372"/>
      <c r="L143" s="372"/>
      <c r="M143" s="372"/>
      <c r="N143" s="372"/>
      <c r="O143" s="372"/>
      <c r="P143" s="372"/>
      <c r="Q143" s="372"/>
      <c r="R143" s="372"/>
    </row>
    <row r="144" spans="1:18" ht="13.5" customHeight="1">
      <c r="A144" s="373"/>
      <c r="B144" s="371"/>
      <c r="C144" s="371"/>
      <c r="D144" s="355"/>
      <c r="E144" s="355"/>
      <c r="F144" s="367"/>
      <c r="G144" s="368"/>
      <c r="H144" s="356"/>
      <c r="I144" s="358"/>
      <c r="J144" s="358"/>
      <c r="K144" s="358"/>
      <c r="L144" s="358"/>
      <c r="M144" s="358"/>
      <c r="N144" s="358"/>
      <c r="O144" s="358"/>
      <c r="P144" s="358"/>
      <c r="Q144" s="358"/>
      <c r="R144" s="358"/>
    </row>
    <row r="145" spans="1:18" s="328" customFormat="1">
      <c r="A145" s="373"/>
      <c r="B145" s="371"/>
      <c r="C145" s="371"/>
      <c r="D145" s="355"/>
      <c r="E145" s="355"/>
      <c r="F145" s="367"/>
      <c r="G145" s="368"/>
      <c r="H145" s="372"/>
      <c r="I145" s="372"/>
      <c r="J145" s="372"/>
      <c r="K145" s="372"/>
      <c r="L145" s="372"/>
      <c r="M145" s="372"/>
      <c r="N145" s="372"/>
      <c r="O145" s="372"/>
      <c r="P145" s="372"/>
      <c r="Q145" s="372"/>
      <c r="R145" s="372"/>
    </row>
    <row r="146" spans="1:18" s="395" customFormat="1" ht="12">
      <c r="A146" s="431" t="s">
        <v>26</v>
      </c>
      <c r="B146" s="432" t="s">
        <v>832</v>
      </c>
      <c r="C146" s="420"/>
      <c r="D146" s="413"/>
      <c r="E146" s="413"/>
      <c r="F146" s="414"/>
      <c r="G146" s="415"/>
      <c r="H146" s="464"/>
      <c r="I146" s="464"/>
      <c r="J146" s="464"/>
      <c r="K146" s="464"/>
      <c r="L146" s="464"/>
      <c r="M146" s="464"/>
      <c r="N146" s="464"/>
      <c r="O146" s="464"/>
      <c r="P146" s="464"/>
      <c r="Q146" s="464"/>
      <c r="R146" s="464"/>
    </row>
    <row r="147" spans="1:18" s="395" customFormat="1">
      <c r="A147" s="412"/>
      <c r="B147" s="430" t="s">
        <v>833</v>
      </c>
      <c r="C147" s="420"/>
      <c r="D147" s="413"/>
      <c r="E147" s="413"/>
      <c r="F147" s="414"/>
      <c r="G147" s="415"/>
      <c r="H147" s="464"/>
      <c r="I147" s="464"/>
      <c r="J147" s="464"/>
      <c r="K147" s="464"/>
      <c r="L147" s="464"/>
      <c r="M147" s="464"/>
      <c r="N147" s="464"/>
      <c r="O147" s="464"/>
      <c r="P147" s="464"/>
      <c r="Q147" s="464"/>
      <c r="R147" s="464"/>
    </row>
    <row r="148" spans="1:18" s="395" customFormat="1">
      <c r="A148" s="412"/>
      <c r="B148" s="430" t="s">
        <v>834</v>
      </c>
      <c r="C148" s="420"/>
      <c r="D148" s="413"/>
      <c r="E148" s="413"/>
      <c r="F148" s="414"/>
      <c r="G148" s="415"/>
      <c r="H148" s="464"/>
      <c r="I148" s="464"/>
      <c r="J148" s="464"/>
      <c r="K148" s="464"/>
      <c r="L148" s="464"/>
      <c r="M148" s="464"/>
      <c r="N148" s="464"/>
      <c r="O148" s="464"/>
      <c r="P148" s="464"/>
      <c r="Q148" s="464"/>
      <c r="R148" s="464"/>
    </row>
    <row r="149" spans="1:18" s="395" customFormat="1">
      <c r="A149" s="412"/>
      <c r="B149" s="430" t="s">
        <v>835</v>
      </c>
      <c r="C149" s="420"/>
      <c r="D149" s="413"/>
      <c r="E149" s="413"/>
      <c r="F149" s="414"/>
      <c r="G149" s="415"/>
      <c r="H149" s="464"/>
      <c r="I149" s="464"/>
      <c r="J149" s="464"/>
      <c r="K149" s="464"/>
      <c r="L149" s="464"/>
      <c r="M149" s="464"/>
      <c r="N149" s="464"/>
      <c r="O149" s="464"/>
      <c r="P149" s="464"/>
      <c r="Q149" s="464"/>
      <c r="R149" s="464"/>
    </row>
    <row r="150" spans="1:18" s="395" customFormat="1">
      <c r="A150" s="412"/>
      <c r="B150" s="430"/>
      <c r="C150" s="420"/>
      <c r="D150" s="413"/>
      <c r="E150" s="413"/>
      <c r="F150" s="414"/>
      <c r="G150" s="415"/>
      <c r="H150" s="464"/>
      <c r="I150" s="464"/>
      <c r="J150" s="464"/>
      <c r="K150" s="464"/>
      <c r="L150" s="464"/>
      <c r="M150" s="464"/>
      <c r="N150" s="464"/>
      <c r="O150" s="464"/>
      <c r="P150" s="464"/>
      <c r="Q150" s="464"/>
      <c r="R150" s="464"/>
    </row>
    <row r="151" spans="1:18" s="395" customFormat="1" ht="13.8">
      <c r="A151" s="412"/>
      <c r="B151" s="473"/>
      <c r="C151" s="473" t="s">
        <v>836</v>
      </c>
      <c r="D151" s="413" t="s">
        <v>262</v>
      </c>
      <c r="E151" s="413">
        <v>1</v>
      </c>
      <c r="F151" s="414">
        <v>12325329.84375</v>
      </c>
      <c r="G151" s="368">
        <f>E151*F151</f>
        <v>12325329.84375</v>
      </c>
      <c r="H151" s="374">
        <f>G151/'REKAP TOTAL'!F44</f>
        <v>1.0136719836238719E-3</v>
      </c>
      <c r="I151" s="464"/>
      <c r="J151" s="464"/>
      <c r="K151" s="464"/>
      <c r="L151" s="464"/>
      <c r="M151" s="464"/>
      <c r="N151" s="464"/>
      <c r="O151" s="464"/>
      <c r="P151" s="464"/>
      <c r="Q151" s="464"/>
      <c r="R151" s="464"/>
    </row>
    <row r="152" spans="1:18" s="395" customFormat="1">
      <c r="A152" s="412"/>
      <c r="B152" s="473"/>
      <c r="C152" s="473" t="s">
        <v>837</v>
      </c>
      <c r="D152" s="413"/>
      <c r="E152" s="413"/>
      <c r="F152" s="414"/>
      <c r="G152" s="415"/>
      <c r="H152" s="464"/>
      <c r="I152" s="464"/>
      <c r="J152" s="464"/>
      <c r="K152" s="464"/>
      <c r="L152" s="464"/>
      <c r="M152" s="464"/>
      <c r="N152" s="464"/>
      <c r="O152" s="464"/>
      <c r="P152" s="464"/>
      <c r="Q152" s="464"/>
      <c r="R152" s="464"/>
    </row>
    <row r="153" spans="1:18" s="395" customFormat="1">
      <c r="A153" s="412"/>
      <c r="B153" s="473"/>
      <c r="C153" s="473"/>
      <c r="D153" s="413"/>
      <c r="E153" s="413"/>
      <c r="F153" s="414"/>
      <c r="G153" s="415"/>
      <c r="H153" s="464"/>
      <c r="I153" s="464"/>
      <c r="J153" s="464"/>
      <c r="K153" s="464"/>
      <c r="L153" s="464"/>
      <c r="M153" s="464"/>
      <c r="N153" s="464"/>
      <c r="O153" s="464"/>
      <c r="P153" s="464"/>
      <c r="Q153" s="464"/>
      <c r="R153" s="464"/>
    </row>
    <row r="154" spans="1:18" s="395" customFormat="1" ht="13.8">
      <c r="A154" s="412"/>
      <c r="B154" s="474"/>
      <c r="C154" s="473" t="s">
        <v>838</v>
      </c>
      <c r="D154" s="413" t="s">
        <v>681</v>
      </c>
      <c r="E154" s="413">
        <v>35</v>
      </c>
      <c r="F154" s="414">
        <v>220326.18767774999</v>
      </c>
      <c r="G154" s="368">
        <f>E154*F154</f>
        <v>7711416.5687212497</v>
      </c>
      <c r="H154" s="374">
        <f>G154/'REKAP TOTAL'!F44</f>
        <v>6.3420995858617707E-4</v>
      </c>
      <c r="I154" s="464"/>
      <c r="J154" s="464"/>
      <c r="K154" s="464"/>
      <c r="L154" s="464"/>
      <c r="M154" s="464"/>
      <c r="N154" s="464"/>
      <c r="O154" s="464"/>
      <c r="P154" s="464"/>
      <c r="Q154" s="464"/>
      <c r="R154" s="464"/>
    </row>
    <row r="155" spans="1:18" s="395" customFormat="1">
      <c r="A155" s="412"/>
      <c r="B155" s="475"/>
      <c r="C155" s="473"/>
      <c r="D155" s="413"/>
      <c r="E155" s="413"/>
      <c r="F155" s="414"/>
      <c r="G155" s="415"/>
      <c r="H155" s="464"/>
      <c r="I155" s="464"/>
      <c r="J155" s="464"/>
      <c r="K155" s="464"/>
      <c r="L155" s="464"/>
      <c r="M155" s="464"/>
      <c r="N155" s="464"/>
      <c r="O155" s="464"/>
      <c r="P155" s="464"/>
      <c r="Q155" s="464"/>
      <c r="R155" s="464"/>
    </row>
    <row r="156" spans="1:18" s="395" customFormat="1" ht="13.8">
      <c r="A156" s="412"/>
      <c r="B156" s="475"/>
      <c r="C156" s="473" t="s">
        <v>839</v>
      </c>
      <c r="D156" s="413" t="s">
        <v>135</v>
      </c>
      <c r="E156" s="413">
        <v>1</v>
      </c>
      <c r="F156" s="414">
        <v>2112913.6875</v>
      </c>
      <c r="G156" s="368">
        <f>E156*F156</f>
        <v>2112913.6875</v>
      </c>
      <c r="H156" s="374">
        <f>G156/'REKAP TOTAL'!F44</f>
        <v>1.7377234004980658E-4</v>
      </c>
      <c r="I156" s="464"/>
      <c r="J156" s="464"/>
      <c r="K156" s="464"/>
      <c r="L156" s="464"/>
      <c r="M156" s="464"/>
      <c r="N156" s="464"/>
      <c r="O156" s="464"/>
      <c r="P156" s="464"/>
      <c r="Q156" s="464"/>
      <c r="R156" s="464"/>
    </row>
    <row r="157" spans="1:18" s="395" customFormat="1">
      <c r="A157" s="412"/>
      <c r="B157" s="475"/>
      <c r="C157" s="473" t="s">
        <v>840</v>
      </c>
      <c r="D157" s="413"/>
      <c r="E157" s="413"/>
      <c r="F157" s="414"/>
      <c r="G157" s="415"/>
      <c r="H157" s="464"/>
      <c r="I157" s="464"/>
      <c r="J157" s="464"/>
      <c r="K157" s="464"/>
      <c r="L157" s="464"/>
      <c r="M157" s="464"/>
      <c r="N157" s="464"/>
      <c r="O157" s="464"/>
      <c r="P157" s="464"/>
      <c r="Q157" s="464"/>
      <c r="R157" s="464"/>
    </row>
    <row r="158" spans="1:18" s="395" customFormat="1">
      <c r="A158" s="412"/>
      <c r="B158" s="475"/>
      <c r="C158" s="473"/>
      <c r="D158" s="413"/>
      <c r="E158" s="413"/>
      <c r="F158" s="414"/>
      <c r="G158" s="415"/>
      <c r="H158" s="464"/>
      <c r="I158" s="464"/>
      <c r="J158" s="464"/>
      <c r="K158" s="464"/>
      <c r="L158" s="464"/>
      <c r="M158" s="464"/>
      <c r="N158" s="464"/>
      <c r="O158" s="464"/>
      <c r="P158" s="464"/>
      <c r="Q158" s="464"/>
      <c r="R158" s="464"/>
    </row>
    <row r="159" spans="1:18" s="395" customFormat="1">
      <c r="A159" s="412"/>
      <c r="B159" s="475"/>
      <c r="C159" s="473" t="s">
        <v>841</v>
      </c>
      <c r="D159" s="413"/>
      <c r="E159" s="413"/>
      <c r="F159" s="414"/>
      <c r="G159" s="415"/>
      <c r="H159" s="464"/>
      <c r="I159" s="464"/>
      <c r="J159" s="464"/>
      <c r="K159" s="464"/>
      <c r="L159" s="464"/>
      <c r="M159" s="464"/>
      <c r="N159" s="464"/>
      <c r="O159" s="464"/>
      <c r="P159" s="464"/>
      <c r="Q159" s="464"/>
      <c r="R159" s="464"/>
    </row>
    <row r="160" spans="1:18" s="395" customFormat="1" ht="13.8">
      <c r="A160" s="412"/>
      <c r="B160" s="475"/>
      <c r="C160" s="473" t="s">
        <v>842</v>
      </c>
      <c r="D160" s="413" t="s">
        <v>262</v>
      </c>
      <c r="E160" s="413">
        <v>1</v>
      </c>
      <c r="F160" s="414">
        <v>707121.78075000003</v>
      </c>
      <c r="G160" s="368">
        <f t="shared" ref="G160:G162" si="0">E160*F160</f>
        <v>707121.78075000003</v>
      </c>
      <c r="H160" s="374">
        <f>G160/'REKAP TOTAL'!F44</f>
        <v>5.8155809803335278E-5</v>
      </c>
      <c r="I160" s="464"/>
      <c r="J160" s="464"/>
      <c r="K160" s="464"/>
      <c r="L160" s="464"/>
      <c r="M160" s="464"/>
      <c r="N160" s="464"/>
      <c r="O160" s="464"/>
      <c r="P160" s="464"/>
      <c r="Q160" s="464"/>
      <c r="R160" s="464"/>
    </row>
    <row r="161" spans="1:18" s="395" customFormat="1" ht="13.8">
      <c r="A161" s="412"/>
      <c r="B161" s="475"/>
      <c r="C161" s="473" t="s">
        <v>843</v>
      </c>
      <c r="D161" s="413" t="s">
        <v>262</v>
      </c>
      <c r="E161" s="413">
        <v>1</v>
      </c>
      <c r="F161" s="414">
        <v>3521522.8125</v>
      </c>
      <c r="G161" s="368">
        <f t="shared" si="0"/>
        <v>3521522.8125</v>
      </c>
      <c r="H161" s="374">
        <f>G161/'REKAP TOTAL'!F44</f>
        <v>2.8962056674967766E-4</v>
      </c>
      <c r="I161" s="464"/>
      <c r="J161" s="464"/>
      <c r="K161" s="464"/>
      <c r="L161" s="464"/>
      <c r="M161" s="464"/>
      <c r="N161" s="464"/>
      <c r="O161" s="464"/>
      <c r="P161" s="464"/>
      <c r="Q161" s="464"/>
      <c r="R161" s="464"/>
    </row>
    <row r="162" spans="1:18" s="395" customFormat="1" ht="13.8">
      <c r="A162" s="412"/>
      <c r="B162" s="475"/>
      <c r="C162" s="473" t="s">
        <v>844</v>
      </c>
      <c r="D162" s="413" t="s">
        <v>623</v>
      </c>
      <c r="E162" s="413">
        <v>1</v>
      </c>
      <c r="F162" s="414">
        <v>636691.32449999999</v>
      </c>
      <c r="G162" s="368">
        <f t="shared" si="0"/>
        <v>636691.32449999999</v>
      </c>
      <c r="H162" s="374">
        <f>G162/'REKAP TOTAL'!F44</f>
        <v>5.2363398468341717E-5</v>
      </c>
      <c r="I162" s="464"/>
      <c r="J162" s="464"/>
      <c r="K162" s="464"/>
      <c r="L162" s="464"/>
      <c r="M162" s="464"/>
      <c r="N162" s="464"/>
      <c r="O162" s="464"/>
      <c r="P162" s="464"/>
      <c r="Q162" s="464"/>
      <c r="R162" s="464"/>
    </row>
    <row r="163" spans="1:18" s="395" customFormat="1">
      <c r="A163" s="412"/>
      <c r="B163" s="473"/>
      <c r="C163" s="473"/>
      <c r="D163" s="413"/>
      <c r="E163" s="413"/>
      <c r="F163" s="414"/>
      <c r="G163" s="415"/>
      <c r="H163" s="464"/>
      <c r="I163" s="464"/>
      <c r="J163" s="464"/>
      <c r="K163" s="464"/>
      <c r="L163" s="464"/>
      <c r="M163" s="464"/>
      <c r="N163" s="464"/>
      <c r="O163" s="464"/>
      <c r="P163" s="464"/>
      <c r="Q163" s="464"/>
      <c r="R163" s="464"/>
    </row>
    <row r="164" spans="1:18" s="395" customFormat="1" ht="13.8">
      <c r="A164" s="412"/>
      <c r="B164" s="473"/>
      <c r="C164" s="473" t="s">
        <v>845</v>
      </c>
      <c r="D164" s="413" t="s">
        <v>623</v>
      </c>
      <c r="E164" s="413">
        <v>1</v>
      </c>
      <c r="F164" s="414">
        <v>1690330.95</v>
      </c>
      <c r="G164" s="368">
        <f>E164*F164</f>
        <v>1690330.95</v>
      </c>
      <c r="H164" s="374">
        <f>G164/'REKAP TOTAL'!F44</f>
        <v>1.3901787203984527E-4</v>
      </c>
      <c r="I164" s="464"/>
      <c r="J164" s="464"/>
      <c r="K164" s="464"/>
      <c r="L164" s="464"/>
      <c r="M164" s="464"/>
      <c r="N164" s="464"/>
      <c r="O164" s="464"/>
      <c r="P164" s="464"/>
      <c r="Q164" s="464"/>
      <c r="R164" s="464"/>
    </row>
    <row r="165" spans="1:18" s="395" customFormat="1">
      <c r="A165" s="412"/>
      <c r="B165" s="475"/>
      <c r="C165" s="473"/>
      <c r="D165" s="413"/>
      <c r="E165" s="413"/>
      <c r="F165" s="414"/>
      <c r="G165" s="415"/>
      <c r="H165" s="464"/>
      <c r="I165" s="464"/>
      <c r="J165" s="464"/>
      <c r="K165" s="464"/>
      <c r="L165" s="464"/>
      <c r="M165" s="464"/>
      <c r="N165" s="464"/>
      <c r="O165" s="464"/>
      <c r="P165" s="464"/>
      <c r="Q165" s="464"/>
      <c r="R165" s="464"/>
    </row>
    <row r="166" spans="1:18" s="395" customFormat="1" ht="13.8">
      <c r="A166" s="412"/>
      <c r="B166" s="473"/>
      <c r="C166" s="473" t="s">
        <v>846</v>
      </c>
      <c r="D166" s="413" t="s">
        <v>623</v>
      </c>
      <c r="E166" s="413">
        <v>1</v>
      </c>
      <c r="F166" s="414">
        <v>5634436.5</v>
      </c>
      <c r="G166" s="368">
        <f>E166*F166</f>
        <v>5634436.5</v>
      </c>
      <c r="H166" s="374">
        <f>G166/'REKAP TOTAL'!F44</f>
        <v>4.6339290679948421E-4</v>
      </c>
      <c r="I166" s="464"/>
      <c r="J166" s="464"/>
      <c r="K166" s="464"/>
      <c r="L166" s="464"/>
      <c r="M166" s="464"/>
      <c r="N166" s="464"/>
      <c r="O166" s="464"/>
      <c r="P166" s="464"/>
      <c r="Q166" s="464"/>
      <c r="R166" s="464"/>
    </row>
    <row r="167" spans="1:18" s="451" customFormat="1">
      <c r="A167" s="412"/>
      <c r="B167" s="429"/>
      <c r="C167" s="420"/>
      <c r="D167" s="413"/>
      <c r="E167" s="476"/>
      <c r="F167" s="477"/>
      <c r="G167" s="472"/>
      <c r="H167" s="466"/>
      <c r="I167" s="466"/>
      <c r="J167" s="466"/>
      <c r="K167" s="466"/>
      <c r="L167" s="466"/>
      <c r="M167" s="466"/>
      <c r="N167" s="466"/>
      <c r="O167" s="466"/>
      <c r="P167" s="466"/>
      <c r="Q167" s="466"/>
      <c r="R167" s="466"/>
    </row>
    <row r="168" spans="1:18">
      <c r="A168" s="378"/>
      <c r="B168" s="379"/>
      <c r="C168" s="379"/>
      <c r="D168" s="380"/>
      <c r="E168" s="380"/>
      <c r="F168" s="381"/>
      <c r="G168" s="382"/>
      <c r="H168" s="383"/>
      <c r="I168" s="384"/>
      <c r="J168" s="384"/>
      <c r="K168" s="384"/>
      <c r="L168" s="384"/>
      <c r="M168" s="384"/>
      <c r="N168" s="384"/>
      <c r="O168" s="384"/>
      <c r="P168" s="384"/>
      <c r="Q168" s="384"/>
      <c r="R168" s="384"/>
    </row>
    <row r="169" spans="1:18" s="227" customFormat="1" ht="13.8">
      <c r="A169" s="444"/>
      <c r="B169" s="445"/>
      <c r="C169" s="446" t="s">
        <v>765</v>
      </c>
      <c r="D169" s="447"/>
      <c r="E169" s="448"/>
      <c r="F169" s="390"/>
      <c r="G169" s="391">
        <f>SUM(G11:G168)</f>
        <v>469505545.75945401</v>
      </c>
      <c r="H169" s="392">
        <f>G169/'REKAP TOTAL'!F44</f>
        <v>3.8613540077690404E-2</v>
      </c>
      <c r="I169" s="393"/>
      <c r="J169" s="393"/>
      <c r="K169" s="393"/>
      <c r="L169" s="393"/>
      <c r="M169" s="393"/>
      <c r="N169" s="393"/>
      <c r="O169" s="393"/>
      <c r="P169" s="393"/>
      <c r="Q169" s="393"/>
      <c r="R169" s="394"/>
    </row>
  </sheetData>
  <mergeCells count="9">
    <mergeCell ref="F7:G7"/>
    <mergeCell ref="I8:K8"/>
    <mergeCell ref="L8:N8"/>
    <mergeCell ref="A8:A9"/>
    <mergeCell ref="D8:D9"/>
    <mergeCell ref="E8:E9"/>
    <mergeCell ref="H8:H9"/>
    <mergeCell ref="R8:R9"/>
    <mergeCell ref="B8:C9"/>
  </mergeCells>
  <printOptions horizontalCentered="1"/>
  <pageMargins left="0.47244094488188998" right="0.39370078740157499" top="0.90551181102362199" bottom="0.78740157480314998" header="0.511811023622047" footer="0.39370078740157499"/>
  <pageSetup paperSize="9" scale="46" fitToHeight="0" orientation="portrait" useFirstPageNumber="1" r:id="rId1"/>
  <headerFooter alignWithMargins="0">
    <oddFooter>&amp;C&amp;A&amp;RPage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HK89"/>
  <sheetViews>
    <sheetView showGridLines="0" view="pageBreakPreview" topLeftCell="A68" zoomScaleNormal="100" workbookViewId="0">
      <selection activeCell="C93" sqref="C93"/>
    </sheetView>
  </sheetViews>
  <sheetFormatPr defaultColWidth="9" defaultRowHeight="11.4"/>
  <cols>
    <col min="1" max="1" width="6.88671875" style="329" customWidth="1"/>
    <col min="2" max="2" width="2.6640625" style="227" customWidth="1"/>
    <col min="3" max="3" width="57.6640625" style="227" customWidth="1"/>
    <col min="4" max="4" width="9.109375" style="329"/>
    <col min="5" max="5" width="9.33203125" style="330" customWidth="1"/>
    <col min="6" max="6" width="14.109375" style="331" hidden="1" customWidth="1"/>
    <col min="7" max="7" width="13.5546875" style="227" hidden="1" customWidth="1"/>
    <col min="8" max="8" width="11" style="330" customWidth="1"/>
    <col min="9" max="9" width="9.109375" style="227"/>
    <col min="10" max="10" width="10.33203125" style="227" customWidth="1"/>
    <col min="11" max="219" width="9.109375" style="227"/>
    <col min="220" max="248" width="9.109375" style="228"/>
    <col min="249" max="249" width="6.88671875" style="228" customWidth="1"/>
    <col min="250" max="250" width="2.6640625" style="228" customWidth="1"/>
    <col min="251" max="251" width="57.6640625" style="228" customWidth="1"/>
    <col min="252" max="252" width="9.109375" style="228"/>
    <col min="253" max="253" width="9.33203125" style="228" customWidth="1"/>
    <col min="254" max="254" width="14.109375" style="228" customWidth="1"/>
    <col min="255" max="255" width="13.5546875" style="228" customWidth="1"/>
    <col min="256" max="256" width="9.109375" style="228"/>
    <col min="257" max="257" width="11.88671875" style="228" customWidth="1"/>
    <col min="258" max="258" width="10.33203125" style="228" customWidth="1"/>
    <col min="259" max="504" width="9.109375" style="228"/>
    <col min="505" max="505" width="6.88671875" style="228" customWidth="1"/>
    <col min="506" max="506" width="2.6640625" style="228" customWidth="1"/>
    <col min="507" max="507" width="57.6640625" style="228" customWidth="1"/>
    <col min="508" max="508" width="9.109375" style="228"/>
    <col min="509" max="509" width="9.33203125" style="228" customWidth="1"/>
    <col min="510" max="510" width="14.109375" style="228" customWidth="1"/>
    <col min="511" max="511" width="13.5546875" style="228" customWidth="1"/>
    <col min="512" max="512" width="9.109375" style="228"/>
    <col min="513" max="513" width="11.88671875" style="228" customWidth="1"/>
    <col min="514" max="514" width="10.33203125" style="228" customWidth="1"/>
    <col min="515" max="760" width="9.109375" style="228"/>
    <col min="761" max="761" width="6.88671875" style="228" customWidth="1"/>
    <col min="762" max="762" width="2.6640625" style="228" customWidth="1"/>
    <col min="763" max="763" width="57.6640625" style="228" customWidth="1"/>
    <col min="764" max="764" width="9.109375" style="228"/>
    <col min="765" max="765" width="9.33203125" style="228" customWidth="1"/>
    <col min="766" max="766" width="14.109375" style="228" customWidth="1"/>
    <col min="767" max="767" width="13.5546875" style="228" customWidth="1"/>
    <col min="768" max="768" width="9.109375" style="228"/>
    <col min="769" max="769" width="11.88671875" style="228" customWidth="1"/>
    <col min="770" max="770" width="10.33203125" style="228" customWidth="1"/>
    <col min="771" max="1016" width="9.109375" style="228"/>
    <col min="1017" max="1017" width="6.88671875" style="228" customWidth="1"/>
    <col min="1018" max="1018" width="2.6640625" style="228" customWidth="1"/>
    <col min="1019" max="1019" width="57.6640625" style="228" customWidth="1"/>
    <col min="1020" max="1020" width="9.109375" style="228"/>
    <col min="1021" max="1021" width="9.33203125" style="228" customWidth="1"/>
    <col min="1022" max="1022" width="14.109375" style="228" customWidth="1"/>
    <col min="1023" max="1023" width="13.5546875" style="228" customWidth="1"/>
    <col min="1024" max="1024" width="9.109375" style="228"/>
    <col min="1025" max="1025" width="11.88671875" style="228" customWidth="1"/>
    <col min="1026" max="1026" width="10.33203125" style="228" customWidth="1"/>
    <col min="1027" max="1272" width="9.109375" style="228"/>
    <col min="1273" max="1273" width="6.88671875" style="228" customWidth="1"/>
    <col min="1274" max="1274" width="2.6640625" style="228" customWidth="1"/>
    <col min="1275" max="1275" width="57.6640625" style="228" customWidth="1"/>
    <col min="1276" max="1276" width="9.109375" style="228"/>
    <col min="1277" max="1277" width="9.33203125" style="228" customWidth="1"/>
    <col min="1278" max="1278" width="14.109375" style="228" customWidth="1"/>
    <col min="1279" max="1279" width="13.5546875" style="228" customWidth="1"/>
    <col min="1280" max="1280" width="9.109375" style="228"/>
    <col min="1281" max="1281" width="11.88671875" style="228" customWidth="1"/>
    <col min="1282" max="1282" width="10.33203125" style="228" customWidth="1"/>
    <col min="1283" max="1528" width="9.109375" style="228"/>
    <col min="1529" max="1529" width="6.88671875" style="228" customWidth="1"/>
    <col min="1530" max="1530" width="2.6640625" style="228" customWidth="1"/>
    <col min="1531" max="1531" width="57.6640625" style="228" customWidth="1"/>
    <col min="1532" max="1532" width="9.109375" style="228"/>
    <col min="1533" max="1533" width="9.33203125" style="228" customWidth="1"/>
    <col min="1534" max="1534" width="14.109375" style="228" customWidth="1"/>
    <col min="1535" max="1535" width="13.5546875" style="228" customWidth="1"/>
    <col min="1536" max="1536" width="9.109375" style="228"/>
    <col min="1537" max="1537" width="11.88671875" style="228" customWidth="1"/>
    <col min="1538" max="1538" width="10.33203125" style="228" customWidth="1"/>
    <col min="1539" max="1784" width="9.109375" style="228"/>
    <col min="1785" max="1785" width="6.88671875" style="228" customWidth="1"/>
    <col min="1786" max="1786" width="2.6640625" style="228" customWidth="1"/>
    <col min="1787" max="1787" width="57.6640625" style="228" customWidth="1"/>
    <col min="1788" max="1788" width="9.109375" style="228"/>
    <col min="1789" max="1789" width="9.33203125" style="228" customWidth="1"/>
    <col min="1790" max="1790" width="14.109375" style="228" customWidth="1"/>
    <col min="1791" max="1791" width="13.5546875" style="228" customWidth="1"/>
    <col min="1792" max="1792" width="9.109375" style="228"/>
    <col min="1793" max="1793" width="11.88671875" style="228" customWidth="1"/>
    <col min="1794" max="1794" width="10.33203125" style="228" customWidth="1"/>
    <col min="1795" max="2040" width="9.109375" style="228"/>
    <col min="2041" max="2041" width="6.88671875" style="228" customWidth="1"/>
    <col min="2042" max="2042" width="2.6640625" style="228" customWidth="1"/>
    <col min="2043" max="2043" width="57.6640625" style="228" customWidth="1"/>
    <col min="2044" max="2044" width="9.109375" style="228"/>
    <col min="2045" max="2045" width="9.33203125" style="228" customWidth="1"/>
    <col min="2046" max="2046" width="14.109375" style="228" customWidth="1"/>
    <col min="2047" max="2047" width="13.5546875" style="228" customWidth="1"/>
    <col min="2048" max="2048" width="9.109375" style="228"/>
    <col min="2049" max="2049" width="11.88671875" style="228" customWidth="1"/>
    <col min="2050" max="2050" width="10.33203125" style="228" customWidth="1"/>
    <col min="2051" max="2296" width="9.109375" style="228"/>
    <col min="2297" max="2297" width="6.88671875" style="228" customWidth="1"/>
    <col min="2298" max="2298" width="2.6640625" style="228" customWidth="1"/>
    <col min="2299" max="2299" width="57.6640625" style="228" customWidth="1"/>
    <col min="2300" max="2300" width="9.109375" style="228"/>
    <col min="2301" max="2301" width="9.33203125" style="228" customWidth="1"/>
    <col min="2302" max="2302" width="14.109375" style="228" customWidth="1"/>
    <col min="2303" max="2303" width="13.5546875" style="228" customWidth="1"/>
    <col min="2304" max="2304" width="9.109375" style="228"/>
    <col min="2305" max="2305" width="11.88671875" style="228" customWidth="1"/>
    <col min="2306" max="2306" width="10.33203125" style="228" customWidth="1"/>
    <col min="2307" max="2552" width="9.109375" style="228"/>
    <col min="2553" max="2553" width="6.88671875" style="228" customWidth="1"/>
    <col min="2554" max="2554" width="2.6640625" style="228" customWidth="1"/>
    <col min="2555" max="2555" width="57.6640625" style="228" customWidth="1"/>
    <col min="2556" max="2556" width="9.109375" style="228"/>
    <col min="2557" max="2557" width="9.33203125" style="228" customWidth="1"/>
    <col min="2558" max="2558" width="14.109375" style="228" customWidth="1"/>
    <col min="2559" max="2559" width="13.5546875" style="228" customWidth="1"/>
    <col min="2560" max="2560" width="9.109375" style="228"/>
    <col min="2561" max="2561" width="11.88671875" style="228" customWidth="1"/>
    <col min="2562" max="2562" width="10.33203125" style="228" customWidth="1"/>
    <col min="2563" max="2808" width="9.109375" style="228"/>
    <col min="2809" max="2809" width="6.88671875" style="228" customWidth="1"/>
    <col min="2810" max="2810" width="2.6640625" style="228" customWidth="1"/>
    <col min="2811" max="2811" width="57.6640625" style="228" customWidth="1"/>
    <col min="2812" max="2812" width="9.109375" style="228"/>
    <col min="2813" max="2813" width="9.33203125" style="228" customWidth="1"/>
    <col min="2814" max="2814" width="14.109375" style="228" customWidth="1"/>
    <col min="2815" max="2815" width="13.5546875" style="228" customWidth="1"/>
    <col min="2816" max="2816" width="9.109375" style="228"/>
    <col min="2817" max="2817" width="11.88671875" style="228" customWidth="1"/>
    <col min="2818" max="2818" width="10.33203125" style="228" customWidth="1"/>
    <col min="2819" max="3064" width="9.109375" style="228"/>
    <col min="3065" max="3065" width="6.88671875" style="228" customWidth="1"/>
    <col min="3066" max="3066" width="2.6640625" style="228" customWidth="1"/>
    <col min="3067" max="3067" width="57.6640625" style="228" customWidth="1"/>
    <col min="3068" max="3068" width="9.109375" style="228"/>
    <col min="3069" max="3069" width="9.33203125" style="228" customWidth="1"/>
    <col min="3070" max="3070" width="14.109375" style="228" customWidth="1"/>
    <col min="3071" max="3071" width="13.5546875" style="228" customWidth="1"/>
    <col min="3072" max="3072" width="9.109375" style="228"/>
    <col min="3073" max="3073" width="11.88671875" style="228" customWidth="1"/>
    <col min="3074" max="3074" width="10.33203125" style="228" customWidth="1"/>
    <col min="3075" max="3320" width="9.109375" style="228"/>
    <col min="3321" max="3321" width="6.88671875" style="228" customWidth="1"/>
    <col min="3322" max="3322" width="2.6640625" style="228" customWidth="1"/>
    <col min="3323" max="3323" width="57.6640625" style="228" customWidth="1"/>
    <col min="3324" max="3324" width="9.109375" style="228"/>
    <col min="3325" max="3325" width="9.33203125" style="228" customWidth="1"/>
    <col min="3326" max="3326" width="14.109375" style="228" customWidth="1"/>
    <col min="3327" max="3327" width="13.5546875" style="228" customWidth="1"/>
    <col min="3328" max="3328" width="9.109375" style="228"/>
    <col min="3329" max="3329" width="11.88671875" style="228" customWidth="1"/>
    <col min="3330" max="3330" width="10.33203125" style="228" customWidth="1"/>
    <col min="3331" max="3576" width="9.109375" style="228"/>
    <col min="3577" max="3577" width="6.88671875" style="228" customWidth="1"/>
    <col min="3578" max="3578" width="2.6640625" style="228" customWidth="1"/>
    <col min="3579" max="3579" width="57.6640625" style="228" customWidth="1"/>
    <col min="3580" max="3580" width="9.109375" style="228"/>
    <col min="3581" max="3581" width="9.33203125" style="228" customWidth="1"/>
    <col min="3582" max="3582" width="14.109375" style="228" customWidth="1"/>
    <col min="3583" max="3583" width="13.5546875" style="228" customWidth="1"/>
    <col min="3584" max="3584" width="9.109375" style="228"/>
    <col min="3585" max="3585" width="11.88671875" style="228" customWidth="1"/>
    <col min="3586" max="3586" width="10.33203125" style="228" customWidth="1"/>
    <col min="3587" max="3832" width="9.109375" style="228"/>
    <col min="3833" max="3833" width="6.88671875" style="228" customWidth="1"/>
    <col min="3834" max="3834" width="2.6640625" style="228" customWidth="1"/>
    <col min="3835" max="3835" width="57.6640625" style="228" customWidth="1"/>
    <col min="3836" max="3836" width="9.109375" style="228"/>
    <col min="3837" max="3837" width="9.33203125" style="228" customWidth="1"/>
    <col min="3838" max="3838" width="14.109375" style="228" customWidth="1"/>
    <col min="3839" max="3839" width="13.5546875" style="228" customWidth="1"/>
    <col min="3840" max="3840" width="9.109375" style="228"/>
    <col min="3841" max="3841" width="11.88671875" style="228" customWidth="1"/>
    <col min="3842" max="3842" width="10.33203125" style="228" customWidth="1"/>
    <col min="3843" max="4088" width="9.109375" style="228"/>
    <col min="4089" max="4089" width="6.88671875" style="228" customWidth="1"/>
    <col min="4090" max="4090" width="2.6640625" style="228" customWidth="1"/>
    <col min="4091" max="4091" width="57.6640625" style="228" customWidth="1"/>
    <col min="4092" max="4092" width="9.109375" style="228"/>
    <col min="4093" max="4093" width="9.33203125" style="228" customWidth="1"/>
    <col min="4094" max="4094" width="14.109375" style="228" customWidth="1"/>
    <col min="4095" max="4095" width="13.5546875" style="228" customWidth="1"/>
    <col min="4096" max="4096" width="9.109375" style="228"/>
    <col min="4097" max="4097" width="11.88671875" style="228" customWidth="1"/>
    <col min="4098" max="4098" width="10.33203125" style="228" customWidth="1"/>
    <col min="4099" max="4344" width="9.109375" style="228"/>
    <col min="4345" max="4345" width="6.88671875" style="228" customWidth="1"/>
    <col min="4346" max="4346" width="2.6640625" style="228" customWidth="1"/>
    <col min="4347" max="4347" width="57.6640625" style="228" customWidth="1"/>
    <col min="4348" max="4348" width="9.109375" style="228"/>
    <col min="4349" max="4349" width="9.33203125" style="228" customWidth="1"/>
    <col min="4350" max="4350" width="14.109375" style="228" customWidth="1"/>
    <col min="4351" max="4351" width="13.5546875" style="228" customWidth="1"/>
    <col min="4352" max="4352" width="9.109375" style="228"/>
    <col min="4353" max="4353" width="11.88671875" style="228" customWidth="1"/>
    <col min="4354" max="4354" width="10.33203125" style="228" customWidth="1"/>
    <col min="4355" max="4600" width="9.109375" style="228"/>
    <col min="4601" max="4601" width="6.88671875" style="228" customWidth="1"/>
    <col min="4602" max="4602" width="2.6640625" style="228" customWidth="1"/>
    <col min="4603" max="4603" width="57.6640625" style="228" customWidth="1"/>
    <col min="4604" max="4604" width="9.109375" style="228"/>
    <col min="4605" max="4605" width="9.33203125" style="228" customWidth="1"/>
    <col min="4606" max="4606" width="14.109375" style="228" customWidth="1"/>
    <col min="4607" max="4607" width="13.5546875" style="228" customWidth="1"/>
    <col min="4608" max="4608" width="9.109375" style="228"/>
    <col min="4609" max="4609" width="11.88671875" style="228" customWidth="1"/>
    <col min="4610" max="4610" width="10.33203125" style="228" customWidth="1"/>
    <col min="4611" max="4856" width="9.109375" style="228"/>
    <col min="4857" max="4857" width="6.88671875" style="228" customWidth="1"/>
    <col min="4858" max="4858" width="2.6640625" style="228" customWidth="1"/>
    <col min="4859" max="4859" width="57.6640625" style="228" customWidth="1"/>
    <col min="4860" max="4860" width="9.109375" style="228"/>
    <col min="4861" max="4861" width="9.33203125" style="228" customWidth="1"/>
    <col min="4862" max="4862" width="14.109375" style="228" customWidth="1"/>
    <col min="4863" max="4863" width="13.5546875" style="228" customWidth="1"/>
    <col min="4864" max="4864" width="9.109375" style="228"/>
    <col min="4865" max="4865" width="11.88671875" style="228" customWidth="1"/>
    <col min="4866" max="4866" width="10.33203125" style="228" customWidth="1"/>
    <col min="4867" max="5112" width="9.109375" style="228"/>
    <col min="5113" max="5113" width="6.88671875" style="228" customWidth="1"/>
    <col min="5114" max="5114" width="2.6640625" style="228" customWidth="1"/>
    <col min="5115" max="5115" width="57.6640625" style="228" customWidth="1"/>
    <col min="5116" max="5116" width="9.109375" style="228"/>
    <col min="5117" max="5117" width="9.33203125" style="228" customWidth="1"/>
    <col min="5118" max="5118" width="14.109375" style="228" customWidth="1"/>
    <col min="5119" max="5119" width="13.5546875" style="228" customWidth="1"/>
    <col min="5120" max="5120" width="9.109375" style="228"/>
    <col min="5121" max="5121" width="11.88671875" style="228" customWidth="1"/>
    <col min="5122" max="5122" width="10.33203125" style="228" customWidth="1"/>
    <col min="5123" max="5368" width="9.109375" style="228"/>
    <col min="5369" max="5369" width="6.88671875" style="228" customWidth="1"/>
    <col min="5370" max="5370" width="2.6640625" style="228" customWidth="1"/>
    <col min="5371" max="5371" width="57.6640625" style="228" customWidth="1"/>
    <col min="5372" max="5372" width="9.109375" style="228"/>
    <col min="5373" max="5373" width="9.33203125" style="228" customWidth="1"/>
    <col min="5374" max="5374" width="14.109375" style="228" customWidth="1"/>
    <col min="5375" max="5375" width="13.5546875" style="228" customWidth="1"/>
    <col min="5376" max="5376" width="9.109375" style="228"/>
    <col min="5377" max="5377" width="11.88671875" style="228" customWidth="1"/>
    <col min="5378" max="5378" width="10.33203125" style="228" customWidth="1"/>
    <col min="5379" max="5624" width="9.109375" style="228"/>
    <col min="5625" max="5625" width="6.88671875" style="228" customWidth="1"/>
    <col min="5626" max="5626" width="2.6640625" style="228" customWidth="1"/>
    <col min="5627" max="5627" width="57.6640625" style="228" customWidth="1"/>
    <col min="5628" max="5628" width="9.109375" style="228"/>
    <col min="5629" max="5629" width="9.33203125" style="228" customWidth="1"/>
    <col min="5630" max="5630" width="14.109375" style="228" customWidth="1"/>
    <col min="5631" max="5631" width="13.5546875" style="228" customWidth="1"/>
    <col min="5632" max="5632" width="9.109375" style="228"/>
    <col min="5633" max="5633" width="11.88671875" style="228" customWidth="1"/>
    <col min="5634" max="5634" width="10.33203125" style="228" customWidth="1"/>
    <col min="5635" max="5880" width="9.109375" style="228"/>
    <col min="5881" max="5881" width="6.88671875" style="228" customWidth="1"/>
    <col min="5882" max="5882" width="2.6640625" style="228" customWidth="1"/>
    <col min="5883" max="5883" width="57.6640625" style="228" customWidth="1"/>
    <col min="5884" max="5884" width="9.109375" style="228"/>
    <col min="5885" max="5885" width="9.33203125" style="228" customWidth="1"/>
    <col min="5886" max="5886" width="14.109375" style="228" customWidth="1"/>
    <col min="5887" max="5887" width="13.5546875" style="228" customWidth="1"/>
    <col min="5888" max="5888" width="9.109375" style="228"/>
    <col min="5889" max="5889" width="11.88671875" style="228" customWidth="1"/>
    <col min="5890" max="5890" width="10.33203125" style="228" customWidth="1"/>
    <col min="5891" max="6136" width="9.109375" style="228"/>
    <col min="6137" max="6137" width="6.88671875" style="228" customWidth="1"/>
    <col min="6138" max="6138" width="2.6640625" style="228" customWidth="1"/>
    <col min="6139" max="6139" width="57.6640625" style="228" customWidth="1"/>
    <col min="6140" max="6140" width="9.109375" style="228"/>
    <col min="6141" max="6141" width="9.33203125" style="228" customWidth="1"/>
    <col min="6142" max="6142" width="14.109375" style="228" customWidth="1"/>
    <col min="6143" max="6143" width="13.5546875" style="228" customWidth="1"/>
    <col min="6144" max="6144" width="9.109375" style="228"/>
    <col min="6145" max="6145" width="11.88671875" style="228" customWidth="1"/>
    <col min="6146" max="6146" width="10.33203125" style="228" customWidth="1"/>
    <col min="6147" max="6392" width="9.109375" style="228"/>
    <col min="6393" max="6393" width="6.88671875" style="228" customWidth="1"/>
    <col min="6394" max="6394" width="2.6640625" style="228" customWidth="1"/>
    <col min="6395" max="6395" width="57.6640625" style="228" customWidth="1"/>
    <col min="6396" max="6396" width="9.109375" style="228"/>
    <col min="6397" max="6397" width="9.33203125" style="228" customWidth="1"/>
    <col min="6398" max="6398" width="14.109375" style="228" customWidth="1"/>
    <col min="6399" max="6399" width="13.5546875" style="228" customWidth="1"/>
    <col min="6400" max="6400" width="9.109375" style="228"/>
    <col min="6401" max="6401" width="11.88671875" style="228" customWidth="1"/>
    <col min="6402" max="6402" width="10.33203125" style="228" customWidth="1"/>
    <col min="6403" max="6648" width="9.109375" style="228"/>
    <col min="6649" max="6649" width="6.88671875" style="228" customWidth="1"/>
    <col min="6650" max="6650" width="2.6640625" style="228" customWidth="1"/>
    <col min="6651" max="6651" width="57.6640625" style="228" customWidth="1"/>
    <col min="6652" max="6652" width="9.109375" style="228"/>
    <col min="6653" max="6653" width="9.33203125" style="228" customWidth="1"/>
    <col min="6654" max="6654" width="14.109375" style="228" customWidth="1"/>
    <col min="6655" max="6655" width="13.5546875" style="228" customWidth="1"/>
    <col min="6656" max="6656" width="9.109375" style="228"/>
    <col min="6657" max="6657" width="11.88671875" style="228" customWidth="1"/>
    <col min="6658" max="6658" width="10.33203125" style="228" customWidth="1"/>
    <col min="6659" max="6904" width="9.109375" style="228"/>
    <col min="6905" max="6905" width="6.88671875" style="228" customWidth="1"/>
    <col min="6906" max="6906" width="2.6640625" style="228" customWidth="1"/>
    <col min="6907" max="6907" width="57.6640625" style="228" customWidth="1"/>
    <col min="6908" max="6908" width="9.109375" style="228"/>
    <col min="6909" max="6909" width="9.33203125" style="228" customWidth="1"/>
    <col min="6910" max="6910" width="14.109375" style="228" customWidth="1"/>
    <col min="6911" max="6911" width="13.5546875" style="228" customWidth="1"/>
    <col min="6912" max="6912" width="9.109375" style="228"/>
    <col min="6913" max="6913" width="11.88671875" style="228" customWidth="1"/>
    <col min="6914" max="6914" width="10.33203125" style="228" customWidth="1"/>
    <col min="6915" max="7160" width="9.109375" style="228"/>
    <col min="7161" max="7161" width="6.88671875" style="228" customWidth="1"/>
    <col min="7162" max="7162" width="2.6640625" style="228" customWidth="1"/>
    <col min="7163" max="7163" width="57.6640625" style="228" customWidth="1"/>
    <col min="7164" max="7164" width="9.109375" style="228"/>
    <col min="7165" max="7165" width="9.33203125" style="228" customWidth="1"/>
    <col min="7166" max="7166" width="14.109375" style="228" customWidth="1"/>
    <col min="7167" max="7167" width="13.5546875" style="228" customWidth="1"/>
    <col min="7168" max="7168" width="9.109375" style="228"/>
    <col min="7169" max="7169" width="11.88671875" style="228" customWidth="1"/>
    <col min="7170" max="7170" width="10.33203125" style="228" customWidth="1"/>
    <col min="7171" max="7416" width="9.109375" style="228"/>
    <col min="7417" max="7417" width="6.88671875" style="228" customWidth="1"/>
    <col min="7418" max="7418" width="2.6640625" style="228" customWidth="1"/>
    <col min="7419" max="7419" width="57.6640625" style="228" customWidth="1"/>
    <col min="7420" max="7420" width="9.109375" style="228"/>
    <col min="7421" max="7421" width="9.33203125" style="228" customWidth="1"/>
    <col min="7422" max="7422" width="14.109375" style="228" customWidth="1"/>
    <col min="7423" max="7423" width="13.5546875" style="228" customWidth="1"/>
    <col min="7424" max="7424" width="9.109375" style="228"/>
    <col min="7425" max="7425" width="11.88671875" style="228" customWidth="1"/>
    <col min="7426" max="7426" width="10.33203125" style="228" customWidth="1"/>
    <col min="7427" max="7672" width="9.109375" style="228"/>
    <col min="7673" max="7673" width="6.88671875" style="228" customWidth="1"/>
    <col min="7674" max="7674" width="2.6640625" style="228" customWidth="1"/>
    <col min="7675" max="7675" width="57.6640625" style="228" customWidth="1"/>
    <col min="7676" max="7676" width="9.109375" style="228"/>
    <col min="7677" max="7677" width="9.33203125" style="228" customWidth="1"/>
    <col min="7678" max="7678" width="14.109375" style="228" customWidth="1"/>
    <col min="7679" max="7679" width="13.5546875" style="228" customWidth="1"/>
    <col min="7680" max="7680" width="9.109375" style="228"/>
    <col min="7681" max="7681" width="11.88671875" style="228" customWidth="1"/>
    <col min="7682" max="7682" width="10.33203125" style="228" customWidth="1"/>
    <col min="7683" max="7928" width="9.109375" style="228"/>
    <col min="7929" max="7929" width="6.88671875" style="228" customWidth="1"/>
    <col min="7930" max="7930" width="2.6640625" style="228" customWidth="1"/>
    <col min="7931" max="7931" width="57.6640625" style="228" customWidth="1"/>
    <col min="7932" max="7932" width="9.109375" style="228"/>
    <col min="7933" max="7933" width="9.33203125" style="228" customWidth="1"/>
    <col min="7934" max="7934" width="14.109375" style="228" customWidth="1"/>
    <col min="7935" max="7935" width="13.5546875" style="228" customWidth="1"/>
    <col min="7936" max="7936" width="9.109375" style="228"/>
    <col min="7937" max="7937" width="11.88671875" style="228" customWidth="1"/>
    <col min="7938" max="7938" width="10.33203125" style="228" customWidth="1"/>
    <col min="7939" max="8184" width="9.109375" style="228"/>
    <col min="8185" max="8185" width="6.88671875" style="228" customWidth="1"/>
    <col min="8186" max="8186" width="2.6640625" style="228" customWidth="1"/>
    <col min="8187" max="8187" width="57.6640625" style="228" customWidth="1"/>
    <col min="8188" max="8188" width="9.109375" style="228"/>
    <col min="8189" max="8189" width="9.33203125" style="228" customWidth="1"/>
    <col min="8190" max="8190" width="14.109375" style="228" customWidth="1"/>
    <col min="8191" max="8191" width="13.5546875" style="228" customWidth="1"/>
    <col min="8192" max="8192" width="9.109375" style="228"/>
    <col min="8193" max="8193" width="11.88671875" style="228" customWidth="1"/>
    <col min="8194" max="8194" width="10.33203125" style="228" customWidth="1"/>
    <col min="8195" max="8440" width="9.109375" style="228"/>
    <col min="8441" max="8441" width="6.88671875" style="228" customWidth="1"/>
    <col min="8442" max="8442" width="2.6640625" style="228" customWidth="1"/>
    <col min="8443" max="8443" width="57.6640625" style="228" customWidth="1"/>
    <col min="8444" max="8444" width="9.109375" style="228"/>
    <col min="8445" max="8445" width="9.33203125" style="228" customWidth="1"/>
    <col min="8446" max="8446" width="14.109375" style="228" customWidth="1"/>
    <col min="8447" max="8447" width="13.5546875" style="228" customWidth="1"/>
    <col min="8448" max="8448" width="9.109375" style="228"/>
    <col min="8449" max="8449" width="11.88671875" style="228" customWidth="1"/>
    <col min="8450" max="8450" width="10.33203125" style="228" customWidth="1"/>
    <col min="8451" max="8696" width="9.109375" style="228"/>
    <col min="8697" max="8697" width="6.88671875" style="228" customWidth="1"/>
    <col min="8698" max="8698" width="2.6640625" style="228" customWidth="1"/>
    <col min="8699" max="8699" width="57.6640625" style="228" customWidth="1"/>
    <col min="8700" max="8700" width="9.109375" style="228"/>
    <col min="8701" max="8701" width="9.33203125" style="228" customWidth="1"/>
    <col min="8702" max="8702" width="14.109375" style="228" customWidth="1"/>
    <col min="8703" max="8703" width="13.5546875" style="228" customWidth="1"/>
    <col min="8704" max="8704" width="9.109375" style="228"/>
    <col min="8705" max="8705" width="11.88671875" style="228" customWidth="1"/>
    <col min="8706" max="8706" width="10.33203125" style="228" customWidth="1"/>
    <col min="8707" max="8952" width="9.109375" style="228"/>
    <col min="8953" max="8953" width="6.88671875" style="228" customWidth="1"/>
    <col min="8954" max="8954" width="2.6640625" style="228" customWidth="1"/>
    <col min="8955" max="8955" width="57.6640625" style="228" customWidth="1"/>
    <col min="8956" max="8956" width="9.109375" style="228"/>
    <col min="8957" max="8957" width="9.33203125" style="228" customWidth="1"/>
    <col min="8958" max="8958" width="14.109375" style="228" customWidth="1"/>
    <col min="8959" max="8959" width="13.5546875" style="228" customWidth="1"/>
    <col min="8960" max="8960" width="9.109375" style="228"/>
    <col min="8961" max="8961" width="11.88671875" style="228" customWidth="1"/>
    <col min="8962" max="8962" width="10.33203125" style="228" customWidth="1"/>
    <col min="8963" max="9208" width="9.109375" style="228"/>
    <col min="9209" max="9209" width="6.88671875" style="228" customWidth="1"/>
    <col min="9210" max="9210" width="2.6640625" style="228" customWidth="1"/>
    <col min="9211" max="9211" width="57.6640625" style="228" customWidth="1"/>
    <col min="9212" max="9212" width="9.109375" style="228"/>
    <col min="9213" max="9213" width="9.33203125" style="228" customWidth="1"/>
    <col min="9214" max="9214" width="14.109375" style="228" customWidth="1"/>
    <col min="9215" max="9215" width="13.5546875" style="228" customWidth="1"/>
    <col min="9216" max="9216" width="9.109375" style="228"/>
    <col min="9217" max="9217" width="11.88671875" style="228" customWidth="1"/>
    <col min="9218" max="9218" width="10.33203125" style="228" customWidth="1"/>
    <col min="9219" max="9464" width="9.109375" style="228"/>
    <col min="9465" max="9465" width="6.88671875" style="228" customWidth="1"/>
    <col min="9466" max="9466" width="2.6640625" style="228" customWidth="1"/>
    <col min="9467" max="9467" width="57.6640625" style="228" customWidth="1"/>
    <col min="9468" max="9468" width="9.109375" style="228"/>
    <col min="9469" max="9469" width="9.33203125" style="228" customWidth="1"/>
    <col min="9470" max="9470" width="14.109375" style="228" customWidth="1"/>
    <col min="9471" max="9471" width="13.5546875" style="228" customWidth="1"/>
    <col min="9472" max="9472" width="9.109375" style="228"/>
    <col min="9473" max="9473" width="11.88671875" style="228" customWidth="1"/>
    <col min="9474" max="9474" width="10.33203125" style="228" customWidth="1"/>
    <col min="9475" max="9720" width="9.109375" style="228"/>
    <col min="9721" max="9721" width="6.88671875" style="228" customWidth="1"/>
    <col min="9722" max="9722" width="2.6640625" style="228" customWidth="1"/>
    <col min="9723" max="9723" width="57.6640625" style="228" customWidth="1"/>
    <col min="9724" max="9724" width="9.109375" style="228"/>
    <col min="9725" max="9725" width="9.33203125" style="228" customWidth="1"/>
    <col min="9726" max="9726" width="14.109375" style="228" customWidth="1"/>
    <col min="9727" max="9727" width="13.5546875" style="228" customWidth="1"/>
    <col min="9728" max="9728" width="9.109375" style="228"/>
    <col min="9729" max="9729" width="11.88671875" style="228" customWidth="1"/>
    <col min="9730" max="9730" width="10.33203125" style="228" customWidth="1"/>
    <col min="9731" max="9976" width="9.109375" style="228"/>
    <col min="9977" max="9977" width="6.88671875" style="228" customWidth="1"/>
    <col min="9978" max="9978" width="2.6640625" style="228" customWidth="1"/>
    <col min="9979" max="9979" width="57.6640625" style="228" customWidth="1"/>
    <col min="9980" max="9980" width="9.109375" style="228"/>
    <col min="9981" max="9981" width="9.33203125" style="228" customWidth="1"/>
    <col min="9982" max="9982" width="14.109375" style="228" customWidth="1"/>
    <col min="9983" max="9983" width="13.5546875" style="228" customWidth="1"/>
    <col min="9984" max="9984" width="9.109375" style="228"/>
    <col min="9985" max="9985" width="11.88671875" style="228" customWidth="1"/>
    <col min="9986" max="9986" width="10.33203125" style="228" customWidth="1"/>
    <col min="9987" max="10232" width="9.109375" style="228"/>
    <col min="10233" max="10233" width="6.88671875" style="228" customWidth="1"/>
    <col min="10234" max="10234" width="2.6640625" style="228" customWidth="1"/>
    <col min="10235" max="10235" width="57.6640625" style="228" customWidth="1"/>
    <col min="10236" max="10236" width="9.109375" style="228"/>
    <col min="10237" max="10237" width="9.33203125" style="228" customWidth="1"/>
    <col min="10238" max="10238" width="14.109375" style="228" customWidth="1"/>
    <col min="10239" max="10239" width="13.5546875" style="228" customWidth="1"/>
    <col min="10240" max="10240" width="9.109375" style="228"/>
    <col min="10241" max="10241" width="11.88671875" style="228" customWidth="1"/>
    <col min="10242" max="10242" width="10.33203125" style="228" customWidth="1"/>
    <col min="10243" max="10488" width="9.109375" style="228"/>
    <col min="10489" max="10489" width="6.88671875" style="228" customWidth="1"/>
    <col min="10490" max="10490" width="2.6640625" style="228" customWidth="1"/>
    <col min="10491" max="10491" width="57.6640625" style="228" customWidth="1"/>
    <col min="10492" max="10492" width="9.109375" style="228"/>
    <col min="10493" max="10493" width="9.33203125" style="228" customWidth="1"/>
    <col min="10494" max="10494" width="14.109375" style="228" customWidth="1"/>
    <col min="10495" max="10495" width="13.5546875" style="228" customWidth="1"/>
    <col min="10496" max="10496" width="9.109375" style="228"/>
    <col min="10497" max="10497" width="11.88671875" style="228" customWidth="1"/>
    <col min="10498" max="10498" width="10.33203125" style="228" customWidth="1"/>
    <col min="10499" max="10744" width="9.109375" style="228"/>
    <col min="10745" max="10745" width="6.88671875" style="228" customWidth="1"/>
    <col min="10746" max="10746" width="2.6640625" style="228" customWidth="1"/>
    <col min="10747" max="10747" width="57.6640625" style="228" customWidth="1"/>
    <col min="10748" max="10748" width="9.109375" style="228"/>
    <col min="10749" max="10749" width="9.33203125" style="228" customWidth="1"/>
    <col min="10750" max="10750" width="14.109375" style="228" customWidth="1"/>
    <col min="10751" max="10751" width="13.5546875" style="228" customWidth="1"/>
    <col min="10752" max="10752" width="9.109375" style="228"/>
    <col min="10753" max="10753" width="11.88671875" style="228" customWidth="1"/>
    <col min="10754" max="10754" width="10.33203125" style="228" customWidth="1"/>
    <col min="10755" max="11000" width="9.109375" style="228"/>
    <col min="11001" max="11001" width="6.88671875" style="228" customWidth="1"/>
    <col min="11002" max="11002" width="2.6640625" style="228" customWidth="1"/>
    <col min="11003" max="11003" width="57.6640625" style="228" customWidth="1"/>
    <col min="11004" max="11004" width="9.109375" style="228"/>
    <col min="11005" max="11005" width="9.33203125" style="228" customWidth="1"/>
    <col min="11006" max="11006" width="14.109375" style="228" customWidth="1"/>
    <col min="11007" max="11007" width="13.5546875" style="228" customWidth="1"/>
    <col min="11008" max="11008" width="9.109375" style="228"/>
    <col min="11009" max="11009" width="11.88671875" style="228" customWidth="1"/>
    <col min="11010" max="11010" width="10.33203125" style="228" customWidth="1"/>
    <col min="11011" max="11256" width="9.109375" style="228"/>
    <col min="11257" max="11257" width="6.88671875" style="228" customWidth="1"/>
    <col min="11258" max="11258" width="2.6640625" style="228" customWidth="1"/>
    <col min="11259" max="11259" width="57.6640625" style="228" customWidth="1"/>
    <col min="11260" max="11260" width="9.109375" style="228"/>
    <col min="11261" max="11261" width="9.33203125" style="228" customWidth="1"/>
    <col min="11262" max="11262" width="14.109375" style="228" customWidth="1"/>
    <col min="11263" max="11263" width="13.5546875" style="228" customWidth="1"/>
    <col min="11264" max="11264" width="9.109375" style="228"/>
    <col min="11265" max="11265" width="11.88671875" style="228" customWidth="1"/>
    <col min="11266" max="11266" width="10.33203125" style="228" customWidth="1"/>
    <col min="11267" max="11512" width="9.109375" style="228"/>
    <col min="11513" max="11513" width="6.88671875" style="228" customWidth="1"/>
    <col min="11514" max="11514" width="2.6640625" style="228" customWidth="1"/>
    <col min="11515" max="11515" width="57.6640625" style="228" customWidth="1"/>
    <col min="11516" max="11516" width="9.109375" style="228"/>
    <col min="11517" max="11517" width="9.33203125" style="228" customWidth="1"/>
    <col min="11518" max="11518" width="14.109375" style="228" customWidth="1"/>
    <col min="11519" max="11519" width="13.5546875" style="228" customWidth="1"/>
    <col min="11520" max="11520" width="9.109375" style="228"/>
    <col min="11521" max="11521" width="11.88671875" style="228" customWidth="1"/>
    <col min="11522" max="11522" width="10.33203125" style="228" customWidth="1"/>
    <col min="11523" max="11768" width="9.109375" style="228"/>
    <col min="11769" max="11769" width="6.88671875" style="228" customWidth="1"/>
    <col min="11770" max="11770" width="2.6640625" style="228" customWidth="1"/>
    <col min="11771" max="11771" width="57.6640625" style="228" customWidth="1"/>
    <col min="11772" max="11772" width="9.109375" style="228"/>
    <col min="11773" max="11773" width="9.33203125" style="228" customWidth="1"/>
    <col min="11774" max="11774" width="14.109375" style="228" customWidth="1"/>
    <col min="11775" max="11775" width="13.5546875" style="228" customWidth="1"/>
    <col min="11776" max="11776" width="9.109375" style="228"/>
    <col min="11777" max="11777" width="11.88671875" style="228" customWidth="1"/>
    <col min="11778" max="11778" width="10.33203125" style="228" customWidth="1"/>
    <col min="11779" max="12024" width="9.109375" style="228"/>
    <col min="12025" max="12025" width="6.88671875" style="228" customWidth="1"/>
    <col min="12026" max="12026" width="2.6640625" style="228" customWidth="1"/>
    <col min="12027" max="12027" width="57.6640625" style="228" customWidth="1"/>
    <col min="12028" max="12028" width="9.109375" style="228"/>
    <col min="12029" max="12029" width="9.33203125" style="228" customWidth="1"/>
    <col min="12030" max="12030" width="14.109375" style="228" customWidth="1"/>
    <col min="12031" max="12031" width="13.5546875" style="228" customWidth="1"/>
    <col min="12032" max="12032" width="9.109375" style="228"/>
    <col min="12033" max="12033" width="11.88671875" style="228" customWidth="1"/>
    <col min="12034" max="12034" width="10.33203125" style="228" customWidth="1"/>
    <col min="12035" max="12280" width="9.109375" style="228"/>
    <col min="12281" max="12281" width="6.88671875" style="228" customWidth="1"/>
    <col min="12282" max="12282" width="2.6640625" style="228" customWidth="1"/>
    <col min="12283" max="12283" width="57.6640625" style="228" customWidth="1"/>
    <col min="12284" max="12284" width="9.109375" style="228"/>
    <col min="12285" max="12285" width="9.33203125" style="228" customWidth="1"/>
    <col min="12286" max="12286" width="14.109375" style="228" customWidth="1"/>
    <col min="12287" max="12287" width="13.5546875" style="228" customWidth="1"/>
    <col min="12288" max="12288" width="9.109375" style="228"/>
    <col min="12289" max="12289" width="11.88671875" style="228" customWidth="1"/>
    <col min="12290" max="12290" width="10.33203125" style="228" customWidth="1"/>
    <col min="12291" max="12536" width="9.109375" style="228"/>
    <col min="12537" max="12537" width="6.88671875" style="228" customWidth="1"/>
    <col min="12538" max="12538" width="2.6640625" style="228" customWidth="1"/>
    <col min="12539" max="12539" width="57.6640625" style="228" customWidth="1"/>
    <col min="12540" max="12540" width="9.109375" style="228"/>
    <col min="12541" max="12541" width="9.33203125" style="228" customWidth="1"/>
    <col min="12542" max="12542" width="14.109375" style="228" customWidth="1"/>
    <col min="12543" max="12543" width="13.5546875" style="228" customWidth="1"/>
    <col min="12544" max="12544" width="9.109375" style="228"/>
    <col min="12545" max="12545" width="11.88671875" style="228" customWidth="1"/>
    <col min="12546" max="12546" width="10.33203125" style="228" customWidth="1"/>
    <col min="12547" max="12792" width="9.109375" style="228"/>
    <col min="12793" max="12793" width="6.88671875" style="228" customWidth="1"/>
    <col min="12794" max="12794" width="2.6640625" style="228" customWidth="1"/>
    <col min="12795" max="12795" width="57.6640625" style="228" customWidth="1"/>
    <col min="12796" max="12796" width="9.109375" style="228"/>
    <col min="12797" max="12797" width="9.33203125" style="228" customWidth="1"/>
    <col min="12798" max="12798" width="14.109375" style="228" customWidth="1"/>
    <col min="12799" max="12799" width="13.5546875" style="228" customWidth="1"/>
    <col min="12800" max="12800" width="9.109375" style="228"/>
    <col min="12801" max="12801" width="11.88671875" style="228" customWidth="1"/>
    <col min="12802" max="12802" width="10.33203125" style="228" customWidth="1"/>
    <col min="12803" max="13048" width="9.109375" style="228"/>
    <col min="13049" max="13049" width="6.88671875" style="228" customWidth="1"/>
    <col min="13050" max="13050" width="2.6640625" style="228" customWidth="1"/>
    <col min="13051" max="13051" width="57.6640625" style="228" customWidth="1"/>
    <col min="13052" max="13052" width="9.109375" style="228"/>
    <col min="13053" max="13053" width="9.33203125" style="228" customWidth="1"/>
    <col min="13054" max="13054" width="14.109375" style="228" customWidth="1"/>
    <col min="13055" max="13055" width="13.5546875" style="228" customWidth="1"/>
    <col min="13056" max="13056" width="9.109375" style="228"/>
    <col min="13057" max="13057" width="11.88671875" style="228" customWidth="1"/>
    <col min="13058" max="13058" width="10.33203125" style="228" customWidth="1"/>
    <col min="13059" max="13304" width="9.109375" style="228"/>
    <col min="13305" max="13305" width="6.88671875" style="228" customWidth="1"/>
    <col min="13306" max="13306" width="2.6640625" style="228" customWidth="1"/>
    <col min="13307" max="13307" width="57.6640625" style="228" customWidth="1"/>
    <col min="13308" max="13308" width="9.109375" style="228"/>
    <col min="13309" max="13309" width="9.33203125" style="228" customWidth="1"/>
    <col min="13310" max="13310" width="14.109375" style="228" customWidth="1"/>
    <col min="13311" max="13311" width="13.5546875" style="228" customWidth="1"/>
    <col min="13312" max="13312" width="9.109375" style="228"/>
    <col min="13313" max="13313" width="11.88671875" style="228" customWidth="1"/>
    <col min="13314" max="13314" width="10.33203125" style="228" customWidth="1"/>
    <col min="13315" max="13560" width="9.109375" style="228"/>
    <col min="13561" max="13561" width="6.88671875" style="228" customWidth="1"/>
    <col min="13562" max="13562" width="2.6640625" style="228" customWidth="1"/>
    <col min="13563" max="13563" width="57.6640625" style="228" customWidth="1"/>
    <col min="13564" max="13564" width="9.109375" style="228"/>
    <col min="13565" max="13565" width="9.33203125" style="228" customWidth="1"/>
    <col min="13566" max="13566" width="14.109375" style="228" customWidth="1"/>
    <col min="13567" max="13567" width="13.5546875" style="228" customWidth="1"/>
    <col min="13568" max="13568" width="9.109375" style="228"/>
    <col min="13569" max="13569" width="11.88671875" style="228" customWidth="1"/>
    <col min="13570" max="13570" width="10.33203125" style="228" customWidth="1"/>
    <col min="13571" max="13816" width="9.109375" style="228"/>
    <col min="13817" max="13817" width="6.88671875" style="228" customWidth="1"/>
    <col min="13818" max="13818" width="2.6640625" style="228" customWidth="1"/>
    <col min="13819" max="13819" width="57.6640625" style="228" customWidth="1"/>
    <col min="13820" max="13820" width="9.109375" style="228"/>
    <col min="13821" max="13821" width="9.33203125" style="228" customWidth="1"/>
    <col min="13822" max="13822" width="14.109375" style="228" customWidth="1"/>
    <col min="13823" max="13823" width="13.5546875" style="228" customWidth="1"/>
    <col min="13824" max="13824" width="9.109375" style="228"/>
    <col min="13825" max="13825" width="11.88671875" style="228" customWidth="1"/>
    <col min="13826" max="13826" width="10.33203125" style="228" customWidth="1"/>
    <col min="13827" max="14072" width="9.109375" style="228"/>
    <col min="14073" max="14073" width="6.88671875" style="228" customWidth="1"/>
    <col min="14074" max="14074" width="2.6640625" style="228" customWidth="1"/>
    <col min="14075" max="14075" width="57.6640625" style="228" customWidth="1"/>
    <col min="14076" max="14076" width="9.109375" style="228"/>
    <col min="14077" max="14077" width="9.33203125" style="228" customWidth="1"/>
    <col min="14078" max="14078" width="14.109375" style="228" customWidth="1"/>
    <col min="14079" max="14079" width="13.5546875" style="228" customWidth="1"/>
    <col min="14080" max="14080" width="9.109375" style="228"/>
    <col min="14081" max="14081" width="11.88671875" style="228" customWidth="1"/>
    <col min="14082" max="14082" width="10.33203125" style="228" customWidth="1"/>
    <col min="14083" max="14328" width="9.109375" style="228"/>
    <col min="14329" max="14329" width="6.88671875" style="228" customWidth="1"/>
    <col min="14330" max="14330" width="2.6640625" style="228" customWidth="1"/>
    <col min="14331" max="14331" width="57.6640625" style="228" customWidth="1"/>
    <col min="14332" max="14332" width="9.109375" style="228"/>
    <col min="14333" max="14333" width="9.33203125" style="228" customWidth="1"/>
    <col min="14334" max="14334" width="14.109375" style="228" customWidth="1"/>
    <col min="14335" max="14335" width="13.5546875" style="228" customWidth="1"/>
    <col min="14336" max="14336" width="9.109375" style="228"/>
    <col min="14337" max="14337" width="11.88671875" style="228" customWidth="1"/>
    <col min="14338" max="14338" width="10.33203125" style="228" customWidth="1"/>
    <col min="14339" max="14584" width="9.109375" style="228"/>
    <col min="14585" max="14585" width="6.88671875" style="228" customWidth="1"/>
    <col min="14586" max="14586" width="2.6640625" style="228" customWidth="1"/>
    <col min="14587" max="14587" width="57.6640625" style="228" customWidth="1"/>
    <col min="14588" max="14588" width="9.109375" style="228"/>
    <col min="14589" max="14589" width="9.33203125" style="228" customWidth="1"/>
    <col min="14590" max="14590" width="14.109375" style="228" customWidth="1"/>
    <col min="14591" max="14591" width="13.5546875" style="228" customWidth="1"/>
    <col min="14592" max="14592" width="9.109375" style="228"/>
    <col min="14593" max="14593" width="11.88671875" style="228" customWidth="1"/>
    <col min="14594" max="14594" width="10.33203125" style="228" customWidth="1"/>
    <col min="14595" max="14840" width="9.109375" style="228"/>
    <col min="14841" max="14841" width="6.88671875" style="228" customWidth="1"/>
    <col min="14842" max="14842" width="2.6640625" style="228" customWidth="1"/>
    <col min="14843" max="14843" width="57.6640625" style="228" customWidth="1"/>
    <col min="14844" max="14844" width="9.109375" style="228"/>
    <col min="14845" max="14845" width="9.33203125" style="228" customWidth="1"/>
    <col min="14846" max="14846" width="14.109375" style="228" customWidth="1"/>
    <col min="14847" max="14847" width="13.5546875" style="228" customWidth="1"/>
    <col min="14848" max="14848" width="9.109375" style="228"/>
    <col min="14849" max="14849" width="11.88671875" style="228" customWidth="1"/>
    <col min="14850" max="14850" width="10.33203125" style="228" customWidth="1"/>
    <col min="14851" max="15096" width="9.109375" style="228"/>
    <col min="15097" max="15097" width="6.88671875" style="228" customWidth="1"/>
    <col min="15098" max="15098" width="2.6640625" style="228" customWidth="1"/>
    <col min="15099" max="15099" width="57.6640625" style="228" customWidth="1"/>
    <col min="15100" max="15100" width="9.109375" style="228"/>
    <col min="15101" max="15101" width="9.33203125" style="228" customWidth="1"/>
    <col min="15102" max="15102" width="14.109375" style="228" customWidth="1"/>
    <col min="15103" max="15103" width="13.5546875" style="228" customWidth="1"/>
    <col min="15104" max="15104" width="9.109375" style="228"/>
    <col min="15105" max="15105" width="11.88671875" style="228" customWidth="1"/>
    <col min="15106" max="15106" width="10.33203125" style="228" customWidth="1"/>
    <col min="15107" max="15352" width="9.109375" style="228"/>
    <col min="15353" max="15353" width="6.88671875" style="228" customWidth="1"/>
    <col min="15354" max="15354" width="2.6640625" style="228" customWidth="1"/>
    <col min="15355" max="15355" width="57.6640625" style="228" customWidth="1"/>
    <col min="15356" max="15356" width="9.109375" style="228"/>
    <col min="15357" max="15357" width="9.33203125" style="228" customWidth="1"/>
    <col min="15358" max="15358" width="14.109375" style="228" customWidth="1"/>
    <col min="15359" max="15359" width="13.5546875" style="228" customWidth="1"/>
    <col min="15360" max="15360" width="9.109375" style="228"/>
    <col min="15361" max="15361" width="11.88671875" style="228" customWidth="1"/>
    <col min="15362" max="15362" width="10.33203125" style="228" customWidth="1"/>
    <col min="15363" max="15608" width="9.109375" style="228"/>
    <col min="15609" max="15609" width="6.88671875" style="228" customWidth="1"/>
    <col min="15610" max="15610" width="2.6640625" style="228" customWidth="1"/>
    <col min="15611" max="15611" width="57.6640625" style="228" customWidth="1"/>
    <col min="15612" max="15612" width="9.109375" style="228"/>
    <col min="15613" max="15613" width="9.33203125" style="228" customWidth="1"/>
    <col min="15614" max="15614" width="14.109375" style="228" customWidth="1"/>
    <col min="15615" max="15615" width="13.5546875" style="228" customWidth="1"/>
    <col min="15616" max="15616" width="9.109375" style="228"/>
    <col min="15617" max="15617" width="11.88671875" style="228" customWidth="1"/>
    <col min="15618" max="15618" width="10.33203125" style="228" customWidth="1"/>
    <col min="15619" max="15864" width="9.109375" style="228"/>
    <col min="15865" max="15865" width="6.88671875" style="228" customWidth="1"/>
    <col min="15866" max="15866" width="2.6640625" style="228" customWidth="1"/>
    <col min="15867" max="15867" width="57.6640625" style="228" customWidth="1"/>
    <col min="15868" max="15868" width="9.109375" style="228"/>
    <col min="15869" max="15869" width="9.33203125" style="228" customWidth="1"/>
    <col min="15870" max="15870" width="14.109375" style="228" customWidth="1"/>
    <col min="15871" max="15871" width="13.5546875" style="228" customWidth="1"/>
    <col min="15872" max="15872" width="9.109375" style="228"/>
    <col min="15873" max="15873" width="11.88671875" style="228" customWidth="1"/>
    <col min="15874" max="15874" width="10.33203125" style="228" customWidth="1"/>
    <col min="15875" max="16120" width="9.109375" style="228"/>
    <col min="16121" max="16121" width="6.88671875" style="228" customWidth="1"/>
    <col min="16122" max="16122" width="2.6640625" style="228" customWidth="1"/>
    <col min="16123" max="16123" width="57.6640625" style="228" customWidth="1"/>
    <col min="16124" max="16124" width="9.109375" style="228"/>
    <col min="16125" max="16125" width="9.33203125" style="228" customWidth="1"/>
    <col min="16126" max="16126" width="14.109375" style="228" customWidth="1"/>
    <col min="16127" max="16127" width="13.5546875" style="228" customWidth="1"/>
    <col min="16128" max="16128" width="9.109375" style="228"/>
    <col min="16129" max="16129" width="11.88671875" style="228" customWidth="1"/>
    <col min="16130" max="16130" width="10.33203125" style="228" customWidth="1"/>
    <col min="16131" max="16384" width="9.109375" style="228"/>
  </cols>
  <sheetData>
    <row r="1" spans="1:219" ht="12">
      <c r="A1" s="332" t="str">
        <f>'I. PERSIAPAN'!B1</f>
        <v>PROGRESS MINGGUAN</v>
      </c>
    </row>
    <row r="2" spans="1:219" ht="12">
      <c r="A2" s="332" t="str">
        <f>'I. PERSIAPAN'!B2</f>
        <v>PROYEK SHOWROOM &amp; WORKSHOP</v>
      </c>
    </row>
    <row r="3" spans="1:219" ht="12">
      <c r="A3" s="332" t="str">
        <f>'I. PERSIAPAN'!B3</f>
        <v>DAIHATSU Cabang BATAM-KEPULAUAN RIAU</v>
      </c>
    </row>
    <row r="4" spans="1:219" ht="12">
      <c r="A4" s="332" t="str">
        <f>'I. PERSIAPAN'!B4</f>
        <v xml:space="preserve">PT. ASTRA INTERNATIONAL Tbk </v>
      </c>
    </row>
    <row r="5" spans="1:219" ht="12">
      <c r="A5" s="332" t="str">
        <f>'I. PERSIAPAN'!B5</f>
        <v>PERIODE : 6- 18 April2026</v>
      </c>
    </row>
    <row r="6" spans="1:219" ht="12">
      <c r="A6" s="332" t="str">
        <f>'I. PERSIAPAN'!B6</f>
        <v>MINGGU KE 2 (Dua)</v>
      </c>
    </row>
    <row r="7" spans="1:219" ht="19.5" customHeight="1">
      <c r="A7" s="332"/>
      <c r="F7" s="2191"/>
      <c r="G7" s="2191"/>
    </row>
    <row r="8" spans="1:219" ht="15" customHeight="1">
      <c r="A8" s="2204" t="s">
        <v>93</v>
      </c>
      <c r="B8" s="2206" t="s">
        <v>740</v>
      </c>
      <c r="C8" s="2206"/>
      <c r="D8" s="2206" t="s">
        <v>766</v>
      </c>
      <c r="E8" s="2208" t="s">
        <v>742</v>
      </c>
      <c r="F8" s="333" t="s">
        <v>552</v>
      </c>
      <c r="G8" s="334" t="s">
        <v>743</v>
      </c>
      <c r="H8" s="2210" t="s">
        <v>14</v>
      </c>
      <c r="I8" s="2192" t="s">
        <v>64</v>
      </c>
      <c r="J8" s="2192"/>
      <c r="K8" s="2192"/>
      <c r="L8" s="2192" t="s">
        <v>16</v>
      </c>
      <c r="M8" s="2192"/>
      <c r="N8" s="2192"/>
      <c r="O8" s="397" t="s">
        <v>65</v>
      </c>
      <c r="P8" s="397"/>
      <c r="Q8" s="397"/>
      <c r="R8" s="2212" t="s">
        <v>18</v>
      </c>
    </row>
    <row r="9" spans="1:219" ht="15.6" customHeight="1">
      <c r="A9" s="2205"/>
      <c r="B9" s="2207"/>
      <c r="C9" s="2207"/>
      <c r="D9" s="2207"/>
      <c r="E9" s="2209"/>
      <c r="F9" s="337" t="s">
        <v>744</v>
      </c>
      <c r="G9" s="338" t="s">
        <v>552</v>
      </c>
      <c r="H9" s="2211"/>
      <c r="I9" s="398" t="s">
        <v>20</v>
      </c>
      <c r="J9" s="399" t="s">
        <v>21</v>
      </c>
      <c r="K9" s="400" t="s">
        <v>14</v>
      </c>
      <c r="L9" s="398" t="s">
        <v>20</v>
      </c>
      <c r="M9" s="401" t="s">
        <v>21</v>
      </c>
      <c r="N9" s="401" t="s">
        <v>14</v>
      </c>
      <c r="O9" s="402" t="s">
        <v>20</v>
      </c>
      <c r="P9" s="398" t="s">
        <v>21</v>
      </c>
      <c r="Q9" s="400" t="s">
        <v>14</v>
      </c>
      <c r="R9" s="2213"/>
    </row>
    <row r="10" spans="1:219" s="328" customFormat="1" ht="12">
      <c r="A10" s="403" t="s">
        <v>22</v>
      </c>
      <c r="B10" s="404" t="s">
        <v>29</v>
      </c>
      <c r="C10" s="347"/>
      <c r="D10" s="405"/>
      <c r="E10" s="349"/>
      <c r="F10" s="406"/>
      <c r="G10" s="351"/>
      <c r="H10" s="407"/>
      <c r="I10" s="407"/>
      <c r="J10" s="407"/>
      <c r="K10" s="407"/>
      <c r="L10" s="407"/>
      <c r="M10" s="407"/>
      <c r="N10" s="407"/>
      <c r="O10" s="407"/>
      <c r="P10" s="407"/>
      <c r="Q10" s="407"/>
      <c r="R10" s="407"/>
      <c r="S10" s="361"/>
      <c r="T10" s="361"/>
      <c r="U10" s="361"/>
      <c r="V10" s="361"/>
      <c r="W10" s="361"/>
      <c r="X10" s="361"/>
      <c r="Y10" s="361"/>
      <c r="Z10" s="361"/>
      <c r="AA10" s="361"/>
      <c r="AB10" s="361"/>
      <c r="AC10" s="361"/>
      <c r="AD10" s="361"/>
      <c r="AE10" s="361"/>
      <c r="AF10" s="361"/>
      <c r="AG10" s="361"/>
      <c r="AH10" s="361"/>
      <c r="AI10" s="361"/>
      <c r="AJ10" s="361"/>
      <c r="AK10" s="361"/>
      <c r="AL10" s="361"/>
      <c r="AM10" s="361"/>
      <c r="AN10" s="361"/>
      <c r="AO10" s="361"/>
      <c r="AP10" s="361"/>
      <c r="AQ10" s="361"/>
      <c r="AR10" s="361"/>
      <c r="AS10" s="361"/>
      <c r="AT10" s="361"/>
      <c r="AU10" s="361"/>
      <c r="AV10" s="361"/>
      <c r="AW10" s="361"/>
      <c r="AX10" s="361"/>
      <c r="AY10" s="361"/>
      <c r="AZ10" s="361"/>
      <c r="BA10" s="361"/>
      <c r="BB10" s="361"/>
      <c r="BC10" s="361"/>
      <c r="BD10" s="361"/>
      <c r="BE10" s="361"/>
      <c r="BF10" s="361"/>
      <c r="BG10" s="361"/>
      <c r="BH10" s="361"/>
      <c r="BI10" s="361"/>
      <c r="BJ10" s="361"/>
      <c r="BK10" s="361"/>
      <c r="BL10" s="361"/>
      <c r="BM10" s="361"/>
      <c r="BN10" s="361"/>
      <c r="BO10" s="361"/>
      <c r="BP10" s="361"/>
      <c r="BQ10" s="361"/>
      <c r="BR10" s="361"/>
      <c r="BS10" s="361"/>
      <c r="BT10" s="361"/>
      <c r="BU10" s="361"/>
      <c r="BV10" s="361"/>
      <c r="BW10" s="361"/>
      <c r="BX10" s="361"/>
      <c r="BY10" s="361"/>
      <c r="BZ10" s="361"/>
      <c r="CA10" s="361"/>
      <c r="CB10" s="361"/>
      <c r="CC10" s="361"/>
      <c r="CD10" s="361"/>
      <c r="CE10" s="361"/>
      <c r="CF10" s="361"/>
      <c r="CG10" s="361"/>
      <c r="CH10" s="361"/>
      <c r="CI10" s="361"/>
      <c r="CJ10" s="361"/>
      <c r="CK10" s="361"/>
      <c r="CL10" s="361"/>
      <c r="CM10" s="361"/>
      <c r="CN10" s="361"/>
      <c r="CO10" s="361"/>
      <c r="CP10" s="361"/>
      <c r="CQ10" s="361"/>
      <c r="CR10" s="361"/>
      <c r="CS10" s="361"/>
      <c r="CT10" s="361"/>
      <c r="CU10" s="361"/>
      <c r="CV10" s="361"/>
      <c r="CW10" s="361"/>
      <c r="CX10" s="361"/>
      <c r="CY10" s="361"/>
      <c r="CZ10" s="361"/>
      <c r="DA10" s="361"/>
      <c r="DB10" s="361"/>
      <c r="DC10" s="361"/>
      <c r="DD10" s="361"/>
      <c r="DE10" s="361"/>
      <c r="DF10" s="361"/>
      <c r="DG10" s="361"/>
      <c r="DH10" s="361"/>
      <c r="DI10" s="361"/>
      <c r="DJ10" s="361"/>
      <c r="DK10" s="361"/>
      <c r="DL10" s="361"/>
      <c r="DM10" s="361"/>
      <c r="DN10" s="361"/>
      <c r="DO10" s="361"/>
      <c r="DP10" s="361"/>
      <c r="DQ10" s="361"/>
      <c r="DR10" s="361"/>
      <c r="DS10" s="361"/>
      <c r="DT10" s="361"/>
      <c r="DU10" s="361"/>
      <c r="DV10" s="361"/>
      <c r="DW10" s="361"/>
      <c r="DX10" s="361"/>
      <c r="DY10" s="361"/>
      <c r="DZ10" s="361"/>
      <c r="EA10" s="361"/>
      <c r="EB10" s="361"/>
      <c r="EC10" s="361"/>
      <c r="ED10" s="361"/>
      <c r="EE10" s="361"/>
      <c r="EF10" s="361"/>
      <c r="EG10" s="361"/>
      <c r="EH10" s="361"/>
      <c r="EI10" s="361"/>
      <c r="EJ10" s="361"/>
      <c r="EK10" s="361"/>
      <c r="EL10" s="361"/>
      <c r="EM10" s="361"/>
      <c r="EN10" s="361"/>
      <c r="EO10" s="361"/>
      <c r="EP10" s="361"/>
      <c r="EQ10" s="361"/>
      <c r="ER10" s="361"/>
      <c r="ES10" s="361"/>
      <c r="ET10" s="361"/>
      <c r="EU10" s="361"/>
      <c r="EV10" s="361"/>
      <c r="EW10" s="361"/>
      <c r="EX10" s="361"/>
      <c r="EY10" s="361"/>
      <c r="EZ10" s="361"/>
      <c r="FA10" s="361"/>
      <c r="FB10" s="361"/>
      <c r="FC10" s="361"/>
      <c r="FD10" s="361"/>
      <c r="FE10" s="361"/>
      <c r="FF10" s="361"/>
      <c r="FG10" s="361"/>
      <c r="FH10" s="361"/>
      <c r="FI10" s="361"/>
      <c r="FJ10" s="361"/>
      <c r="FK10" s="361"/>
      <c r="FL10" s="361"/>
      <c r="FM10" s="361"/>
      <c r="FN10" s="361"/>
      <c r="FO10" s="361"/>
      <c r="FP10" s="361"/>
      <c r="FQ10" s="361"/>
      <c r="FR10" s="361"/>
      <c r="FS10" s="361"/>
      <c r="FT10" s="361"/>
      <c r="FU10" s="361"/>
      <c r="FV10" s="361"/>
      <c r="FW10" s="361"/>
      <c r="FX10" s="361"/>
      <c r="FY10" s="361"/>
      <c r="FZ10" s="361"/>
      <c r="GA10" s="361"/>
      <c r="GB10" s="361"/>
      <c r="GC10" s="361"/>
      <c r="GD10" s="361"/>
      <c r="GE10" s="361"/>
      <c r="GF10" s="361"/>
      <c r="GG10" s="361"/>
      <c r="GH10" s="361"/>
      <c r="GI10" s="361"/>
      <c r="GJ10" s="361"/>
      <c r="GK10" s="361"/>
      <c r="GL10" s="361"/>
      <c r="GM10" s="361"/>
      <c r="GN10" s="361"/>
      <c r="GO10" s="361"/>
      <c r="GP10" s="361"/>
      <c r="GQ10" s="361"/>
      <c r="GR10" s="361"/>
      <c r="GS10" s="361"/>
      <c r="GT10" s="361"/>
      <c r="GU10" s="361"/>
      <c r="GV10" s="361"/>
      <c r="GW10" s="361"/>
      <c r="GX10" s="361"/>
      <c r="GY10" s="361"/>
      <c r="GZ10" s="361"/>
      <c r="HA10" s="361"/>
      <c r="HB10" s="361"/>
      <c r="HC10" s="361"/>
      <c r="HD10" s="361"/>
      <c r="HE10" s="361"/>
      <c r="HF10" s="361"/>
      <c r="HG10" s="361"/>
      <c r="HH10" s="361"/>
      <c r="HI10" s="361"/>
      <c r="HJ10" s="361"/>
      <c r="HK10" s="361"/>
    </row>
    <row r="11" spans="1:219" s="328" customFormat="1">
      <c r="A11" s="362"/>
      <c r="B11" s="363"/>
      <c r="C11" s="354"/>
      <c r="D11" s="355"/>
      <c r="E11" s="356"/>
      <c r="F11" s="357"/>
      <c r="G11" s="358"/>
      <c r="H11" s="408"/>
      <c r="I11" s="408"/>
      <c r="J11" s="408"/>
      <c r="K11" s="408"/>
      <c r="L11" s="408"/>
      <c r="M11" s="408"/>
      <c r="N11" s="408"/>
      <c r="O11" s="408"/>
      <c r="P11" s="408"/>
      <c r="Q11" s="408"/>
      <c r="R11" s="408"/>
      <c r="S11" s="361"/>
      <c r="T11" s="361"/>
      <c r="U11" s="361"/>
      <c r="V11" s="361"/>
      <c r="W11" s="361"/>
      <c r="X11" s="361"/>
      <c r="Y11" s="361"/>
      <c r="Z11" s="361"/>
      <c r="AA11" s="361"/>
      <c r="AB11" s="361"/>
      <c r="AC11" s="361"/>
      <c r="AD11" s="361"/>
      <c r="AE11" s="361"/>
      <c r="AF11" s="361"/>
      <c r="AG11" s="361"/>
      <c r="AH11" s="361"/>
      <c r="AI11" s="361"/>
      <c r="AJ11" s="361"/>
      <c r="AK11" s="361"/>
      <c r="AL11" s="361"/>
      <c r="AM11" s="361"/>
      <c r="AN11" s="361"/>
      <c r="AO11" s="361"/>
      <c r="AP11" s="361"/>
      <c r="AQ11" s="361"/>
      <c r="AR11" s="361"/>
      <c r="AS11" s="361"/>
      <c r="AT11" s="361"/>
      <c r="AU11" s="361"/>
      <c r="AV11" s="361"/>
      <c r="AW11" s="361"/>
      <c r="AX11" s="361"/>
      <c r="AY11" s="361"/>
      <c r="AZ11" s="361"/>
      <c r="BA11" s="361"/>
      <c r="BB11" s="361"/>
      <c r="BC11" s="361"/>
      <c r="BD11" s="361"/>
      <c r="BE11" s="361"/>
      <c r="BF11" s="361"/>
      <c r="BG11" s="361"/>
      <c r="BH11" s="361"/>
      <c r="BI11" s="361"/>
      <c r="BJ11" s="361"/>
      <c r="BK11" s="361"/>
      <c r="BL11" s="361"/>
      <c r="BM11" s="361"/>
      <c r="BN11" s="361"/>
      <c r="BO11" s="361"/>
      <c r="BP11" s="361"/>
      <c r="BQ11" s="361"/>
      <c r="BR11" s="361"/>
      <c r="BS11" s="361"/>
      <c r="BT11" s="361"/>
      <c r="BU11" s="361"/>
      <c r="BV11" s="361"/>
      <c r="BW11" s="361"/>
      <c r="BX11" s="361"/>
      <c r="BY11" s="361"/>
      <c r="BZ11" s="361"/>
      <c r="CA11" s="361"/>
      <c r="CB11" s="361"/>
      <c r="CC11" s="361"/>
      <c r="CD11" s="361"/>
      <c r="CE11" s="361"/>
      <c r="CF11" s="361"/>
      <c r="CG11" s="361"/>
      <c r="CH11" s="361"/>
      <c r="CI11" s="361"/>
      <c r="CJ11" s="361"/>
      <c r="CK11" s="361"/>
      <c r="CL11" s="361"/>
      <c r="CM11" s="361"/>
      <c r="CN11" s="361"/>
      <c r="CO11" s="361"/>
      <c r="CP11" s="361"/>
      <c r="CQ11" s="361"/>
      <c r="CR11" s="361"/>
      <c r="CS11" s="361"/>
      <c r="CT11" s="361"/>
      <c r="CU11" s="361"/>
      <c r="CV11" s="361"/>
      <c r="CW11" s="361"/>
      <c r="CX11" s="361"/>
      <c r="CY11" s="361"/>
      <c r="CZ11" s="361"/>
      <c r="DA11" s="361"/>
      <c r="DB11" s="361"/>
      <c r="DC11" s="361"/>
      <c r="DD11" s="361"/>
      <c r="DE11" s="361"/>
      <c r="DF11" s="361"/>
      <c r="DG11" s="361"/>
      <c r="DH11" s="361"/>
      <c r="DI11" s="361"/>
      <c r="DJ11" s="361"/>
      <c r="DK11" s="361"/>
      <c r="DL11" s="361"/>
      <c r="DM11" s="361"/>
      <c r="DN11" s="361"/>
      <c r="DO11" s="361"/>
      <c r="DP11" s="361"/>
      <c r="DQ11" s="361"/>
      <c r="DR11" s="361"/>
      <c r="DS11" s="361"/>
      <c r="DT11" s="361"/>
      <c r="DU11" s="361"/>
      <c r="DV11" s="361"/>
      <c r="DW11" s="361"/>
      <c r="DX11" s="361"/>
      <c r="DY11" s="361"/>
      <c r="DZ11" s="361"/>
      <c r="EA11" s="361"/>
      <c r="EB11" s="361"/>
      <c r="EC11" s="361"/>
      <c r="ED11" s="361"/>
      <c r="EE11" s="361"/>
      <c r="EF11" s="361"/>
      <c r="EG11" s="361"/>
      <c r="EH11" s="361"/>
      <c r="EI11" s="361"/>
      <c r="EJ11" s="361"/>
      <c r="EK11" s="361"/>
      <c r="EL11" s="361"/>
      <c r="EM11" s="361"/>
      <c r="EN11" s="361"/>
      <c r="EO11" s="361"/>
      <c r="EP11" s="361"/>
      <c r="EQ11" s="361"/>
      <c r="ER11" s="361"/>
      <c r="ES11" s="361"/>
      <c r="ET11" s="361"/>
      <c r="EU11" s="361"/>
      <c r="EV11" s="361"/>
      <c r="EW11" s="361"/>
      <c r="EX11" s="361"/>
      <c r="EY11" s="361"/>
      <c r="EZ11" s="361"/>
      <c r="FA11" s="361"/>
      <c r="FB11" s="361"/>
      <c r="FC11" s="361"/>
      <c r="FD11" s="361"/>
      <c r="FE11" s="361"/>
      <c r="FF11" s="361"/>
      <c r="FG11" s="361"/>
      <c r="FH11" s="361"/>
      <c r="FI11" s="361"/>
      <c r="FJ11" s="361"/>
      <c r="FK11" s="361"/>
      <c r="FL11" s="361"/>
      <c r="FM11" s="361"/>
      <c r="FN11" s="361"/>
      <c r="FO11" s="361"/>
      <c r="FP11" s="361"/>
      <c r="FQ11" s="361"/>
      <c r="FR11" s="361"/>
      <c r="FS11" s="361"/>
      <c r="FT11" s="361"/>
      <c r="FU11" s="361"/>
      <c r="FV11" s="361"/>
      <c r="FW11" s="361"/>
      <c r="FX11" s="361"/>
      <c r="FY11" s="361"/>
      <c r="FZ11" s="361"/>
      <c r="GA11" s="361"/>
      <c r="GB11" s="361"/>
      <c r="GC11" s="361"/>
      <c r="GD11" s="361"/>
      <c r="GE11" s="361"/>
      <c r="GF11" s="361"/>
      <c r="GG11" s="361"/>
      <c r="GH11" s="361"/>
      <c r="GI11" s="361"/>
      <c r="GJ11" s="361"/>
      <c r="GK11" s="361"/>
      <c r="GL11" s="361"/>
      <c r="GM11" s="361"/>
      <c r="GN11" s="361"/>
      <c r="GO11" s="361"/>
      <c r="GP11" s="361"/>
      <c r="GQ11" s="361"/>
      <c r="GR11" s="361"/>
      <c r="GS11" s="361"/>
      <c r="GT11" s="361"/>
      <c r="GU11" s="361"/>
      <c r="GV11" s="361"/>
      <c r="GW11" s="361"/>
      <c r="GX11" s="361"/>
      <c r="GY11" s="361"/>
      <c r="GZ11" s="361"/>
      <c r="HA11" s="361"/>
      <c r="HB11" s="361"/>
      <c r="HC11" s="361"/>
      <c r="HD11" s="361"/>
      <c r="HE11" s="361"/>
      <c r="HF11" s="361"/>
      <c r="HG11" s="361"/>
      <c r="HH11" s="361"/>
      <c r="HI11" s="361"/>
      <c r="HJ11" s="361"/>
      <c r="HK11" s="361"/>
    </row>
    <row r="12" spans="1:219" s="395" customFormat="1" ht="12">
      <c r="A12" s="409" t="s">
        <v>32</v>
      </c>
      <c r="B12" s="410" t="s">
        <v>753</v>
      </c>
      <c r="C12" s="411"/>
      <c r="D12" s="412"/>
      <c r="E12" s="413"/>
      <c r="F12" s="414"/>
      <c r="G12" s="415"/>
      <c r="H12" s="416"/>
      <c r="I12" s="416"/>
      <c r="J12" s="416"/>
      <c r="K12" s="416"/>
      <c r="L12" s="416"/>
      <c r="M12" s="416"/>
      <c r="N12" s="416"/>
      <c r="O12" s="416"/>
      <c r="P12" s="416"/>
      <c r="Q12" s="416"/>
      <c r="R12" s="416"/>
      <c r="S12" s="417"/>
      <c r="T12" s="417"/>
      <c r="U12" s="417"/>
      <c r="V12" s="417"/>
      <c r="W12" s="417"/>
      <c r="X12" s="417"/>
      <c r="Y12" s="417"/>
      <c r="Z12" s="417"/>
      <c r="AA12" s="417"/>
      <c r="AB12" s="417"/>
      <c r="AC12" s="417"/>
      <c r="AD12" s="417"/>
      <c r="AE12" s="417"/>
      <c r="AF12" s="417"/>
      <c r="AG12" s="417"/>
      <c r="AH12" s="417"/>
      <c r="AI12" s="417"/>
      <c r="AJ12" s="417"/>
      <c r="AK12" s="417"/>
      <c r="AL12" s="417"/>
      <c r="AM12" s="417"/>
      <c r="AN12" s="417"/>
      <c r="AO12" s="417"/>
      <c r="AP12" s="417"/>
      <c r="AQ12" s="417"/>
      <c r="AR12" s="417"/>
      <c r="AS12" s="417"/>
      <c r="AT12" s="417"/>
      <c r="AU12" s="417"/>
      <c r="AV12" s="417"/>
      <c r="AW12" s="417"/>
      <c r="AX12" s="417"/>
      <c r="AY12" s="417"/>
      <c r="AZ12" s="417"/>
      <c r="BA12" s="417"/>
      <c r="BB12" s="417"/>
      <c r="BC12" s="417"/>
      <c r="BD12" s="417"/>
      <c r="BE12" s="417"/>
      <c r="BF12" s="417"/>
      <c r="BG12" s="417"/>
      <c r="BH12" s="417"/>
      <c r="BI12" s="417"/>
      <c r="BJ12" s="417"/>
      <c r="BK12" s="417"/>
      <c r="BL12" s="417"/>
      <c r="BM12" s="417"/>
      <c r="BN12" s="417"/>
      <c r="BO12" s="417"/>
      <c r="BP12" s="417"/>
      <c r="BQ12" s="417"/>
      <c r="BR12" s="417"/>
      <c r="BS12" s="417"/>
      <c r="BT12" s="417"/>
      <c r="BU12" s="417"/>
      <c r="BV12" s="417"/>
      <c r="BW12" s="417"/>
      <c r="BX12" s="417"/>
      <c r="BY12" s="417"/>
      <c r="BZ12" s="417"/>
      <c r="CA12" s="417"/>
      <c r="CB12" s="417"/>
      <c r="CC12" s="417"/>
      <c r="CD12" s="417"/>
      <c r="CE12" s="417"/>
      <c r="CF12" s="417"/>
      <c r="CG12" s="417"/>
      <c r="CH12" s="417"/>
      <c r="CI12" s="417"/>
      <c r="CJ12" s="417"/>
      <c r="CK12" s="417"/>
      <c r="CL12" s="417"/>
      <c r="CM12" s="417"/>
      <c r="CN12" s="417"/>
      <c r="CO12" s="417"/>
      <c r="CP12" s="417"/>
      <c r="CQ12" s="417"/>
      <c r="CR12" s="417"/>
      <c r="CS12" s="417"/>
      <c r="CT12" s="417"/>
      <c r="CU12" s="417"/>
      <c r="CV12" s="417"/>
      <c r="CW12" s="417"/>
      <c r="CX12" s="417"/>
      <c r="CY12" s="417"/>
      <c r="CZ12" s="417"/>
      <c r="DA12" s="417"/>
      <c r="DB12" s="417"/>
      <c r="DC12" s="417"/>
      <c r="DD12" s="417"/>
      <c r="DE12" s="417"/>
      <c r="DF12" s="417"/>
      <c r="DG12" s="417"/>
      <c r="DH12" s="417"/>
      <c r="DI12" s="417"/>
      <c r="DJ12" s="417"/>
      <c r="DK12" s="417"/>
      <c r="DL12" s="417"/>
      <c r="DM12" s="417"/>
      <c r="DN12" s="417"/>
      <c r="DO12" s="417"/>
      <c r="DP12" s="417"/>
      <c r="DQ12" s="417"/>
      <c r="DR12" s="417"/>
      <c r="DS12" s="417"/>
      <c r="DT12" s="417"/>
      <c r="DU12" s="417"/>
      <c r="DV12" s="417"/>
      <c r="DW12" s="417"/>
      <c r="DX12" s="417"/>
      <c r="DY12" s="417"/>
      <c r="DZ12" s="417"/>
      <c r="EA12" s="417"/>
      <c r="EB12" s="417"/>
      <c r="EC12" s="417"/>
      <c r="ED12" s="417"/>
      <c r="EE12" s="417"/>
      <c r="EF12" s="417"/>
      <c r="EG12" s="417"/>
      <c r="EH12" s="417"/>
      <c r="EI12" s="417"/>
      <c r="EJ12" s="417"/>
      <c r="EK12" s="417"/>
      <c r="EL12" s="417"/>
      <c r="EM12" s="417"/>
      <c r="EN12" s="417"/>
      <c r="EO12" s="417"/>
      <c r="EP12" s="417"/>
      <c r="EQ12" s="417"/>
      <c r="ER12" s="417"/>
      <c r="ES12" s="417"/>
      <c r="ET12" s="417"/>
      <c r="EU12" s="417"/>
      <c r="EV12" s="417"/>
      <c r="EW12" s="417"/>
      <c r="EX12" s="417"/>
      <c r="EY12" s="417"/>
      <c r="EZ12" s="417"/>
      <c r="FA12" s="417"/>
      <c r="FB12" s="417"/>
      <c r="FC12" s="417"/>
      <c r="FD12" s="417"/>
      <c r="FE12" s="417"/>
      <c r="FF12" s="417"/>
      <c r="FG12" s="417"/>
      <c r="FH12" s="417"/>
      <c r="FI12" s="417"/>
      <c r="FJ12" s="417"/>
      <c r="FK12" s="417"/>
      <c r="FL12" s="417"/>
      <c r="FM12" s="417"/>
      <c r="FN12" s="417"/>
      <c r="FO12" s="417"/>
      <c r="FP12" s="417"/>
      <c r="FQ12" s="417"/>
      <c r="FR12" s="417"/>
      <c r="FS12" s="417"/>
      <c r="FT12" s="417"/>
      <c r="FU12" s="417"/>
      <c r="FV12" s="417"/>
      <c r="FW12" s="417"/>
      <c r="FX12" s="417"/>
      <c r="FY12" s="417"/>
      <c r="FZ12" s="417"/>
      <c r="GA12" s="417"/>
      <c r="GB12" s="417"/>
      <c r="GC12" s="417"/>
      <c r="GD12" s="417"/>
      <c r="GE12" s="417"/>
      <c r="GF12" s="417"/>
      <c r="GG12" s="417"/>
      <c r="GH12" s="417"/>
      <c r="GI12" s="417"/>
      <c r="GJ12" s="417"/>
      <c r="GK12" s="417"/>
      <c r="GL12" s="417"/>
      <c r="GM12" s="417"/>
      <c r="GN12" s="417"/>
      <c r="GO12" s="417"/>
      <c r="GP12" s="417"/>
      <c r="GQ12" s="417"/>
      <c r="GR12" s="417"/>
      <c r="GS12" s="417"/>
      <c r="GT12" s="417"/>
      <c r="GU12" s="417"/>
      <c r="GV12" s="417"/>
      <c r="GW12" s="417"/>
      <c r="GX12" s="417"/>
      <c r="GY12" s="417"/>
      <c r="GZ12" s="417"/>
      <c r="HA12" s="417"/>
      <c r="HB12" s="417"/>
      <c r="HC12" s="417"/>
      <c r="HD12" s="417"/>
      <c r="HE12" s="417"/>
      <c r="HF12" s="417"/>
      <c r="HG12" s="417"/>
      <c r="HH12" s="417"/>
      <c r="HI12" s="417"/>
      <c r="HJ12" s="417"/>
      <c r="HK12" s="417"/>
    </row>
    <row r="13" spans="1:219" s="395" customFormat="1">
      <c r="A13" s="418"/>
      <c r="B13" s="419" t="s">
        <v>754</v>
      </c>
      <c r="C13" s="420"/>
      <c r="D13" s="413"/>
      <c r="E13" s="413"/>
      <c r="F13" s="414"/>
      <c r="G13" s="415"/>
      <c r="H13" s="416"/>
      <c r="I13" s="416"/>
      <c r="J13" s="416"/>
      <c r="K13" s="416"/>
      <c r="L13" s="416"/>
      <c r="M13" s="416"/>
      <c r="N13" s="416"/>
      <c r="O13" s="416"/>
      <c r="P13" s="416"/>
      <c r="Q13" s="416"/>
      <c r="R13" s="416"/>
      <c r="S13" s="417"/>
      <c r="T13" s="417"/>
      <c r="U13" s="417"/>
      <c r="V13" s="417"/>
      <c r="W13" s="417"/>
      <c r="X13" s="417"/>
      <c r="Y13" s="417"/>
      <c r="Z13" s="417"/>
      <c r="AA13" s="417"/>
      <c r="AB13" s="417"/>
      <c r="AC13" s="417"/>
      <c r="AD13" s="417"/>
      <c r="AE13" s="417"/>
      <c r="AF13" s="417"/>
      <c r="AG13" s="417"/>
      <c r="AH13" s="417"/>
      <c r="AI13" s="417"/>
      <c r="AJ13" s="417"/>
      <c r="AK13" s="417"/>
      <c r="AL13" s="417"/>
      <c r="AM13" s="417"/>
      <c r="AN13" s="417"/>
      <c r="AO13" s="417"/>
      <c r="AP13" s="417"/>
      <c r="AQ13" s="417"/>
      <c r="AR13" s="417"/>
      <c r="AS13" s="417"/>
      <c r="AT13" s="417"/>
      <c r="AU13" s="417"/>
      <c r="AV13" s="417"/>
      <c r="AW13" s="417"/>
      <c r="AX13" s="417"/>
      <c r="AY13" s="417"/>
      <c r="AZ13" s="417"/>
      <c r="BA13" s="417"/>
      <c r="BB13" s="417"/>
      <c r="BC13" s="417"/>
      <c r="BD13" s="417"/>
      <c r="BE13" s="417"/>
      <c r="BF13" s="417"/>
      <c r="BG13" s="417"/>
      <c r="BH13" s="417"/>
      <c r="BI13" s="417"/>
      <c r="BJ13" s="417"/>
      <c r="BK13" s="417"/>
      <c r="BL13" s="417"/>
      <c r="BM13" s="417"/>
      <c r="BN13" s="417"/>
      <c r="BO13" s="417"/>
      <c r="BP13" s="417"/>
      <c r="BQ13" s="417"/>
      <c r="BR13" s="417"/>
      <c r="BS13" s="417"/>
      <c r="BT13" s="417"/>
      <c r="BU13" s="417"/>
      <c r="BV13" s="417"/>
      <c r="BW13" s="417"/>
      <c r="BX13" s="417"/>
      <c r="BY13" s="417"/>
      <c r="BZ13" s="417"/>
      <c r="CA13" s="417"/>
      <c r="CB13" s="417"/>
      <c r="CC13" s="417"/>
      <c r="CD13" s="417"/>
      <c r="CE13" s="417"/>
      <c r="CF13" s="417"/>
      <c r="CG13" s="417"/>
      <c r="CH13" s="417"/>
      <c r="CI13" s="417"/>
      <c r="CJ13" s="417"/>
      <c r="CK13" s="417"/>
      <c r="CL13" s="417"/>
      <c r="CM13" s="417"/>
      <c r="CN13" s="417"/>
      <c r="CO13" s="417"/>
      <c r="CP13" s="417"/>
      <c r="CQ13" s="417"/>
      <c r="CR13" s="417"/>
      <c r="CS13" s="417"/>
      <c r="CT13" s="417"/>
      <c r="CU13" s="417"/>
      <c r="CV13" s="417"/>
      <c r="CW13" s="417"/>
      <c r="CX13" s="417"/>
      <c r="CY13" s="417"/>
      <c r="CZ13" s="417"/>
      <c r="DA13" s="417"/>
      <c r="DB13" s="417"/>
      <c r="DC13" s="417"/>
      <c r="DD13" s="417"/>
      <c r="DE13" s="417"/>
      <c r="DF13" s="417"/>
      <c r="DG13" s="417"/>
      <c r="DH13" s="417"/>
      <c r="DI13" s="417"/>
      <c r="DJ13" s="417"/>
      <c r="DK13" s="417"/>
      <c r="DL13" s="417"/>
      <c r="DM13" s="417"/>
      <c r="DN13" s="417"/>
      <c r="DO13" s="417"/>
      <c r="DP13" s="417"/>
      <c r="DQ13" s="417"/>
      <c r="DR13" s="417"/>
      <c r="DS13" s="417"/>
      <c r="DT13" s="417"/>
      <c r="DU13" s="417"/>
      <c r="DV13" s="417"/>
      <c r="DW13" s="417"/>
      <c r="DX13" s="417"/>
      <c r="DY13" s="417"/>
      <c r="DZ13" s="417"/>
      <c r="EA13" s="417"/>
      <c r="EB13" s="417"/>
      <c r="EC13" s="417"/>
      <c r="ED13" s="417"/>
      <c r="EE13" s="417"/>
      <c r="EF13" s="417"/>
      <c r="EG13" s="417"/>
      <c r="EH13" s="417"/>
      <c r="EI13" s="417"/>
      <c r="EJ13" s="417"/>
      <c r="EK13" s="417"/>
      <c r="EL13" s="417"/>
      <c r="EM13" s="417"/>
      <c r="EN13" s="417"/>
      <c r="EO13" s="417"/>
      <c r="EP13" s="417"/>
      <c r="EQ13" s="417"/>
      <c r="ER13" s="417"/>
      <c r="ES13" s="417"/>
      <c r="ET13" s="417"/>
      <c r="EU13" s="417"/>
      <c r="EV13" s="417"/>
      <c r="EW13" s="417"/>
      <c r="EX13" s="417"/>
      <c r="EY13" s="417"/>
      <c r="EZ13" s="417"/>
      <c r="FA13" s="417"/>
      <c r="FB13" s="417"/>
      <c r="FC13" s="417"/>
      <c r="FD13" s="417"/>
      <c r="FE13" s="417"/>
      <c r="FF13" s="417"/>
      <c r="FG13" s="417"/>
      <c r="FH13" s="417"/>
      <c r="FI13" s="417"/>
      <c r="FJ13" s="417"/>
      <c r="FK13" s="417"/>
      <c r="FL13" s="417"/>
      <c r="FM13" s="417"/>
      <c r="FN13" s="417"/>
      <c r="FO13" s="417"/>
      <c r="FP13" s="417"/>
      <c r="FQ13" s="417"/>
      <c r="FR13" s="417"/>
      <c r="FS13" s="417"/>
      <c r="FT13" s="417"/>
      <c r="FU13" s="417"/>
      <c r="FV13" s="417"/>
      <c r="FW13" s="417"/>
      <c r="FX13" s="417"/>
      <c r="FY13" s="417"/>
      <c r="FZ13" s="417"/>
      <c r="GA13" s="417"/>
      <c r="GB13" s="417"/>
      <c r="GC13" s="417"/>
      <c r="GD13" s="417"/>
      <c r="GE13" s="417"/>
      <c r="GF13" s="417"/>
      <c r="GG13" s="417"/>
      <c r="GH13" s="417"/>
      <c r="GI13" s="417"/>
      <c r="GJ13" s="417"/>
      <c r="GK13" s="417"/>
      <c r="GL13" s="417"/>
      <c r="GM13" s="417"/>
      <c r="GN13" s="417"/>
      <c r="GO13" s="417"/>
      <c r="GP13" s="417"/>
      <c r="GQ13" s="417"/>
      <c r="GR13" s="417"/>
      <c r="GS13" s="417"/>
      <c r="GT13" s="417"/>
      <c r="GU13" s="417"/>
      <c r="GV13" s="417"/>
      <c r="GW13" s="417"/>
      <c r="GX13" s="417"/>
      <c r="GY13" s="417"/>
      <c r="GZ13" s="417"/>
      <c r="HA13" s="417"/>
      <c r="HB13" s="417"/>
      <c r="HC13" s="417"/>
      <c r="HD13" s="417"/>
      <c r="HE13" s="417"/>
      <c r="HF13" s="417"/>
      <c r="HG13" s="417"/>
      <c r="HH13" s="417"/>
      <c r="HI13" s="417"/>
      <c r="HJ13" s="417"/>
      <c r="HK13" s="417"/>
    </row>
    <row r="14" spans="1:219" s="395" customFormat="1">
      <c r="A14" s="418"/>
      <c r="B14" s="419" t="s">
        <v>755</v>
      </c>
      <c r="C14" s="420"/>
      <c r="D14" s="413"/>
      <c r="E14" s="413"/>
      <c r="F14" s="414"/>
      <c r="G14" s="415"/>
      <c r="H14" s="416"/>
      <c r="I14" s="416"/>
      <c r="J14" s="416"/>
      <c r="K14" s="416"/>
      <c r="L14" s="416"/>
      <c r="M14" s="416"/>
      <c r="N14" s="416"/>
      <c r="O14" s="416"/>
      <c r="P14" s="416"/>
      <c r="Q14" s="416"/>
      <c r="R14" s="416"/>
      <c r="S14" s="417"/>
      <c r="T14" s="417"/>
      <c r="U14" s="417"/>
      <c r="V14" s="417"/>
      <c r="W14" s="417"/>
      <c r="X14" s="417"/>
      <c r="Y14" s="417"/>
      <c r="Z14" s="417"/>
      <c r="AA14" s="417"/>
      <c r="AB14" s="417"/>
      <c r="AC14" s="417"/>
      <c r="AD14" s="417"/>
      <c r="AE14" s="417"/>
      <c r="AF14" s="417"/>
      <c r="AG14" s="417"/>
      <c r="AH14" s="417"/>
      <c r="AI14" s="417"/>
      <c r="AJ14" s="417"/>
      <c r="AK14" s="417"/>
      <c r="AL14" s="417"/>
      <c r="AM14" s="417"/>
      <c r="AN14" s="417"/>
      <c r="AO14" s="417"/>
      <c r="AP14" s="417"/>
      <c r="AQ14" s="417"/>
      <c r="AR14" s="417"/>
      <c r="AS14" s="417"/>
      <c r="AT14" s="417"/>
      <c r="AU14" s="417"/>
      <c r="AV14" s="417"/>
      <c r="AW14" s="417"/>
      <c r="AX14" s="417"/>
      <c r="AY14" s="417"/>
      <c r="AZ14" s="417"/>
      <c r="BA14" s="417"/>
      <c r="BB14" s="417"/>
      <c r="BC14" s="417"/>
      <c r="BD14" s="417"/>
      <c r="BE14" s="417"/>
      <c r="BF14" s="417"/>
      <c r="BG14" s="417"/>
      <c r="BH14" s="417"/>
      <c r="BI14" s="417"/>
      <c r="BJ14" s="417"/>
      <c r="BK14" s="417"/>
      <c r="BL14" s="417"/>
      <c r="BM14" s="417"/>
      <c r="BN14" s="417"/>
      <c r="BO14" s="417"/>
      <c r="BP14" s="417"/>
      <c r="BQ14" s="417"/>
      <c r="BR14" s="417"/>
      <c r="BS14" s="417"/>
      <c r="BT14" s="417"/>
      <c r="BU14" s="417"/>
      <c r="BV14" s="417"/>
      <c r="BW14" s="417"/>
      <c r="BX14" s="417"/>
      <c r="BY14" s="417"/>
      <c r="BZ14" s="417"/>
      <c r="CA14" s="417"/>
      <c r="CB14" s="417"/>
      <c r="CC14" s="417"/>
      <c r="CD14" s="417"/>
      <c r="CE14" s="417"/>
      <c r="CF14" s="417"/>
      <c r="CG14" s="417"/>
      <c r="CH14" s="417"/>
      <c r="CI14" s="417"/>
      <c r="CJ14" s="417"/>
      <c r="CK14" s="417"/>
      <c r="CL14" s="417"/>
      <c r="CM14" s="417"/>
      <c r="CN14" s="417"/>
      <c r="CO14" s="417"/>
      <c r="CP14" s="417"/>
      <c r="CQ14" s="417"/>
      <c r="CR14" s="417"/>
      <c r="CS14" s="417"/>
      <c r="CT14" s="417"/>
      <c r="CU14" s="417"/>
      <c r="CV14" s="417"/>
      <c r="CW14" s="417"/>
      <c r="CX14" s="417"/>
      <c r="CY14" s="417"/>
      <c r="CZ14" s="417"/>
      <c r="DA14" s="417"/>
      <c r="DB14" s="417"/>
      <c r="DC14" s="417"/>
      <c r="DD14" s="417"/>
      <c r="DE14" s="417"/>
      <c r="DF14" s="417"/>
      <c r="DG14" s="417"/>
      <c r="DH14" s="417"/>
      <c r="DI14" s="417"/>
      <c r="DJ14" s="417"/>
      <c r="DK14" s="417"/>
      <c r="DL14" s="417"/>
      <c r="DM14" s="417"/>
      <c r="DN14" s="417"/>
      <c r="DO14" s="417"/>
      <c r="DP14" s="417"/>
      <c r="DQ14" s="417"/>
      <c r="DR14" s="417"/>
      <c r="DS14" s="417"/>
      <c r="DT14" s="417"/>
      <c r="DU14" s="417"/>
      <c r="DV14" s="417"/>
      <c r="DW14" s="417"/>
      <c r="DX14" s="417"/>
      <c r="DY14" s="417"/>
      <c r="DZ14" s="417"/>
      <c r="EA14" s="417"/>
      <c r="EB14" s="417"/>
      <c r="EC14" s="417"/>
      <c r="ED14" s="417"/>
      <c r="EE14" s="417"/>
      <c r="EF14" s="417"/>
      <c r="EG14" s="417"/>
      <c r="EH14" s="417"/>
      <c r="EI14" s="417"/>
      <c r="EJ14" s="417"/>
      <c r="EK14" s="417"/>
      <c r="EL14" s="417"/>
      <c r="EM14" s="417"/>
      <c r="EN14" s="417"/>
      <c r="EO14" s="417"/>
      <c r="EP14" s="417"/>
      <c r="EQ14" s="417"/>
      <c r="ER14" s="417"/>
      <c r="ES14" s="417"/>
      <c r="ET14" s="417"/>
      <c r="EU14" s="417"/>
      <c r="EV14" s="417"/>
      <c r="EW14" s="417"/>
      <c r="EX14" s="417"/>
      <c r="EY14" s="417"/>
      <c r="EZ14" s="417"/>
      <c r="FA14" s="417"/>
      <c r="FB14" s="417"/>
      <c r="FC14" s="417"/>
      <c r="FD14" s="417"/>
      <c r="FE14" s="417"/>
      <c r="FF14" s="417"/>
      <c r="FG14" s="417"/>
      <c r="FH14" s="417"/>
      <c r="FI14" s="417"/>
      <c r="FJ14" s="417"/>
      <c r="FK14" s="417"/>
      <c r="FL14" s="417"/>
      <c r="FM14" s="417"/>
      <c r="FN14" s="417"/>
      <c r="FO14" s="417"/>
      <c r="FP14" s="417"/>
      <c r="FQ14" s="417"/>
      <c r="FR14" s="417"/>
      <c r="FS14" s="417"/>
      <c r="FT14" s="417"/>
      <c r="FU14" s="417"/>
      <c r="FV14" s="417"/>
      <c r="FW14" s="417"/>
      <c r="FX14" s="417"/>
      <c r="FY14" s="417"/>
      <c r="FZ14" s="417"/>
      <c r="GA14" s="417"/>
      <c r="GB14" s="417"/>
      <c r="GC14" s="417"/>
      <c r="GD14" s="417"/>
      <c r="GE14" s="417"/>
      <c r="GF14" s="417"/>
      <c r="GG14" s="417"/>
      <c r="GH14" s="417"/>
      <c r="GI14" s="417"/>
      <c r="GJ14" s="417"/>
      <c r="GK14" s="417"/>
      <c r="GL14" s="417"/>
      <c r="GM14" s="417"/>
      <c r="GN14" s="417"/>
      <c r="GO14" s="417"/>
      <c r="GP14" s="417"/>
      <c r="GQ14" s="417"/>
      <c r="GR14" s="417"/>
      <c r="GS14" s="417"/>
      <c r="GT14" s="417"/>
      <c r="GU14" s="417"/>
      <c r="GV14" s="417"/>
      <c r="GW14" s="417"/>
      <c r="GX14" s="417"/>
      <c r="GY14" s="417"/>
      <c r="GZ14" s="417"/>
      <c r="HA14" s="417"/>
      <c r="HB14" s="417"/>
      <c r="HC14" s="417"/>
      <c r="HD14" s="417"/>
      <c r="HE14" s="417"/>
      <c r="HF14" s="417"/>
      <c r="HG14" s="417"/>
      <c r="HH14" s="417"/>
      <c r="HI14" s="417"/>
      <c r="HJ14" s="417"/>
      <c r="HK14" s="417"/>
    </row>
    <row r="15" spans="1:219" s="395" customFormat="1">
      <c r="A15" s="418"/>
      <c r="B15" s="419" t="s">
        <v>756</v>
      </c>
      <c r="C15" s="420"/>
      <c r="D15" s="413"/>
      <c r="E15" s="413"/>
      <c r="F15" s="414"/>
      <c r="G15" s="415"/>
      <c r="H15" s="416"/>
      <c r="I15" s="416"/>
      <c r="J15" s="416"/>
      <c r="K15" s="416"/>
      <c r="L15" s="416"/>
      <c r="M15" s="416"/>
      <c r="N15" s="416"/>
      <c r="O15" s="416"/>
      <c r="P15" s="416"/>
      <c r="Q15" s="416"/>
      <c r="R15" s="416"/>
      <c r="S15" s="417"/>
      <c r="T15" s="417"/>
      <c r="U15" s="417"/>
      <c r="V15" s="417"/>
      <c r="W15" s="417"/>
      <c r="X15" s="417"/>
      <c r="Y15" s="417"/>
      <c r="Z15" s="417"/>
      <c r="AA15" s="417"/>
      <c r="AB15" s="417"/>
      <c r="AC15" s="417"/>
      <c r="AD15" s="417"/>
      <c r="AE15" s="417"/>
      <c r="AF15" s="417"/>
      <c r="AG15" s="417"/>
      <c r="AH15" s="417"/>
      <c r="AI15" s="417"/>
      <c r="AJ15" s="417"/>
      <c r="AK15" s="417"/>
      <c r="AL15" s="417"/>
      <c r="AM15" s="417"/>
      <c r="AN15" s="417"/>
      <c r="AO15" s="417"/>
      <c r="AP15" s="417"/>
      <c r="AQ15" s="417"/>
      <c r="AR15" s="417"/>
      <c r="AS15" s="417"/>
      <c r="AT15" s="417"/>
      <c r="AU15" s="417"/>
      <c r="AV15" s="417"/>
      <c r="AW15" s="417"/>
      <c r="AX15" s="417"/>
      <c r="AY15" s="417"/>
      <c r="AZ15" s="417"/>
      <c r="BA15" s="417"/>
      <c r="BB15" s="417"/>
      <c r="BC15" s="417"/>
      <c r="BD15" s="417"/>
      <c r="BE15" s="417"/>
      <c r="BF15" s="417"/>
      <c r="BG15" s="417"/>
      <c r="BH15" s="417"/>
      <c r="BI15" s="417"/>
      <c r="BJ15" s="417"/>
      <c r="BK15" s="417"/>
      <c r="BL15" s="417"/>
      <c r="BM15" s="417"/>
      <c r="BN15" s="417"/>
      <c r="BO15" s="417"/>
      <c r="BP15" s="417"/>
      <c r="BQ15" s="417"/>
      <c r="BR15" s="417"/>
      <c r="BS15" s="417"/>
      <c r="BT15" s="417"/>
      <c r="BU15" s="417"/>
      <c r="BV15" s="417"/>
      <c r="BW15" s="417"/>
      <c r="BX15" s="417"/>
      <c r="BY15" s="417"/>
      <c r="BZ15" s="417"/>
      <c r="CA15" s="417"/>
      <c r="CB15" s="417"/>
      <c r="CC15" s="417"/>
      <c r="CD15" s="417"/>
      <c r="CE15" s="417"/>
      <c r="CF15" s="417"/>
      <c r="CG15" s="417"/>
      <c r="CH15" s="417"/>
      <c r="CI15" s="417"/>
      <c r="CJ15" s="417"/>
      <c r="CK15" s="417"/>
      <c r="CL15" s="417"/>
      <c r="CM15" s="417"/>
      <c r="CN15" s="417"/>
      <c r="CO15" s="417"/>
      <c r="CP15" s="417"/>
      <c r="CQ15" s="417"/>
      <c r="CR15" s="417"/>
      <c r="CS15" s="417"/>
      <c r="CT15" s="417"/>
      <c r="CU15" s="417"/>
      <c r="CV15" s="417"/>
      <c r="CW15" s="417"/>
      <c r="CX15" s="417"/>
      <c r="CY15" s="417"/>
      <c r="CZ15" s="417"/>
      <c r="DA15" s="417"/>
      <c r="DB15" s="417"/>
      <c r="DC15" s="417"/>
      <c r="DD15" s="417"/>
      <c r="DE15" s="417"/>
      <c r="DF15" s="417"/>
      <c r="DG15" s="417"/>
      <c r="DH15" s="417"/>
      <c r="DI15" s="417"/>
      <c r="DJ15" s="417"/>
      <c r="DK15" s="417"/>
      <c r="DL15" s="417"/>
      <c r="DM15" s="417"/>
      <c r="DN15" s="417"/>
      <c r="DO15" s="417"/>
      <c r="DP15" s="417"/>
      <c r="DQ15" s="417"/>
      <c r="DR15" s="417"/>
      <c r="DS15" s="417"/>
      <c r="DT15" s="417"/>
      <c r="DU15" s="417"/>
      <c r="DV15" s="417"/>
      <c r="DW15" s="417"/>
      <c r="DX15" s="417"/>
      <c r="DY15" s="417"/>
      <c r="DZ15" s="417"/>
      <c r="EA15" s="417"/>
      <c r="EB15" s="417"/>
      <c r="EC15" s="417"/>
      <c r="ED15" s="417"/>
      <c r="EE15" s="417"/>
      <c r="EF15" s="417"/>
      <c r="EG15" s="417"/>
      <c r="EH15" s="417"/>
      <c r="EI15" s="417"/>
      <c r="EJ15" s="417"/>
      <c r="EK15" s="417"/>
      <c r="EL15" s="417"/>
      <c r="EM15" s="417"/>
      <c r="EN15" s="417"/>
      <c r="EO15" s="417"/>
      <c r="EP15" s="417"/>
      <c r="EQ15" s="417"/>
      <c r="ER15" s="417"/>
      <c r="ES15" s="417"/>
      <c r="ET15" s="417"/>
      <c r="EU15" s="417"/>
      <c r="EV15" s="417"/>
      <c r="EW15" s="417"/>
      <c r="EX15" s="417"/>
      <c r="EY15" s="417"/>
      <c r="EZ15" s="417"/>
      <c r="FA15" s="417"/>
      <c r="FB15" s="417"/>
      <c r="FC15" s="417"/>
      <c r="FD15" s="417"/>
      <c r="FE15" s="417"/>
      <c r="FF15" s="417"/>
      <c r="FG15" s="417"/>
      <c r="FH15" s="417"/>
      <c r="FI15" s="417"/>
      <c r="FJ15" s="417"/>
      <c r="FK15" s="417"/>
      <c r="FL15" s="417"/>
      <c r="FM15" s="417"/>
      <c r="FN15" s="417"/>
      <c r="FO15" s="417"/>
      <c r="FP15" s="417"/>
      <c r="FQ15" s="417"/>
      <c r="FR15" s="417"/>
      <c r="FS15" s="417"/>
      <c r="FT15" s="417"/>
      <c r="FU15" s="417"/>
      <c r="FV15" s="417"/>
      <c r="FW15" s="417"/>
      <c r="FX15" s="417"/>
      <c r="FY15" s="417"/>
      <c r="FZ15" s="417"/>
      <c r="GA15" s="417"/>
      <c r="GB15" s="417"/>
      <c r="GC15" s="417"/>
      <c r="GD15" s="417"/>
      <c r="GE15" s="417"/>
      <c r="GF15" s="417"/>
      <c r="GG15" s="417"/>
      <c r="GH15" s="417"/>
      <c r="GI15" s="417"/>
      <c r="GJ15" s="417"/>
      <c r="GK15" s="417"/>
      <c r="GL15" s="417"/>
      <c r="GM15" s="417"/>
      <c r="GN15" s="417"/>
      <c r="GO15" s="417"/>
      <c r="GP15" s="417"/>
      <c r="GQ15" s="417"/>
      <c r="GR15" s="417"/>
      <c r="GS15" s="417"/>
      <c r="GT15" s="417"/>
      <c r="GU15" s="417"/>
      <c r="GV15" s="417"/>
      <c r="GW15" s="417"/>
      <c r="GX15" s="417"/>
      <c r="GY15" s="417"/>
      <c r="GZ15" s="417"/>
      <c r="HA15" s="417"/>
      <c r="HB15" s="417"/>
      <c r="HC15" s="417"/>
      <c r="HD15" s="417"/>
      <c r="HE15" s="417"/>
      <c r="HF15" s="417"/>
      <c r="HG15" s="417"/>
      <c r="HH15" s="417"/>
      <c r="HI15" s="417"/>
      <c r="HJ15" s="417"/>
      <c r="HK15" s="417"/>
    </row>
    <row r="16" spans="1:219" s="395" customFormat="1">
      <c r="A16" s="418"/>
      <c r="B16" s="419" t="s">
        <v>757</v>
      </c>
      <c r="C16" s="420"/>
      <c r="D16" s="413"/>
      <c r="E16" s="413"/>
      <c r="F16" s="414"/>
      <c r="G16" s="415"/>
      <c r="H16" s="416"/>
      <c r="I16" s="416"/>
      <c r="J16" s="416"/>
      <c r="K16" s="416"/>
      <c r="L16" s="416"/>
      <c r="M16" s="416"/>
      <c r="N16" s="416"/>
      <c r="O16" s="416"/>
      <c r="P16" s="416"/>
      <c r="Q16" s="416"/>
      <c r="R16" s="416"/>
      <c r="S16" s="417"/>
      <c r="T16" s="417"/>
      <c r="U16" s="417"/>
      <c r="V16" s="417"/>
      <c r="W16" s="417"/>
      <c r="X16" s="417"/>
      <c r="Y16" s="417"/>
      <c r="Z16" s="417"/>
      <c r="AA16" s="417"/>
      <c r="AB16" s="417"/>
      <c r="AC16" s="417"/>
      <c r="AD16" s="417"/>
      <c r="AE16" s="417"/>
      <c r="AF16" s="417"/>
      <c r="AG16" s="417"/>
      <c r="AH16" s="417"/>
      <c r="AI16" s="417"/>
      <c r="AJ16" s="417"/>
      <c r="AK16" s="417"/>
      <c r="AL16" s="417"/>
      <c r="AM16" s="417"/>
      <c r="AN16" s="417"/>
      <c r="AO16" s="417"/>
      <c r="AP16" s="417"/>
      <c r="AQ16" s="417"/>
      <c r="AR16" s="417"/>
      <c r="AS16" s="417"/>
      <c r="AT16" s="417"/>
      <c r="AU16" s="417"/>
      <c r="AV16" s="417"/>
      <c r="AW16" s="417"/>
      <c r="AX16" s="417"/>
      <c r="AY16" s="417"/>
      <c r="AZ16" s="417"/>
      <c r="BA16" s="417"/>
      <c r="BB16" s="417"/>
      <c r="BC16" s="417"/>
      <c r="BD16" s="417"/>
      <c r="BE16" s="417"/>
      <c r="BF16" s="417"/>
      <c r="BG16" s="417"/>
      <c r="BH16" s="417"/>
      <c r="BI16" s="417"/>
      <c r="BJ16" s="417"/>
      <c r="BK16" s="417"/>
      <c r="BL16" s="417"/>
      <c r="BM16" s="417"/>
      <c r="BN16" s="417"/>
      <c r="BO16" s="417"/>
      <c r="BP16" s="417"/>
      <c r="BQ16" s="417"/>
      <c r="BR16" s="417"/>
      <c r="BS16" s="417"/>
      <c r="BT16" s="417"/>
      <c r="BU16" s="417"/>
      <c r="BV16" s="417"/>
      <c r="BW16" s="417"/>
      <c r="BX16" s="417"/>
      <c r="BY16" s="417"/>
      <c r="BZ16" s="417"/>
      <c r="CA16" s="417"/>
      <c r="CB16" s="417"/>
      <c r="CC16" s="417"/>
      <c r="CD16" s="417"/>
      <c r="CE16" s="417"/>
      <c r="CF16" s="417"/>
      <c r="CG16" s="417"/>
      <c r="CH16" s="417"/>
      <c r="CI16" s="417"/>
      <c r="CJ16" s="417"/>
      <c r="CK16" s="417"/>
      <c r="CL16" s="417"/>
      <c r="CM16" s="417"/>
      <c r="CN16" s="417"/>
      <c r="CO16" s="417"/>
      <c r="CP16" s="417"/>
      <c r="CQ16" s="417"/>
      <c r="CR16" s="417"/>
      <c r="CS16" s="417"/>
      <c r="CT16" s="417"/>
      <c r="CU16" s="417"/>
      <c r="CV16" s="417"/>
      <c r="CW16" s="417"/>
      <c r="CX16" s="417"/>
      <c r="CY16" s="417"/>
      <c r="CZ16" s="417"/>
      <c r="DA16" s="417"/>
      <c r="DB16" s="417"/>
      <c r="DC16" s="417"/>
      <c r="DD16" s="417"/>
      <c r="DE16" s="417"/>
      <c r="DF16" s="417"/>
      <c r="DG16" s="417"/>
      <c r="DH16" s="417"/>
      <c r="DI16" s="417"/>
      <c r="DJ16" s="417"/>
      <c r="DK16" s="417"/>
      <c r="DL16" s="417"/>
      <c r="DM16" s="417"/>
      <c r="DN16" s="417"/>
      <c r="DO16" s="417"/>
      <c r="DP16" s="417"/>
      <c r="DQ16" s="417"/>
      <c r="DR16" s="417"/>
      <c r="DS16" s="417"/>
      <c r="DT16" s="417"/>
      <c r="DU16" s="417"/>
      <c r="DV16" s="417"/>
      <c r="DW16" s="417"/>
      <c r="DX16" s="417"/>
      <c r="DY16" s="417"/>
      <c r="DZ16" s="417"/>
      <c r="EA16" s="417"/>
      <c r="EB16" s="417"/>
      <c r="EC16" s="417"/>
      <c r="ED16" s="417"/>
      <c r="EE16" s="417"/>
      <c r="EF16" s="417"/>
      <c r="EG16" s="417"/>
      <c r="EH16" s="417"/>
      <c r="EI16" s="417"/>
      <c r="EJ16" s="417"/>
      <c r="EK16" s="417"/>
      <c r="EL16" s="417"/>
      <c r="EM16" s="417"/>
      <c r="EN16" s="417"/>
      <c r="EO16" s="417"/>
      <c r="EP16" s="417"/>
      <c r="EQ16" s="417"/>
      <c r="ER16" s="417"/>
      <c r="ES16" s="417"/>
      <c r="ET16" s="417"/>
      <c r="EU16" s="417"/>
      <c r="EV16" s="417"/>
      <c r="EW16" s="417"/>
      <c r="EX16" s="417"/>
      <c r="EY16" s="417"/>
      <c r="EZ16" s="417"/>
      <c r="FA16" s="417"/>
      <c r="FB16" s="417"/>
      <c r="FC16" s="417"/>
      <c r="FD16" s="417"/>
      <c r="FE16" s="417"/>
      <c r="FF16" s="417"/>
      <c r="FG16" s="417"/>
      <c r="FH16" s="417"/>
      <c r="FI16" s="417"/>
      <c r="FJ16" s="417"/>
      <c r="FK16" s="417"/>
      <c r="FL16" s="417"/>
      <c r="FM16" s="417"/>
      <c r="FN16" s="417"/>
      <c r="FO16" s="417"/>
      <c r="FP16" s="417"/>
      <c r="FQ16" s="417"/>
      <c r="FR16" s="417"/>
      <c r="FS16" s="417"/>
      <c r="FT16" s="417"/>
      <c r="FU16" s="417"/>
      <c r="FV16" s="417"/>
      <c r="FW16" s="417"/>
      <c r="FX16" s="417"/>
      <c r="FY16" s="417"/>
      <c r="FZ16" s="417"/>
      <c r="GA16" s="417"/>
      <c r="GB16" s="417"/>
      <c r="GC16" s="417"/>
      <c r="GD16" s="417"/>
      <c r="GE16" s="417"/>
      <c r="GF16" s="417"/>
      <c r="GG16" s="417"/>
      <c r="GH16" s="417"/>
      <c r="GI16" s="417"/>
      <c r="GJ16" s="417"/>
      <c r="GK16" s="417"/>
      <c r="GL16" s="417"/>
      <c r="GM16" s="417"/>
      <c r="GN16" s="417"/>
      <c r="GO16" s="417"/>
      <c r="GP16" s="417"/>
      <c r="GQ16" s="417"/>
      <c r="GR16" s="417"/>
      <c r="GS16" s="417"/>
      <c r="GT16" s="417"/>
      <c r="GU16" s="417"/>
      <c r="GV16" s="417"/>
      <c r="GW16" s="417"/>
      <c r="GX16" s="417"/>
      <c r="GY16" s="417"/>
      <c r="GZ16" s="417"/>
      <c r="HA16" s="417"/>
      <c r="HB16" s="417"/>
      <c r="HC16" s="417"/>
      <c r="HD16" s="417"/>
      <c r="HE16" s="417"/>
      <c r="HF16" s="417"/>
      <c r="HG16" s="417"/>
      <c r="HH16" s="417"/>
      <c r="HI16" s="417"/>
      <c r="HJ16" s="417"/>
      <c r="HK16" s="417"/>
    </row>
    <row r="17" spans="1:18" s="395" customFormat="1">
      <c r="A17" s="418"/>
      <c r="B17" s="419" t="s">
        <v>758</v>
      </c>
      <c r="C17" s="420"/>
      <c r="D17" s="413"/>
      <c r="E17" s="413"/>
      <c r="F17" s="414"/>
      <c r="G17" s="415"/>
      <c r="H17" s="421"/>
      <c r="I17" s="421"/>
      <c r="J17" s="421"/>
      <c r="K17" s="421"/>
      <c r="L17" s="421"/>
      <c r="M17" s="421"/>
      <c r="N17" s="421"/>
      <c r="O17" s="421"/>
      <c r="P17" s="421"/>
      <c r="Q17" s="421"/>
      <c r="R17" s="421"/>
    </row>
    <row r="18" spans="1:18" s="395" customFormat="1">
      <c r="A18" s="418"/>
      <c r="B18" s="419"/>
      <c r="C18" s="420"/>
      <c r="D18" s="413"/>
      <c r="E18" s="413"/>
      <c r="F18" s="414"/>
      <c r="G18" s="415"/>
      <c r="H18" s="421"/>
      <c r="I18" s="421"/>
      <c r="J18" s="421"/>
      <c r="K18" s="421"/>
      <c r="L18" s="421"/>
      <c r="M18" s="421"/>
      <c r="N18" s="421"/>
      <c r="O18" s="421"/>
      <c r="P18" s="421"/>
      <c r="Q18" s="421"/>
      <c r="R18" s="421"/>
    </row>
    <row r="19" spans="1:18" s="395" customFormat="1">
      <c r="A19" s="418"/>
      <c r="B19" s="422" t="s">
        <v>759</v>
      </c>
      <c r="C19" s="420"/>
      <c r="D19" s="413"/>
      <c r="E19" s="413"/>
      <c r="F19" s="414"/>
      <c r="G19" s="415"/>
      <c r="H19" s="421"/>
      <c r="I19" s="421"/>
      <c r="J19" s="421"/>
      <c r="K19" s="421"/>
      <c r="L19" s="421"/>
      <c r="M19" s="421"/>
      <c r="N19" s="421"/>
      <c r="O19" s="421"/>
      <c r="P19" s="421"/>
      <c r="Q19" s="421"/>
      <c r="R19" s="421"/>
    </row>
    <row r="20" spans="1:18" s="395" customFormat="1">
      <c r="A20" s="418"/>
      <c r="B20" s="422" t="s">
        <v>760</v>
      </c>
      <c r="C20" s="420"/>
      <c r="D20" s="413"/>
      <c r="E20" s="413"/>
      <c r="F20" s="414"/>
      <c r="G20" s="415"/>
      <c r="H20" s="421"/>
      <c r="I20" s="421"/>
      <c r="J20" s="421"/>
      <c r="K20" s="421"/>
      <c r="L20" s="421"/>
      <c r="M20" s="421"/>
      <c r="N20" s="421"/>
      <c r="O20" s="421"/>
      <c r="P20" s="421"/>
      <c r="Q20" s="421"/>
      <c r="R20" s="421"/>
    </row>
    <row r="21" spans="1:18" s="395" customFormat="1">
      <c r="A21" s="418"/>
      <c r="B21" s="422"/>
      <c r="C21" s="420"/>
      <c r="D21" s="413"/>
      <c r="E21" s="413"/>
      <c r="F21" s="414"/>
      <c r="G21" s="415"/>
      <c r="H21" s="421"/>
      <c r="I21" s="421"/>
      <c r="J21" s="421"/>
      <c r="K21" s="421"/>
      <c r="L21" s="421"/>
      <c r="M21" s="421"/>
      <c r="N21" s="421"/>
      <c r="O21" s="421"/>
      <c r="P21" s="421"/>
      <c r="Q21" s="421"/>
      <c r="R21" s="421"/>
    </row>
    <row r="22" spans="1:18" s="328" customFormat="1" ht="13.8">
      <c r="A22" s="362"/>
      <c r="B22" s="2060" t="s">
        <v>847</v>
      </c>
      <c r="C22" s="354"/>
      <c r="D22" s="355" t="s">
        <v>135</v>
      </c>
      <c r="E22" s="355">
        <v>2</v>
      </c>
      <c r="F22" s="367">
        <v>424200</v>
      </c>
      <c r="G22" s="368">
        <f>E22*F22</f>
        <v>848400</v>
      </c>
      <c r="H22" s="374">
        <f>G22/'REKAP TOTAL'!F44</f>
        <v>6.97749530283432E-5</v>
      </c>
      <c r="I22" s="423"/>
      <c r="J22" s="423"/>
      <c r="K22" s="423"/>
      <c r="L22" s="423"/>
      <c r="M22" s="423"/>
      <c r="N22" s="423"/>
      <c r="O22" s="423"/>
      <c r="P22" s="423"/>
      <c r="Q22" s="423"/>
      <c r="R22" s="423"/>
    </row>
    <row r="23" spans="1:18" s="328" customFormat="1" ht="13.8">
      <c r="A23" s="362"/>
      <c r="B23" s="2061" t="s">
        <v>848</v>
      </c>
      <c r="C23" s="424"/>
      <c r="D23" s="355" t="s">
        <v>135</v>
      </c>
      <c r="E23" s="355">
        <v>1</v>
      </c>
      <c r="F23" s="367">
        <v>1333200</v>
      </c>
      <c r="G23" s="368">
        <f>E23*F23</f>
        <v>1333200</v>
      </c>
      <c r="H23" s="374">
        <f>G23/'REKAP TOTAL'!F44</f>
        <v>1.0964635475882502E-4</v>
      </c>
      <c r="I23" s="423"/>
      <c r="J23" s="423"/>
      <c r="K23" s="423"/>
      <c r="L23" s="423"/>
      <c r="M23" s="423"/>
      <c r="N23" s="423"/>
      <c r="O23" s="423"/>
      <c r="P23" s="423"/>
      <c r="Q23" s="423"/>
      <c r="R23" s="423"/>
    </row>
    <row r="24" spans="1:18" s="328" customFormat="1">
      <c r="A24" s="362"/>
      <c r="B24" s="363"/>
      <c r="C24" s="354"/>
      <c r="D24" s="355"/>
      <c r="E24" s="355"/>
      <c r="F24" s="367"/>
      <c r="G24" s="368"/>
      <c r="H24" s="423"/>
      <c r="I24" s="423"/>
      <c r="J24" s="423"/>
      <c r="K24" s="423"/>
      <c r="L24" s="423"/>
      <c r="M24" s="423"/>
      <c r="N24" s="423"/>
      <c r="O24" s="423"/>
      <c r="P24" s="423"/>
      <c r="Q24" s="423"/>
      <c r="R24" s="423"/>
    </row>
    <row r="25" spans="1:18">
      <c r="A25" s="362"/>
      <c r="B25" s="363"/>
      <c r="C25" s="354"/>
      <c r="D25" s="355"/>
      <c r="E25" s="355"/>
      <c r="F25" s="367"/>
      <c r="G25" s="368"/>
      <c r="H25" s="425"/>
      <c r="I25" s="425"/>
      <c r="J25" s="425"/>
      <c r="K25" s="425"/>
      <c r="L25" s="425"/>
      <c r="M25" s="425"/>
      <c r="N25" s="425"/>
      <c r="O25" s="425"/>
      <c r="P25" s="425"/>
      <c r="Q25" s="425"/>
      <c r="R25" s="425"/>
    </row>
    <row r="26" spans="1:18" s="395" customFormat="1" ht="12">
      <c r="A26" s="426" t="s">
        <v>34</v>
      </c>
      <c r="B26" s="427" t="s">
        <v>773</v>
      </c>
      <c r="C26" s="428"/>
      <c r="D26" s="413"/>
      <c r="E26" s="413"/>
      <c r="F26" s="414"/>
      <c r="G26" s="415"/>
      <c r="H26" s="421"/>
      <c r="I26" s="421"/>
      <c r="J26" s="421"/>
      <c r="K26" s="421"/>
      <c r="L26" s="421"/>
      <c r="M26" s="421"/>
      <c r="N26" s="421"/>
      <c r="O26" s="421"/>
      <c r="P26" s="421"/>
      <c r="Q26" s="421"/>
      <c r="R26" s="421"/>
    </row>
    <row r="27" spans="1:18" s="395" customFormat="1">
      <c r="A27" s="412"/>
      <c r="B27" s="429"/>
      <c r="C27" s="420"/>
      <c r="D27" s="413"/>
      <c r="E27" s="413"/>
      <c r="F27" s="414"/>
      <c r="G27" s="415"/>
      <c r="H27" s="421"/>
      <c r="I27" s="421"/>
      <c r="J27" s="421"/>
      <c r="K27" s="421"/>
      <c r="L27" s="421"/>
      <c r="M27" s="421"/>
      <c r="N27" s="421"/>
      <c r="O27" s="421"/>
      <c r="P27" s="421"/>
      <c r="Q27" s="421"/>
      <c r="R27" s="421"/>
    </row>
    <row r="28" spans="1:18" s="395" customFormat="1">
      <c r="A28" s="412"/>
      <c r="B28" s="430" t="s">
        <v>774</v>
      </c>
      <c r="C28" s="411"/>
      <c r="D28" s="412"/>
      <c r="E28" s="413"/>
      <c r="F28" s="414"/>
      <c r="G28" s="415"/>
      <c r="H28" s="421"/>
      <c r="I28" s="421"/>
      <c r="J28" s="421"/>
      <c r="K28" s="421"/>
      <c r="L28" s="421"/>
      <c r="M28" s="421"/>
      <c r="N28" s="421"/>
      <c r="O28" s="421"/>
      <c r="P28" s="421"/>
      <c r="Q28" s="421"/>
      <c r="R28" s="421"/>
    </row>
    <row r="29" spans="1:18" s="395" customFormat="1">
      <c r="A29" s="412"/>
      <c r="B29" s="430" t="s">
        <v>775</v>
      </c>
      <c r="C29" s="411"/>
      <c r="D29" s="412"/>
      <c r="E29" s="413"/>
      <c r="F29" s="414"/>
      <c r="G29" s="415"/>
      <c r="H29" s="421"/>
      <c r="I29" s="421"/>
      <c r="J29" s="421"/>
      <c r="K29" s="421"/>
      <c r="L29" s="421"/>
      <c r="M29" s="421"/>
      <c r="N29" s="421"/>
      <c r="O29" s="421"/>
      <c r="P29" s="421"/>
      <c r="Q29" s="421"/>
      <c r="R29" s="421"/>
    </row>
    <row r="30" spans="1:18" s="395" customFormat="1">
      <c r="A30" s="412"/>
      <c r="B30" s="430" t="s">
        <v>776</v>
      </c>
      <c r="C30" s="411"/>
      <c r="D30" s="412"/>
      <c r="E30" s="413"/>
      <c r="F30" s="414"/>
      <c r="G30" s="415"/>
      <c r="H30" s="421"/>
      <c r="I30" s="421"/>
      <c r="J30" s="421"/>
      <c r="K30" s="421"/>
      <c r="L30" s="421"/>
      <c r="M30" s="421"/>
      <c r="N30" s="421"/>
      <c r="O30" s="421"/>
      <c r="P30" s="421"/>
      <c r="Q30" s="421"/>
      <c r="R30" s="421"/>
    </row>
    <row r="31" spans="1:18" s="395" customFormat="1">
      <c r="A31" s="412"/>
      <c r="B31" s="430" t="s">
        <v>777</v>
      </c>
      <c r="C31" s="411"/>
      <c r="D31" s="412"/>
      <c r="E31" s="413"/>
      <c r="F31" s="414"/>
      <c r="G31" s="415"/>
      <c r="H31" s="421"/>
      <c r="I31" s="421"/>
      <c r="J31" s="421"/>
      <c r="K31" s="421"/>
      <c r="L31" s="421"/>
      <c r="M31" s="421"/>
      <c r="N31" s="421"/>
      <c r="O31" s="421"/>
      <c r="P31" s="421"/>
      <c r="Q31" s="421"/>
      <c r="R31" s="421"/>
    </row>
    <row r="32" spans="1:18" s="395" customFormat="1">
      <c r="A32" s="412"/>
      <c r="B32" s="429"/>
      <c r="C32" s="420"/>
      <c r="D32" s="413"/>
      <c r="E32" s="413"/>
      <c r="F32" s="414"/>
      <c r="G32" s="415"/>
      <c r="H32" s="421"/>
      <c r="I32" s="421"/>
      <c r="J32" s="421"/>
      <c r="K32" s="421"/>
      <c r="L32" s="421"/>
      <c r="M32" s="421"/>
      <c r="N32" s="421"/>
      <c r="O32" s="421"/>
      <c r="P32" s="421"/>
      <c r="Q32" s="421"/>
      <c r="R32" s="421"/>
    </row>
    <row r="33" spans="1:18" s="396" customFormat="1" ht="12">
      <c r="A33" s="431"/>
      <c r="B33" s="432">
        <v>1</v>
      </c>
      <c r="C33" s="433" t="s">
        <v>849</v>
      </c>
      <c r="D33" s="434"/>
      <c r="E33" s="434"/>
      <c r="F33" s="414"/>
      <c r="G33" s="415"/>
      <c r="H33" s="435"/>
      <c r="I33" s="435"/>
      <c r="J33" s="435"/>
      <c r="K33" s="435"/>
      <c r="L33" s="435"/>
      <c r="M33" s="435"/>
      <c r="N33" s="435"/>
      <c r="O33" s="435"/>
      <c r="P33" s="435"/>
      <c r="Q33" s="435"/>
      <c r="R33" s="435"/>
    </row>
    <row r="34" spans="1:18" s="395" customFormat="1">
      <c r="A34" s="412"/>
      <c r="B34" s="429"/>
      <c r="C34" s="420"/>
      <c r="D34" s="413"/>
      <c r="E34" s="413"/>
      <c r="F34" s="414"/>
      <c r="G34" s="415"/>
      <c r="H34" s="421"/>
      <c r="I34" s="421"/>
      <c r="J34" s="421"/>
      <c r="K34" s="421"/>
      <c r="L34" s="421"/>
      <c r="M34" s="421"/>
      <c r="N34" s="421"/>
      <c r="O34" s="421"/>
      <c r="P34" s="421"/>
      <c r="Q34" s="421"/>
      <c r="R34" s="421"/>
    </row>
    <row r="35" spans="1:18" s="395" customFormat="1" ht="13.8">
      <c r="A35" s="412"/>
      <c r="B35" s="436" t="s">
        <v>185</v>
      </c>
      <c r="C35" s="420" t="s">
        <v>850</v>
      </c>
      <c r="D35" s="413" t="s">
        <v>681</v>
      </c>
      <c r="E35" s="413">
        <f>(4+4+1+4+4+1)*1.1</f>
        <v>19.8</v>
      </c>
      <c r="F35" s="414">
        <v>49342.26528</v>
      </c>
      <c r="G35" s="368">
        <f>E35*F35</f>
        <v>976976.85254400002</v>
      </c>
      <c r="H35" s="374">
        <f>G35/'REKAP TOTAL'!F44</f>
        <v>8.0349497873687142E-5</v>
      </c>
      <c r="I35" s="421"/>
      <c r="J35" s="421"/>
      <c r="K35" s="421"/>
      <c r="L35" s="421"/>
      <c r="M35" s="421"/>
      <c r="N35" s="421"/>
      <c r="O35" s="421"/>
      <c r="P35" s="421"/>
      <c r="Q35" s="421"/>
      <c r="R35" s="421"/>
    </row>
    <row r="36" spans="1:18" s="395" customFormat="1" ht="12">
      <c r="A36" s="412"/>
      <c r="B36" s="437"/>
      <c r="C36" s="420" t="s">
        <v>786</v>
      </c>
      <c r="D36" s="413"/>
      <c r="E36" s="413"/>
      <c r="F36" s="414"/>
      <c r="G36" s="415"/>
      <c r="H36" s="421"/>
      <c r="I36" s="421"/>
      <c r="J36" s="421"/>
      <c r="K36" s="421"/>
      <c r="L36" s="421"/>
      <c r="M36" s="421"/>
      <c r="N36" s="421"/>
      <c r="O36" s="421"/>
      <c r="P36" s="421"/>
      <c r="Q36" s="421"/>
      <c r="R36" s="421"/>
    </row>
    <row r="37" spans="1:18" s="395" customFormat="1">
      <c r="A37" s="412"/>
      <c r="B37" s="437"/>
      <c r="C37" s="420"/>
      <c r="D37" s="413"/>
      <c r="E37" s="413"/>
      <c r="F37" s="414"/>
      <c r="G37" s="415"/>
      <c r="H37" s="421"/>
      <c r="I37" s="421"/>
      <c r="J37" s="421"/>
      <c r="K37" s="421"/>
      <c r="L37" s="421"/>
      <c r="M37" s="421"/>
      <c r="N37" s="421"/>
      <c r="O37" s="421"/>
      <c r="P37" s="421"/>
      <c r="Q37" s="421"/>
      <c r="R37" s="421"/>
    </row>
    <row r="38" spans="1:18" s="395" customFormat="1" ht="13.8">
      <c r="A38" s="412"/>
      <c r="B38" s="436" t="s">
        <v>188</v>
      </c>
      <c r="C38" s="420" t="s">
        <v>851</v>
      </c>
      <c r="D38" s="413" t="s">
        <v>681</v>
      </c>
      <c r="E38" s="413">
        <f>(9+4+1+11+4+1)*1.1</f>
        <v>33</v>
      </c>
      <c r="F38" s="414">
        <v>49342.26528</v>
      </c>
      <c r="G38" s="368">
        <f>E38*F38</f>
        <v>1628294.7542399999</v>
      </c>
      <c r="H38" s="374">
        <f>G38/'REKAP TOTAL'!F44</f>
        <v>1.3391582978947858E-4</v>
      </c>
      <c r="I38" s="421"/>
      <c r="J38" s="421"/>
      <c r="K38" s="421"/>
      <c r="L38" s="421"/>
      <c r="M38" s="421"/>
      <c r="N38" s="421"/>
      <c r="O38" s="421"/>
      <c r="P38" s="421"/>
      <c r="Q38" s="421"/>
      <c r="R38" s="421"/>
    </row>
    <row r="39" spans="1:18" s="395" customFormat="1" ht="12">
      <c r="A39" s="412"/>
      <c r="B39" s="437"/>
      <c r="C39" s="420" t="s">
        <v>786</v>
      </c>
      <c r="D39" s="413"/>
      <c r="E39" s="413"/>
      <c r="F39" s="414"/>
      <c r="G39" s="415"/>
      <c r="H39" s="421"/>
      <c r="I39" s="421"/>
      <c r="J39" s="421"/>
      <c r="K39" s="421"/>
      <c r="L39" s="421"/>
      <c r="M39" s="421"/>
      <c r="N39" s="421"/>
      <c r="O39" s="421"/>
      <c r="P39" s="421"/>
      <c r="Q39" s="421"/>
      <c r="R39" s="421"/>
    </row>
    <row r="40" spans="1:18" s="395" customFormat="1">
      <c r="A40" s="412"/>
      <c r="B40" s="437"/>
      <c r="C40" s="420"/>
      <c r="D40" s="413"/>
      <c r="E40" s="413"/>
      <c r="F40" s="414"/>
      <c r="G40" s="415"/>
      <c r="H40" s="421"/>
      <c r="I40" s="421"/>
      <c r="J40" s="421"/>
      <c r="K40" s="421"/>
      <c r="L40" s="421"/>
      <c r="M40" s="421"/>
      <c r="N40" s="421"/>
      <c r="O40" s="421"/>
      <c r="P40" s="421"/>
      <c r="Q40" s="421"/>
      <c r="R40" s="421"/>
    </row>
    <row r="41" spans="1:18" s="396" customFormat="1" ht="12">
      <c r="A41" s="431"/>
      <c r="B41" s="432">
        <v>2</v>
      </c>
      <c r="C41" s="433" t="s">
        <v>852</v>
      </c>
      <c r="D41" s="434"/>
      <c r="E41" s="434"/>
      <c r="F41" s="414"/>
      <c r="G41" s="415"/>
      <c r="H41" s="435"/>
      <c r="I41" s="435"/>
      <c r="J41" s="435"/>
      <c r="K41" s="435"/>
      <c r="L41" s="435"/>
      <c r="M41" s="435"/>
      <c r="N41" s="435"/>
      <c r="O41" s="435"/>
      <c r="P41" s="435"/>
      <c r="Q41" s="435"/>
      <c r="R41" s="435"/>
    </row>
    <row r="42" spans="1:18" s="395" customFormat="1">
      <c r="A42" s="412"/>
      <c r="B42" s="429"/>
      <c r="C42" s="420"/>
      <c r="D42" s="413"/>
      <c r="E42" s="413"/>
      <c r="F42" s="414"/>
      <c r="G42" s="415"/>
      <c r="H42" s="421"/>
      <c r="I42" s="421"/>
      <c r="J42" s="421"/>
      <c r="K42" s="421"/>
      <c r="L42" s="421"/>
      <c r="M42" s="421"/>
      <c r="N42" s="421"/>
      <c r="O42" s="421"/>
      <c r="P42" s="421"/>
      <c r="Q42" s="421"/>
      <c r="R42" s="421"/>
    </row>
    <row r="43" spans="1:18" s="395" customFormat="1" ht="13.8">
      <c r="A43" s="412"/>
      <c r="B43" s="436" t="s">
        <v>185</v>
      </c>
      <c r="C43" s="420" t="s">
        <v>853</v>
      </c>
      <c r="D43" s="413" t="s">
        <v>681</v>
      </c>
      <c r="E43" s="413">
        <f>(50+4+4)*1.1</f>
        <v>63.8</v>
      </c>
      <c r="F43" s="414">
        <v>74356.671589200007</v>
      </c>
      <c r="G43" s="368">
        <f>E43*F43</f>
        <v>4743955.6473909598</v>
      </c>
      <c r="H43" s="374">
        <f>G43/'REKAP TOTAL'!F44</f>
        <v>3.9015709861533196E-4</v>
      </c>
      <c r="I43" s="421"/>
      <c r="J43" s="421"/>
      <c r="K43" s="421"/>
      <c r="L43" s="421"/>
      <c r="M43" s="421"/>
      <c r="N43" s="421"/>
      <c r="O43" s="421"/>
      <c r="P43" s="421"/>
      <c r="Q43" s="421"/>
      <c r="R43" s="421"/>
    </row>
    <row r="44" spans="1:18" s="395" customFormat="1" ht="12">
      <c r="A44" s="412"/>
      <c r="B44" s="437"/>
      <c r="C44" s="420" t="s">
        <v>854</v>
      </c>
      <c r="D44" s="413"/>
      <c r="E44" s="413"/>
      <c r="F44" s="414"/>
      <c r="G44" s="415"/>
      <c r="H44" s="421"/>
      <c r="I44" s="421"/>
      <c r="J44" s="421"/>
      <c r="K44" s="421"/>
      <c r="L44" s="421"/>
      <c r="M44" s="421"/>
      <c r="N44" s="421"/>
      <c r="O44" s="421"/>
      <c r="P44" s="421"/>
      <c r="Q44" s="421"/>
      <c r="R44" s="421"/>
    </row>
    <row r="45" spans="1:18" s="395" customFormat="1">
      <c r="A45" s="412"/>
      <c r="B45" s="437"/>
      <c r="C45" s="420"/>
      <c r="D45" s="413"/>
      <c r="E45" s="413"/>
      <c r="F45" s="414"/>
      <c r="G45" s="415"/>
      <c r="H45" s="421"/>
      <c r="I45" s="421"/>
      <c r="J45" s="421"/>
      <c r="K45" s="421"/>
      <c r="L45" s="421"/>
      <c r="M45" s="421"/>
      <c r="N45" s="421"/>
      <c r="O45" s="421"/>
      <c r="P45" s="421"/>
      <c r="Q45" s="421"/>
      <c r="R45" s="421"/>
    </row>
    <row r="46" spans="1:18" s="395" customFormat="1" ht="13.8">
      <c r="A46" s="412"/>
      <c r="B46" s="436" t="s">
        <v>188</v>
      </c>
      <c r="C46" s="420" t="s">
        <v>855</v>
      </c>
      <c r="D46" s="413" t="s">
        <v>681</v>
      </c>
      <c r="E46" s="413">
        <f>(46+4+4)*1.1</f>
        <v>59.4</v>
      </c>
      <c r="F46" s="414">
        <v>74356.671589200007</v>
      </c>
      <c r="G46" s="368">
        <f>E46*F46</f>
        <v>4416786.2923984798</v>
      </c>
      <c r="H46" s="374">
        <f>G46/'REKAP TOTAL'!F44</f>
        <v>3.6324971250392978E-4</v>
      </c>
      <c r="I46" s="421"/>
      <c r="J46" s="421"/>
      <c r="K46" s="421"/>
      <c r="L46" s="421"/>
      <c r="M46" s="421"/>
      <c r="N46" s="421"/>
      <c r="O46" s="421"/>
      <c r="P46" s="421"/>
      <c r="Q46" s="421"/>
      <c r="R46" s="421"/>
    </row>
    <row r="47" spans="1:18" s="395" customFormat="1" ht="12">
      <c r="A47" s="412"/>
      <c r="B47" s="437"/>
      <c r="C47" s="420" t="s">
        <v>854</v>
      </c>
      <c r="D47" s="413"/>
      <c r="E47" s="413"/>
      <c r="F47" s="414"/>
      <c r="G47" s="415"/>
      <c r="H47" s="421"/>
      <c r="I47" s="421"/>
      <c r="J47" s="421"/>
      <c r="K47" s="421"/>
      <c r="L47" s="421"/>
      <c r="M47" s="421"/>
      <c r="N47" s="421"/>
      <c r="O47" s="421"/>
      <c r="P47" s="421"/>
      <c r="Q47" s="421"/>
      <c r="R47" s="421"/>
    </row>
    <row r="48" spans="1:18" s="395" customFormat="1">
      <c r="A48" s="412"/>
      <c r="B48" s="437"/>
      <c r="C48" s="420"/>
      <c r="D48" s="413"/>
      <c r="E48" s="413"/>
      <c r="F48" s="414"/>
      <c r="G48" s="415"/>
      <c r="H48" s="421"/>
      <c r="I48" s="421"/>
      <c r="J48" s="421"/>
      <c r="K48" s="421"/>
      <c r="L48" s="421"/>
      <c r="M48" s="421"/>
      <c r="N48" s="421"/>
      <c r="O48" s="421"/>
      <c r="P48" s="421"/>
      <c r="Q48" s="421"/>
      <c r="R48" s="421"/>
    </row>
    <row r="49" spans="1:18" s="395" customFormat="1">
      <c r="A49" s="412"/>
      <c r="B49" s="429"/>
      <c r="C49" s="429"/>
      <c r="D49" s="413"/>
      <c r="E49" s="413"/>
      <c r="F49" s="414"/>
      <c r="G49" s="415"/>
      <c r="H49" s="421"/>
      <c r="I49" s="421"/>
      <c r="J49" s="421"/>
      <c r="K49" s="421"/>
      <c r="L49" s="421"/>
      <c r="M49" s="421"/>
      <c r="N49" s="421"/>
      <c r="O49" s="421"/>
      <c r="P49" s="421"/>
      <c r="Q49" s="421"/>
      <c r="R49" s="421"/>
    </row>
    <row r="50" spans="1:18" ht="12">
      <c r="A50" s="364" t="s">
        <v>24</v>
      </c>
      <c r="B50" s="365" t="s">
        <v>805</v>
      </c>
      <c r="C50" s="366"/>
      <c r="D50" s="355"/>
      <c r="E50" s="355"/>
      <c r="F50" s="367"/>
      <c r="G50" s="368"/>
      <c r="H50" s="425"/>
      <c r="I50" s="425"/>
      <c r="J50" s="425"/>
      <c r="K50" s="425"/>
      <c r="L50" s="425"/>
      <c r="M50" s="425"/>
      <c r="N50" s="425"/>
      <c r="O50" s="425"/>
      <c r="P50" s="425"/>
      <c r="Q50" s="425"/>
      <c r="R50" s="425"/>
    </row>
    <row r="51" spans="1:18">
      <c r="A51" s="369"/>
      <c r="B51" s="370" t="s">
        <v>806</v>
      </c>
      <c r="C51" s="366"/>
      <c r="D51" s="369"/>
      <c r="E51" s="355"/>
      <c r="F51" s="367"/>
      <c r="G51" s="368"/>
      <c r="H51" s="425"/>
      <c r="I51" s="425"/>
      <c r="J51" s="425"/>
      <c r="K51" s="425"/>
      <c r="L51" s="425"/>
      <c r="M51" s="425"/>
      <c r="N51" s="425"/>
      <c r="O51" s="425"/>
      <c r="P51" s="425"/>
      <c r="Q51" s="425"/>
      <c r="R51" s="425"/>
    </row>
    <row r="52" spans="1:18">
      <c r="A52" s="369"/>
      <c r="B52" s="370" t="s">
        <v>807</v>
      </c>
      <c r="C52" s="366"/>
      <c r="D52" s="369"/>
      <c r="E52" s="355"/>
      <c r="F52" s="367"/>
      <c r="G52" s="368"/>
      <c r="H52" s="425"/>
      <c r="I52" s="425"/>
      <c r="J52" s="425"/>
      <c r="K52" s="425"/>
      <c r="L52" s="425"/>
      <c r="M52" s="425"/>
      <c r="N52" s="425"/>
      <c r="O52" s="425"/>
      <c r="P52" s="425"/>
      <c r="Q52" s="425"/>
      <c r="R52" s="425"/>
    </row>
    <row r="53" spans="1:18">
      <c r="A53" s="369"/>
      <c r="B53" s="370" t="s">
        <v>808</v>
      </c>
      <c r="C53" s="366"/>
      <c r="D53" s="369"/>
      <c r="E53" s="355"/>
      <c r="F53" s="367"/>
      <c r="G53" s="368"/>
      <c r="H53" s="425"/>
      <c r="I53" s="425"/>
      <c r="J53" s="425"/>
      <c r="K53" s="425"/>
      <c r="L53" s="425"/>
      <c r="M53" s="425"/>
      <c r="N53" s="425"/>
      <c r="O53" s="425"/>
      <c r="P53" s="425"/>
      <c r="Q53" s="425"/>
      <c r="R53" s="425"/>
    </row>
    <row r="54" spans="1:18">
      <c r="A54" s="369"/>
      <c r="B54" s="370" t="s">
        <v>809</v>
      </c>
      <c r="C54" s="366"/>
      <c r="D54" s="369"/>
      <c r="E54" s="355"/>
      <c r="F54" s="367"/>
      <c r="G54" s="368"/>
      <c r="H54" s="425"/>
      <c r="I54" s="425"/>
      <c r="J54" s="425"/>
      <c r="K54" s="425"/>
      <c r="L54" s="425"/>
      <c r="M54" s="425"/>
      <c r="N54" s="425"/>
      <c r="O54" s="425"/>
      <c r="P54" s="425"/>
      <c r="Q54" s="425"/>
      <c r="R54" s="425"/>
    </row>
    <row r="55" spans="1:18">
      <c r="A55" s="369"/>
      <c r="B55" s="370" t="s">
        <v>810</v>
      </c>
      <c r="C55" s="354"/>
      <c r="D55" s="355"/>
      <c r="E55" s="355"/>
      <c r="F55" s="367"/>
      <c r="G55" s="368"/>
      <c r="H55" s="425"/>
      <c r="I55" s="425"/>
      <c r="J55" s="425"/>
      <c r="K55" s="425"/>
      <c r="L55" s="425"/>
      <c r="M55" s="425"/>
      <c r="N55" s="425"/>
      <c r="O55" s="425"/>
      <c r="P55" s="425"/>
      <c r="Q55" s="425"/>
      <c r="R55" s="425"/>
    </row>
    <row r="56" spans="1:18">
      <c r="A56" s="369"/>
      <c r="B56" s="371"/>
      <c r="C56" s="354"/>
      <c r="D56" s="355"/>
      <c r="E56" s="355"/>
      <c r="F56" s="367"/>
      <c r="G56" s="368"/>
      <c r="H56" s="425"/>
      <c r="I56" s="425"/>
      <c r="J56" s="425"/>
      <c r="K56" s="425"/>
      <c r="L56" s="425"/>
      <c r="M56" s="425"/>
      <c r="N56" s="425"/>
      <c r="O56" s="425"/>
      <c r="P56" s="425"/>
      <c r="Q56" s="425"/>
      <c r="R56" s="425"/>
    </row>
    <row r="57" spans="1:18" s="328" customFormat="1">
      <c r="A57" s="369"/>
      <c r="B57" s="370" t="s">
        <v>856</v>
      </c>
      <c r="C57" s="354"/>
      <c r="D57" s="355"/>
      <c r="E57" s="355"/>
      <c r="F57" s="367"/>
      <c r="G57" s="368"/>
      <c r="H57" s="423"/>
      <c r="I57" s="423"/>
      <c r="J57" s="423"/>
      <c r="K57" s="423"/>
      <c r="L57" s="423"/>
      <c r="M57" s="423"/>
      <c r="N57" s="423"/>
      <c r="O57" s="423"/>
      <c r="P57" s="423"/>
      <c r="Q57" s="423"/>
      <c r="R57" s="423"/>
    </row>
    <row r="58" spans="1:18" s="328" customFormat="1">
      <c r="A58" s="369"/>
      <c r="B58" s="371"/>
      <c r="C58" s="354"/>
      <c r="D58" s="355"/>
      <c r="E58" s="355"/>
      <c r="F58" s="367"/>
      <c r="G58" s="368"/>
      <c r="H58" s="423"/>
      <c r="I58" s="423"/>
      <c r="J58" s="423"/>
      <c r="K58" s="423"/>
      <c r="L58" s="423"/>
      <c r="M58" s="423"/>
      <c r="N58" s="423"/>
      <c r="O58" s="423"/>
      <c r="P58" s="423"/>
      <c r="Q58" s="423"/>
      <c r="R58" s="423"/>
    </row>
    <row r="59" spans="1:18" s="395" customFormat="1" ht="13.8">
      <c r="A59" s="438"/>
      <c r="B59" s="429"/>
      <c r="C59" s="429" t="s">
        <v>812</v>
      </c>
      <c r="D59" s="413" t="s">
        <v>262</v>
      </c>
      <c r="E59" s="413">
        <v>16</v>
      </c>
      <c r="F59" s="414">
        <v>533929.93500000006</v>
      </c>
      <c r="G59" s="368">
        <f>E59*F59</f>
        <v>8542878.9600000009</v>
      </c>
      <c r="H59" s="374">
        <f>G59/'REKAP TOTAL'!F44</f>
        <v>7.0259191202359903E-4</v>
      </c>
      <c r="I59" s="421"/>
      <c r="J59" s="421"/>
      <c r="K59" s="421"/>
      <c r="L59" s="421"/>
      <c r="M59" s="421"/>
      <c r="N59" s="421"/>
      <c r="O59" s="421"/>
      <c r="P59" s="421"/>
      <c r="Q59" s="421"/>
      <c r="R59" s="421"/>
    </row>
    <row r="60" spans="1:18" s="395" customFormat="1">
      <c r="A60" s="438"/>
      <c r="B60" s="429"/>
      <c r="C60" s="429" t="s">
        <v>813</v>
      </c>
      <c r="D60" s="413"/>
      <c r="E60" s="413"/>
      <c r="F60" s="414"/>
      <c r="G60" s="415"/>
      <c r="H60" s="421"/>
      <c r="I60" s="421"/>
      <c r="J60" s="421"/>
      <c r="K60" s="421"/>
      <c r="L60" s="421"/>
      <c r="M60" s="421"/>
      <c r="N60" s="421"/>
      <c r="O60" s="421"/>
      <c r="P60" s="421"/>
      <c r="Q60" s="421"/>
      <c r="R60" s="421"/>
    </row>
    <row r="61" spans="1:18" s="395" customFormat="1">
      <c r="A61" s="438"/>
      <c r="B61" s="429"/>
      <c r="C61" s="429"/>
      <c r="D61" s="413"/>
      <c r="E61" s="413"/>
      <c r="F61" s="414"/>
      <c r="G61" s="415"/>
      <c r="H61" s="421"/>
      <c r="I61" s="421"/>
      <c r="J61" s="421"/>
      <c r="K61" s="421"/>
      <c r="L61" s="421"/>
      <c r="M61" s="421"/>
      <c r="N61" s="421"/>
      <c r="O61" s="421"/>
      <c r="P61" s="421"/>
      <c r="Q61" s="421"/>
      <c r="R61" s="421"/>
    </row>
    <row r="62" spans="1:18" s="328" customFormat="1" ht="12" customHeight="1">
      <c r="A62" s="373"/>
      <c r="B62" s="371"/>
      <c r="C62" s="375" t="s">
        <v>815</v>
      </c>
      <c r="D62" s="355" t="s">
        <v>262</v>
      </c>
      <c r="E62" s="355">
        <v>3</v>
      </c>
      <c r="F62" s="439">
        <v>338389.98736726597</v>
      </c>
      <c r="G62" s="368">
        <f>E62*F62</f>
        <v>1015169.9621018</v>
      </c>
      <c r="H62" s="374">
        <f>G62/'REKAP TOTAL'!F44</f>
        <v>8.3490613415179208E-5</v>
      </c>
      <c r="I62" s="423"/>
      <c r="J62" s="423"/>
      <c r="K62" s="423"/>
      <c r="L62" s="423"/>
      <c r="M62" s="423"/>
      <c r="N62" s="423"/>
      <c r="O62" s="423"/>
      <c r="P62" s="423"/>
      <c r="Q62" s="423"/>
      <c r="R62" s="423"/>
    </row>
    <row r="63" spans="1:18" s="328" customFormat="1">
      <c r="A63" s="373"/>
      <c r="B63" s="371"/>
      <c r="C63" s="371" t="s">
        <v>813</v>
      </c>
      <c r="D63" s="355"/>
      <c r="E63" s="355"/>
      <c r="F63" s="367"/>
      <c r="G63" s="368"/>
      <c r="H63" s="423"/>
      <c r="I63" s="423"/>
      <c r="J63" s="423"/>
      <c r="K63" s="423"/>
      <c r="L63" s="423"/>
      <c r="M63" s="423"/>
      <c r="N63" s="423"/>
      <c r="O63" s="423"/>
      <c r="P63" s="423"/>
      <c r="Q63" s="423"/>
      <c r="R63" s="423"/>
    </row>
    <row r="64" spans="1:18" s="328" customFormat="1">
      <c r="A64" s="373"/>
      <c r="B64" s="363"/>
      <c r="C64" s="354"/>
      <c r="D64" s="355"/>
      <c r="E64" s="355"/>
      <c r="F64" s="367"/>
      <c r="G64" s="368"/>
      <c r="H64" s="423"/>
      <c r="I64" s="423"/>
      <c r="J64" s="423"/>
      <c r="K64" s="423"/>
      <c r="L64" s="423"/>
      <c r="M64" s="423"/>
      <c r="N64" s="423"/>
      <c r="O64" s="423"/>
      <c r="P64" s="423"/>
      <c r="Q64" s="423"/>
      <c r="R64" s="423"/>
    </row>
    <row r="65" spans="1:18" s="328" customFormat="1" ht="13.8">
      <c r="A65" s="373"/>
      <c r="B65" s="363"/>
      <c r="C65" s="354" t="s">
        <v>816</v>
      </c>
      <c r="D65" s="355" t="s">
        <v>262</v>
      </c>
      <c r="E65" s="355">
        <v>2</v>
      </c>
      <c r="F65" s="440">
        <v>399543.375</v>
      </c>
      <c r="G65" s="368">
        <f>E65*F65</f>
        <v>799086.75</v>
      </c>
      <c r="H65" s="374">
        <f>G65/'REKAP TOTAL'!F44</f>
        <v>6.5719283883570743E-5</v>
      </c>
      <c r="I65" s="423"/>
      <c r="J65" s="423"/>
      <c r="K65" s="423"/>
      <c r="L65" s="423"/>
      <c r="M65" s="423"/>
      <c r="N65" s="423"/>
      <c r="O65" s="423"/>
      <c r="P65" s="423"/>
      <c r="Q65" s="423"/>
      <c r="R65" s="423"/>
    </row>
    <row r="66" spans="1:18" s="328" customFormat="1">
      <c r="A66" s="373"/>
      <c r="B66" s="363"/>
      <c r="C66" s="354" t="s">
        <v>813</v>
      </c>
      <c r="D66" s="355"/>
      <c r="E66" s="355"/>
      <c r="F66" s="367"/>
      <c r="G66" s="441"/>
      <c r="H66" s="423"/>
      <c r="I66" s="423"/>
      <c r="J66" s="423"/>
      <c r="K66" s="423"/>
      <c r="L66" s="423"/>
      <c r="M66" s="423"/>
      <c r="N66" s="423"/>
      <c r="O66" s="423"/>
      <c r="P66" s="423"/>
      <c r="Q66" s="423"/>
      <c r="R66" s="423"/>
    </row>
    <row r="67" spans="1:18">
      <c r="A67" s="373"/>
      <c r="B67" s="371"/>
      <c r="C67" s="354"/>
      <c r="D67" s="355"/>
      <c r="E67" s="355"/>
      <c r="F67" s="367"/>
      <c r="G67" s="441"/>
      <c r="H67" s="425"/>
      <c r="I67" s="425"/>
      <c r="J67" s="425"/>
      <c r="K67" s="425"/>
      <c r="L67" s="425"/>
      <c r="M67" s="425"/>
      <c r="N67" s="425"/>
      <c r="O67" s="425"/>
      <c r="P67" s="425"/>
      <c r="Q67" s="425"/>
      <c r="R67" s="425"/>
    </row>
    <row r="68" spans="1:18" s="328" customFormat="1" ht="12.75" customHeight="1">
      <c r="A68" s="373"/>
      <c r="B68" s="371"/>
      <c r="C68" s="371" t="s">
        <v>820</v>
      </c>
      <c r="D68" s="355" t="s">
        <v>262</v>
      </c>
      <c r="E68" s="355">
        <v>4</v>
      </c>
      <c r="F68" s="377">
        <v>65326.8</v>
      </c>
      <c r="G68" s="368">
        <f>E68*F68</f>
        <v>261307.2</v>
      </c>
      <c r="H68" s="374">
        <f>G68/'REKAP TOTAL'!F44</f>
        <v>2.1490685532729703E-5</v>
      </c>
      <c r="I68" s="423"/>
      <c r="J68" s="423"/>
      <c r="K68" s="423"/>
      <c r="L68" s="423"/>
      <c r="M68" s="423"/>
      <c r="N68" s="423"/>
      <c r="O68" s="423"/>
      <c r="P68" s="423"/>
      <c r="Q68" s="423"/>
      <c r="R68" s="423"/>
    </row>
    <row r="69" spans="1:18" s="328" customFormat="1">
      <c r="A69" s="373"/>
      <c r="B69" s="371"/>
      <c r="C69" s="371"/>
      <c r="D69" s="355"/>
      <c r="E69" s="355"/>
      <c r="F69" s="367"/>
      <c r="G69" s="368"/>
      <c r="H69" s="423"/>
      <c r="I69" s="423"/>
      <c r="J69" s="423"/>
      <c r="K69" s="423"/>
      <c r="L69" s="423"/>
      <c r="M69" s="423"/>
      <c r="N69" s="423"/>
      <c r="O69" s="423"/>
      <c r="P69" s="423"/>
      <c r="Q69" s="423"/>
      <c r="R69" s="423"/>
    </row>
    <row r="70" spans="1:18" s="328" customFormat="1" ht="13.8">
      <c r="A70" s="373"/>
      <c r="B70" s="371"/>
      <c r="C70" s="371" t="s">
        <v>821</v>
      </c>
      <c r="D70" s="355" t="s">
        <v>262</v>
      </c>
      <c r="E70" s="355">
        <v>3</v>
      </c>
      <c r="F70" s="367">
        <v>71159.55</v>
      </c>
      <c r="G70" s="368">
        <f>E70*F70</f>
        <v>213478.65</v>
      </c>
      <c r="H70" s="374">
        <f>G70/'REKAP TOTAL'!F44</f>
        <v>1.7557122555756855E-5</v>
      </c>
      <c r="I70" s="423"/>
      <c r="J70" s="423"/>
      <c r="K70" s="423"/>
      <c r="L70" s="423"/>
      <c r="M70" s="423"/>
      <c r="N70" s="423"/>
      <c r="O70" s="423"/>
      <c r="P70" s="423"/>
      <c r="Q70" s="423"/>
      <c r="R70" s="423"/>
    </row>
    <row r="71" spans="1:18" s="328" customFormat="1">
      <c r="A71" s="373"/>
      <c r="B71" s="371"/>
      <c r="C71" s="371"/>
      <c r="D71" s="355"/>
      <c r="E71" s="355"/>
      <c r="F71" s="367"/>
      <c r="G71" s="368"/>
      <c r="H71" s="423"/>
      <c r="I71" s="423"/>
      <c r="J71" s="423"/>
      <c r="K71" s="423"/>
      <c r="L71" s="423"/>
      <c r="M71" s="423"/>
      <c r="N71" s="423"/>
      <c r="O71" s="423"/>
      <c r="P71" s="423"/>
      <c r="Q71" s="423"/>
      <c r="R71" s="423"/>
    </row>
    <row r="72" spans="1:18" s="328" customFormat="1" ht="13.8">
      <c r="A72" s="373"/>
      <c r="B72" s="371"/>
      <c r="C72" s="371" t="s">
        <v>823</v>
      </c>
      <c r="D72" s="355" t="s">
        <v>179</v>
      </c>
      <c r="E72" s="355">
        <f>SUM(E59:E66)</f>
        <v>21</v>
      </c>
      <c r="F72" s="367">
        <v>334799.84999999998</v>
      </c>
      <c r="G72" s="368">
        <f>E72*F72</f>
        <v>7030796.8499999996</v>
      </c>
      <c r="H72" s="374">
        <f>G72/'REKAP TOTAL'!F44</f>
        <v>5.7823375761500853E-4</v>
      </c>
      <c r="I72" s="423"/>
      <c r="J72" s="423"/>
      <c r="K72" s="423"/>
      <c r="L72" s="423"/>
      <c r="M72" s="423"/>
      <c r="N72" s="423"/>
      <c r="O72" s="423"/>
      <c r="P72" s="423"/>
      <c r="Q72" s="423"/>
      <c r="R72" s="423"/>
    </row>
    <row r="73" spans="1:18" s="328" customFormat="1">
      <c r="A73" s="373"/>
      <c r="B73" s="371"/>
      <c r="C73" s="371" t="s">
        <v>824</v>
      </c>
      <c r="D73" s="355"/>
      <c r="E73" s="355"/>
      <c r="F73" s="367"/>
      <c r="G73" s="368"/>
      <c r="H73" s="423"/>
      <c r="I73" s="423"/>
      <c r="J73" s="423"/>
      <c r="K73" s="423"/>
      <c r="L73" s="423"/>
      <c r="M73" s="423"/>
      <c r="N73" s="423"/>
      <c r="O73" s="423"/>
      <c r="P73" s="423"/>
      <c r="Q73" s="423"/>
      <c r="R73" s="423"/>
    </row>
    <row r="74" spans="1:18" s="328" customFormat="1">
      <c r="A74" s="373"/>
      <c r="B74" s="371"/>
      <c r="C74" s="371"/>
      <c r="D74" s="355"/>
      <c r="E74" s="355"/>
      <c r="F74" s="367"/>
      <c r="G74" s="368"/>
      <c r="H74" s="423"/>
      <c r="I74" s="423"/>
      <c r="J74" s="423"/>
      <c r="K74" s="423"/>
      <c r="L74" s="423"/>
      <c r="M74" s="423"/>
      <c r="N74" s="423"/>
      <c r="O74" s="423"/>
      <c r="P74" s="423"/>
      <c r="Q74" s="423"/>
      <c r="R74" s="423"/>
    </row>
    <row r="75" spans="1:18" s="328" customFormat="1" ht="13.8">
      <c r="A75" s="373"/>
      <c r="B75" s="371"/>
      <c r="C75" s="371" t="s">
        <v>826</v>
      </c>
      <c r="D75" s="355" t="s">
        <v>262</v>
      </c>
      <c r="E75" s="355">
        <v>5</v>
      </c>
      <c r="F75" s="367">
        <v>87491.25</v>
      </c>
      <c r="G75" s="368">
        <f>E75*F75</f>
        <v>437456.25</v>
      </c>
      <c r="H75" s="374">
        <f>G75/'REKAP TOTAL'!F44</f>
        <v>3.5977710155239462E-5</v>
      </c>
      <c r="I75" s="423"/>
      <c r="J75" s="423"/>
      <c r="K75" s="423"/>
      <c r="L75" s="423"/>
      <c r="M75" s="423"/>
      <c r="N75" s="423"/>
      <c r="O75" s="423"/>
      <c r="P75" s="423"/>
      <c r="Q75" s="423"/>
      <c r="R75" s="423"/>
    </row>
    <row r="76" spans="1:18" s="328" customFormat="1">
      <c r="A76" s="373"/>
      <c r="B76" s="371"/>
      <c r="C76" s="371"/>
      <c r="D76" s="355"/>
      <c r="E76" s="355"/>
      <c r="F76" s="367"/>
      <c r="G76" s="368"/>
      <c r="H76" s="423"/>
      <c r="I76" s="423"/>
      <c r="J76" s="423"/>
      <c r="K76" s="423"/>
      <c r="L76" s="423"/>
      <c r="M76" s="423"/>
      <c r="N76" s="423"/>
      <c r="O76" s="423"/>
      <c r="P76" s="423"/>
      <c r="Q76" s="423"/>
      <c r="R76" s="423"/>
    </row>
    <row r="77" spans="1:18" s="328" customFormat="1" ht="13.8">
      <c r="A77" s="373"/>
      <c r="B77" s="371"/>
      <c r="C77" s="371" t="s">
        <v>857</v>
      </c>
      <c r="D77" s="355" t="s">
        <v>262</v>
      </c>
      <c r="E77" s="355">
        <v>2</v>
      </c>
      <c r="F77" s="367">
        <v>524947.5</v>
      </c>
      <c r="G77" s="368">
        <f>E77*F77</f>
        <v>1049895</v>
      </c>
      <c r="H77" s="374">
        <f>G77/'REKAP TOTAL'!F44</f>
        <v>8.6346504372574701E-5</v>
      </c>
      <c r="I77" s="423"/>
      <c r="J77" s="423"/>
      <c r="K77" s="423"/>
      <c r="L77" s="423"/>
      <c r="M77" s="423"/>
      <c r="N77" s="423"/>
      <c r="O77" s="423"/>
      <c r="P77" s="423"/>
      <c r="Q77" s="423"/>
      <c r="R77" s="423"/>
    </row>
    <row r="78" spans="1:18" s="328" customFormat="1">
      <c r="A78" s="373"/>
      <c r="B78" s="371"/>
      <c r="C78" s="371"/>
      <c r="D78" s="355"/>
      <c r="E78" s="355"/>
      <c r="F78" s="367"/>
      <c r="G78" s="368"/>
      <c r="H78" s="423"/>
      <c r="I78" s="423"/>
      <c r="J78" s="423"/>
      <c r="K78" s="423"/>
      <c r="L78" s="423"/>
      <c r="M78" s="423"/>
      <c r="N78" s="423"/>
      <c r="O78" s="423"/>
      <c r="P78" s="423"/>
      <c r="Q78" s="423"/>
      <c r="R78" s="423"/>
    </row>
    <row r="79" spans="1:18" s="328" customFormat="1" ht="13.8">
      <c r="A79" s="373"/>
      <c r="B79" s="371"/>
      <c r="C79" s="371" t="s">
        <v>830</v>
      </c>
      <c r="D79" s="355" t="s">
        <v>179</v>
      </c>
      <c r="E79" s="355">
        <f>SUM(E75:E76)</f>
        <v>5</v>
      </c>
      <c r="F79" s="367">
        <v>381461.85</v>
      </c>
      <c r="G79" s="368">
        <f>E79*F79</f>
        <v>1907309.25</v>
      </c>
      <c r="H79" s="374">
        <f>G79/'REKAP TOTAL'!F44</f>
        <v>1.5686281627684404E-4</v>
      </c>
      <c r="I79" s="423"/>
      <c r="J79" s="423"/>
      <c r="K79" s="423"/>
      <c r="L79" s="423"/>
      <c r="M79" s="423"/>
      <c r="N79" s="423"/>
      <c r="O79" s="423"/>
      <c r="P79" s="423"/>
      <c r="Q79" s="423"/>
      <c r="R79" s="423"/>
    </row>
    <row r="80" spans="1:18" s="328" customFormat="1" ht="12">
      <c r="A80" s="373"/>
      <c r="B80" s="371"/>
      <c r="C80" s="371" t="s">
        <v>831</v>
      </c>
      <c r="D80" s="355"/>
      <c r="E80" s="355"/>
      <c r="F80" s="367"/>
      <c r="G80" s="368"/>
      <c r="H80" s="423"/>
      <c r="I80" s="423"/>
      <c r="J80" s="423"/>
      <c r="K80" s="423"/>
      <c r="L80" s="423"/>
      <c r="M80" s="423"/>
      <c r="N80" s="423"/>
      <c r="O80" s="423"/>
      <c r="P80" s="423"/>
      <c r="Q80" s="423"/>
      <c r="R80" s="423"/>
    </row>
    <row r="81" spans="1:18" s="328" customFormat="1">
      <c r="A81" s="373"/>
      <c r="B81" s="371"/>
      <c r="C81" s="371"/>
      <c r="D81" s="355"/>
      <c r="E81" s="355"/>
      <c r="F81" s="367"/>
      <c r="G81" s="368"/>
      <c r="H81" s="423"/>
      <c r="I81" s="423"/>
      <c r="J81" s="423"/>
      <c r="K81" s="423"/>
      <c r="L81" s="423"/>
      <c r="M81" s="423"/>
      <c r="N81" s="423"/>
      <c r="O81" s="423"/>
      <c r="P81" s="423"/>
      <c r="Q81" s="423"/>
      <c r="R81" s="423"/>
    </row>
    <row r="82" spans="1:18" s="328" customFormat="1" ht="13.8">
      <c r="A82" s="373"/>
      <c r="B82" s="371"/>
      <c r="C82" s="371" t="s">
        <v>830</v>
      </c>
      <c r="D82" s="355" t="s">
        <v>179</v>
      </c>
      <c r="E82" s="355">
        <f>SUM(E77:E78)</f>
        <v>2</v>
      </c>
      <c r="F82" s="367">
        <v>614771.85</v>
      </c>
      <c r="G82" s="368">
        <f>E82*F82</f>
        <v>1229543.7</v>
      </c>
      <c r="H82" s="374">
        <f>G82/'REKAP TOTAL'!F44</f>
        <v>1.0112135067632637E-4</v>
      </c>
      <c r="I82" s="423"/>
      <c r="J82" s="423"/>
      <c r="K82" s="423"/>
      <c r="L82" s="423"/>
      <c r="M82" s="423"/>
      <c r="N82" s="423"/>
      <c r="O82" s="423"/>
      <c r="P82" s="423"/>
      <c r="Q82" s="423"/>
      <c r="R82" s="423"/>
    </row>
    <row r="83" spans="1:18" s="328" customFormat="1" ht="12">
      <c r="A83" s="373"/>
      <c r="B83" s="371"/>
      <c r="C83" s="354" t="s">
        <v>854</v>
      </c>
      <c r="D83" s="355"/>
      <c r="E83" s="355"/>
      <c r="F83" s="367"/>
      <c r="G83" s="368"/>
      <c r="H83" s="423"/>
      <c r="I83" s="423"/>
      <c r="J83" s="423"/>
      <c r="K83" s="423"/>
      <c r="L83" s="423"/>
      <c r="M83" s="423"/>
      <c r="N83" s="423"/>
      <c r="O83" s="423"/>
      <c r="P83" s="423"/>
      <c r="Q83" s="423"/>
      <c r="R83" s="423"/>
    </row>
    <row r="84" spans="1:18" s="328" customFormat="1">
      <c r="A84" s="373"/>
      <c r="B84" s="371"/>
      <c r="C84" s="371"/>
      <c r="D84" s="355"/>
      <c r="E84" s="355"/>
      <c r="F84" s="367"/>
      <c r="G84" s="368"/>
      <c r="H84" s="423"/>
      <c r="I84" s="423"/>
      <c r="J84" s="423"/>
      <c r="K84" s="423"/>
      <c r="L84" s="423"/>
      <c r="M84" s="423"/>
      <c r="N84" s="423"/>
      <c r="O84" s="423"/>
      <c r="P84" s="423"/>
      <c r="Q84" s="423"/>
      <c r="R84" s="423"/>
    </row>
    <row r="85" spans="1:18" s="328" customFormat="1" ht="13.8">
      <c r="A85" s="373"/>
      <c r="B85" s="371"/>
      <c r="C85" s="442" t="s">
        <v>858</v>
      </c>
      <c r="D85" s="355" t="s">
        <v>179</v>
      </c>
      <c r="E85" s="355">
        <v>1</v>
      </c>
      <c r="F85" s="367">
        <v>334799.84999999998</v>
      </c>
      <c r="G85" s="368">
        <f>E85*F85</f>
        <v>334799.84999999998</v>
      </c>
      <c r="H85" s="374">
        <f>G85/'REKAP TOTAL'!F44</f>
        <v>2.753494083880993E-5</v>
      </c>
      <c r="I85" s="423"/>
      <c r="J85" s="423"/>
      <c r="K85" s="423"/>
      <c r="L85" s="423"/>
      <c r="M85" s="423"/>
      <c r="N85" s="423"/>
      <c r="O85" s="423"/>
      <c r="P85" s="423"/>
      <c r="Q85" s="423"/>
      <c r="R85" s="423"/>
    </row>
    <row r="86" spans="1:18" s="328" customFormat="1">
      <c r="A86" s="373"/>
      <c r="B86" s="371"/>
      <c r="C86" s="442" t="s">
        <v>824</v>
      </c>
      <c r="D86" s="355"/>
      <c r="E86" s="355"/>
      <c r="F86" s="367"/>
      <c r="G86" s="368"/>
      <c r="H86" s="423"/>
      <c r="I86" s="423"/>
      <c r="J86" s="423"/>
      <c r="K86" s="423"/>
      <c r="L86" s="423"/>
      <c r="M86" s="423"/>
      <c r="N86" s="423"/>
      <c r="O86" s="423"/>
      <c r="P86" s="423"/>
      <c r="Q86" s="423"/>
      <c r="R86" s="423"/>
    </row>
    <row r="87" spans="1:18" s="328" customFormat="1">
      <c r="A87" s="373"/>
      <c r="B87" s="371"/>
      <c r="C87" s="371"/>
      <c r="D87" s="355"/>
      <c r="E87" s="355"/>
      <c r="F87" s="367"/>
      <c r="G87" s="368"/>
      <c r="H87" s="423"/>
      <c r="I87" s="423"/>
      <c r="J87" s="423"/>
      <c r="K87" s="423"/>
      <c r="L87" s="423"/>
      <c r="M87" s="423"/>
      <c r="N87" s="423"/>
      <c r="O87" s="423"/>
      <c r="P87" s="423"/>
      <c r="Q87" s="423"/>
      <c r="R87" s="423"/>
    </row>
    <row r="88" spans="1:18">
      <c r="A88" s="378"/>
      <c r="B88" s="379"/>
      <c r="C88" s="379"/>
      <c r="D88" s="380"/>
      <c r="E88" s="380"/>
      <c r="F88" s="381"/>
      <c r="G88" s="382"/>
      <c r="H88" s="443"/>
      <c r="I88" s="443"/>
      <c r="J88" s="443"/>
      <c r="K88" s="443"/>
      <c r="L88" s="443"/>
      <c r="M88" s="443"/>
      <c r="N88" s="443"/>
      <c r="O88" s="443"/>
      <c r="P88" s="443"/>
      <c r="Q88" s="443"/>
      <c r="R88" s="443"/>
    </row>
    <row r="89" spans="1:18" s="227" customFormat="1" ht="13.8">
      <c r="A89" s="444"/>
      <c r="B89" s="445"/>
      <c r="C89" s="446" t="s">
        <v>765</v>
      </c>
      <c r="D89" s="447"/>
      <c r="E89" s="448"/>
      <c r="F89" s="390"/>
      <c r="G89" s="391">
        <f>SUM(G10:G88)</f>
        <v>36769335.968675204</v>
      </c>
      <c r="H89" s="392">
        <f>G89/'REKAP TOTAL'!F44</f>
        <v>3.0240201439152314E-3</v>
      </c>
      <c r="I89" s="449"/>
      <c r="J89" s="449"/>
      <c r="K89" s="449"/>
      <c r="L89" s="449"/>
      <c r="M89" s="449"/>
      <c r="N89" s="449"/>
      <c r="O89" s="449"/>
      <c r="P89" s="449"/>
      <c r="Q89" s="449"/>
      <c r="R89" s="450"/>
    </row>
  </sheetData>
  <mergeCells count="9">
    <mergeCell ref="F7:G7"/>
    <mergeCell ref="I8:K8"/>
    <mergeCell ref="L8:N8"/>
    <mergeCell ref="A8:A9"/>
    <mergeCell ref="D8:D9"/>
    <mergeCell ref="E8:E9"/>
    <mergeCell ref="H8:H9"/>
    <mergeCell ref="R8:R9"/>
    <mergeCell ref="B8:C9"/>
  </mergeCells>
  <printOptions horizontalCentered="1"/>
  <pageMargins left="0.47244094488188998" right="0.39370078740157499" top="0.90551181102362199" bottom="0.78740157480314998" header="0.511811023622047" footer="0.39370078740157499"/>
  <pageSetup paperSize="9" scale="49" fitToHeight="0" orientation="portrait" useFirstPageNumber="1" r:id="rId1"/>
  <headerFooter alignWithMargins="0">
    <oddFooter>&amp;C&amp;A&amp;RPage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HJ45"/>
  <sheetViews>
    <sheetView showGridLines="0" view="pageBreakPreview" zoomScale="85" zoomScaleNormal="100" workbookViewId="0">
      <selection activeCell="K27" sqref="K27"/>
    </sheetView>
  </sheetViews>
  <sheetFormatPr defaultColWidth="9" defaultRowHeight="11.4"/>
  <cols>
    <col min="1" max="1" width="6.88671875" style="329" customWidth="1"/>
    <col min="2" max="2" width="2.6640625" style="227" customWidth="1"/>
    <col min="3" max="3" width="57.6640625" style="227" customWidth="1"/>
    <col min="4" max="4" width="9.109375" style="329"/>
    <col min="5" max="5" width="9.33203125" style="330" customWidth="1"/>
    <col min="6" max="6" width="14.109375" style="331" hidden="1" customWidth="1"/>
    <col min="7" max="7" width="13.5546875" style="227" hidden="1" customWidth="1"/>
    <col min="8" max="8" width="12.33203125" style="330" customWidth="1"/>
    <col min="9" max="17" width="14.21875" style="227" customWidth="1"/>
    <col min="18" max="218" width="9.109375" style="227"/>
    <col min="219" max="247" width="9.109375" style="228"/>
    <col min="248" max="248" width="6.88671875" style="228" customWidth="1"/>
    <col min="249" max="249" width="2.6640625" style="228" customWidth="1"/>
    <col min="250" max="250" width="57.6640625" style="228" customWidth="1"/>
    <col min="251" max="251" width="9.109375" style="228"/>
    <col min="252" max="252" width="9.33203125" style="228" customWidth="1"/>
    <col min="253" max="253" width="14.109375" style="228" customWidth="1"/>
    <col min="254" max="254" width="13.5546875" style="228" customWidth="1"/>
    <col min="255" max="255" width="9.109375" style="228"/>
    <col min="256" max="256" width="11.88671875" style="228" customWidth="1"/>
    <col min="257" max="257" width="10.33203125" style="228" customWidth="1"/>
    <col min="258" max="503" width="9.109375" style="228"/>
    <col min="504" max="504" width="6.88671875" style="228" customWidth="1"/>
    <col min="505" max="505" width="2.6640625" style="228" customWidth="1"/>
    <col min="506" max="506" width="57.6640625" style="228" customWidth="1"/>
    <col min="507" max="507" width="9.109375" style="228"/>
    <col min="508" max="508" width="9.33203125" style="228" customWidth="1"/>
    <col min="509" max="509" width="14.109375" style="228" customWidth="1"/>
    <col min="510" max="510" width="13.5546875" style="228" customWidth="1"/>
    <col min="511" max="511" width="9.109375" style="228"/>
    <col min="512" max="512" width="11.88671875" style="228" customWidth="1"/>
    <col min="513" max="513" width="10.33203125" style="228" customWidth="1"/>
    <col min="514" max="759" width="9.109375" style="228"/>
    <col min="760" max="760" width="6.88671875" style="228" customWidth="1"/>
    <col min="761" max="761" width="2.6640625" style="228" customWidth="1"/>
    <col min="762" max="762" width="57.6640625" style="228" customWidth="1"/>
    <col min="763" max="763" width="9.109375" style="228"/>
    <col min="764" max="764" width="9.33203125" style="228" customWidth="1"/>
    <col min="765" max="765" width="14.109375" style="228" customWidth="1"/>
    <col min="766" max="766" width="13.5546875" style="228" customWidth="1"/>
    <col min="767" max="767" width="9.109375" style="228"/>
    <col min="768" max="768" width="11.88671875" style="228" customWidth="1"/>
    <col min="769" max="769" width="10.33203125" style="228" customWidth="1"/>
    <col min="770" max="1015" width="9.109375" style="228"/>
    <col min="1016" max="1016" width="6.88671875" style="228" customWidth="1"/>
    <col min="1017" max="1017" width="2.6640625" style="228" customWidth="1"/>
    <col min="1018" max="1018" width="57.6640625" style="228" customWidth="1"/>
    <col min="1019" max="1019" width="9.109375" style="228"/>
    <col min="1020" max="1020" width="9.33203125" style="228" customWidth="1"/>
    <col min="1021" max="1021" width="14.109375" style="228" customWidth="1"/>
    <col min="1022" max="1022" width="13.5546875" style="228" customWidth="1"/>
    <col min="1023" max="1023" width="9.109375" style="228"/>
    <col min="1024" max="1024" width="11.88671875" style="228" customWidth="1"/>
    <col min="1025" max="1025" width="10.33203125" style="228" customWidth="1"/>
    <col min="1026" max="1271" width="9.109375" style="228"/>
    <col min="1272" max="1272" width="6.88671875" style="228" customWidth="1"/>
    <col min="1273" max="1273" width="2.6640625" style="228" customWidth="1"/>
    <col min="1274" max="1274" width="57.6640625" style="228" customWidth="1"/>
    <col min="1275" max="1275" width="9.109375" style="228"/>
    <col min="1276" max="1276" width="9.33203125" style="228" customWidth="1"/>
    <col min="1277" max="1277" width="14.109375" style="228" customWidth="1"/>
    <col min="1278" max="1278" width="13.5546875" style="228" customWidth="1"/>
    <col min="1279" max="1279" width="9.109375" style="228"/>
    <col min="1280" max="1280" width="11.88671875" style="228" customWidth="1"/>
    <col min="1281" max="1281" width="10.33203125" style="228" customWidth="1"/>
    <col min="1282" max="1527" width="9.109375" style="228"/>
    <col min="1528" max="1528" width="6.88671875" style="228" customWidth="1"/>
    <col min="1529" max="1529" width="2.6640625" style="228" customWidth="1"/>
    <col min="1530" max="1530" width="57.6640625" style="228" customWidth="1"/>
    <col min="1531" max="1531" width="9.109375" style="228"/>
    <col min="1532" max="1532" width="9.33203125" style="228" customWidth="1"/>
    <col min="1533" max="1533" width="14.109375" style="228" customWidth="1"/>
    <col min="1534" max="1534" width="13.5546875" style="228" customWidth="1"/>
    <col min="1535" max="1535" width="9.109375" style="228"/>
    <col min="1536" max="1536" width="11.88671875" style="228" customWidth="1"/>
    <col min="1537" max="1537" width="10.33203125" style="228" customWidth="1"/>
    <col min="1538" max="1783" width="9.109375" style="228"/>
    <col min="1784" max="1784" width="6.88671875" style="228" customWidth="1"/>
    <col min="1785" max="1785" width="2.6640625" style="228" customWidth="1"/>
    <col min="1786" max="1786" width="57.6640625" style="228" customWidth="1"/>
    <col min="1787" max="1787" width="9.109375" style="228"/>
    <col min="1788" max="1788" width="9.33203125" style="228" customWidth="1"/>
    <col min="1789" max="1789" width="14.109375" style="228" customWidth="1"/>
    <col min="1790" max="1790" width="13.5546875" style="228" customWidth="1"/>
    <col min="1791" max="1791" width="9.109375" style="228"/>
    <col min="1792" max="1792" width="11.88671875" style="228" customWidth="1"/>
    <col min="1793" max="1793" width="10.33203125" style="228" customWidth="1"/>
    <col min="1794" max="2039" width="9.109375" style="228"/>
    <col min="2040" max="2040" width="6.88671875" style="228" customWidth="1"/>
    <col min="2041" max="2041" width="2.6640625" style="228" customWidth="1"/>
    <col min="2042" max="2042" width="57.6640625" style="228" customWidth="1"/>
    <col min="2043" max="2043" width="9.109375" style="228"/>
    <col min="2044" max="2044" width="9.33203125" style="228" customWidth="1"/>
    <col min="2045" max="2045" width="14.109375" style="228" customWidth="1"/>
    <col min="2046" max="2046" width="13.5546875" style="228" customWidth="1"/>
    <col min="2047" max="2047" width="9.109375" style="228"/>
    <col min="2048" max="2048" width="11.88671875" style="228" customWidth="1"/>
    <col min="2049" max="2049" width="10.33203125" style="228" customWidth="1"/>
    <col min="2050" max="2295" width="9.109375" style="228"/>
    <col min="2296" max="2296" width="6.88671875" style="228" customWidth="1"/>
    <col min="2297" max="2297" width="2.6640625" style="228" customWidth="1"/>
    <col min="2298" max="2298" width="57.6640625" style="228" customWidth="1"/>
    <col min="2299" max="2299" width="9.109375" style="228"/>
    <col min="2300" max="2300" width="9.33203125" style="228" customWidth="1"/>
    <col min="2301" max="2301" width="14.109375" style="228" customWidth="1"/>
    <col min="2302" max="2302" width="13.5546875" style="228" customWidth="1"/>
    <col min="2303" max="2303" width="9.109375" style="228"/>
    <col min="2304" max="2304" width="11.88671875" style="228" customWidth="1"/>
    <col min="2305" max="2305" width="10.33203125" style="228" customWidth="1"/>
    <col min="2306" max="2551" width="9.109375" style="228"/>
    <col min="2552" max="2552" width="6.88671875" style="228" customWidth="1"/>
    <col min="2553" max="2553" width="2.6640625" style="228" customWidth="1"/>
    <col min="2554" max="2554" width="57.6640625" style="228" customWidth="1"/>
    <col min="2555" max="2555" width="9.109375" style="228"/>
    <col min="2556" max="2556" width="9.33203125" style="228" customWidth="1"/>
    <col min="2557" max="2557" width="14.109375" style="228" customWidth="1"/>
    <col min="2558" max="2558" width="13.5546875" style="228" customWidth="1"/>
    <col min="2559" max="2559" width="9.109375" style="228"/>
    <col min="2560" max="2560" width="11.88671875" style="228" customWidth="1"/>
    <col min="2561" max="2561" width="10.33203125" style="228" customWidth="1"/>
    <col min="2562" max="2807" width="9.109375" style="228"/>
    <col min="2808" max="2808" width="6.88671875" style="228" customWidth="1"/>
    <col min="2809" max="2809" width="2.6640625" style="228" customWidth="1"/>
    <col min="2810" max="2810" width="57.6640625" style="228" customWidth="1"/>
    <col min="2811" max="2811" width="9.109375" style="228"/>
    <col min="2812" max="2812" width="9.33203125" style="228" customWidth="1"/>
    <col min="2813" max="2813" width="14.109375" style="228" customWidth="1"/>
    <col min="2814" max="2814" width="13.5546875" style="228" customWidth="1"/>
    <col min="2815" max="2815" width="9.109375" style="228"/>
    <col min="2816" max="2816" width="11.88671875" style="228" customWidth="1"/>
    <col min="2817" max="2817" width="10.33203125" style="228" customWidth="1"/>
    <col min="2818" max="3063" width="9.109375" style="228"/>
    <col min="3064" max="3064" width="6.88671875" style="228" customWidth="1"/>
    <col min="3065" max="3065" width="2.6640625" style="228" customWidth="1"/>
    <col min="3066" max="3066" width="57.6640625" style="228" customWidth="1"/>
    <col min="3067" max="3067" width="9.109375" style="228"/>
    <col min="3068" max="3068" width="9.33203125" style="228" customWidth="1"/>
    <col min="3069" max="3069" width="14.109375" style="228" customWidth="1"/>
    <col min="3070" max="3070" width="13.5546875" style="228" customWidth="1"/>
    <col min="3071" max="3071" width="9.109375" style="228"/>
    <col min="3072" max="3072" width="11.88671875" style="228" customWidth="1"/>
    <col min="3073" max="3073" width="10.33203125" style="228" customWidth="1"/>
    <col min="3074" max="3319" width="9.109375" style="228"/>
    <col min="3320" max="3320" width="6.88671875" style="228" customWidth="1"/>
    <col min="3321" max="3321" width="2.6640625" style="228" customWidth="1"/>
    <col min="3322" max="3322" width="57.6640625" style="228" customWidth="1"/>
    <col min="3323" max="3323" width="9.109375" style="228"/>
    <col min="3324" max="3324" width="9.33203125" style="228" customWidth="1"/>
    <col min="3325" max="3325" width="14.109375" style="228" customWidth="1"/>
    <col min="3326" max="3326" width="13.5546875" style="228" customWidth="1"/>
    <col min="3327" max="3327" width="9.109375" style="228"/>
    <col min="3328" max="3328" width="11.88671875" style="228" customWidth="1"/>
    <col min="3329" max="3329" width="10.33203125" style="228" customWidth="1"/>
    <col min="3330" max="3575" width="9.109375" style="228"/>
    <col min="3576" max="3576" width="6.88671875" style="228" customWidth="1"/>
    <col min="3577" max="3577" width="2.6640625" style="228" customWidth="1"/>
    <col min="3578" max="3578" width="57.6640625" style="228" customWidth="1"/>
    <col min="3579" max="3579" width="9.109375" style="228"/>
    <col min="3580" max="3580" width="9.33203125" style="228" customWidth="1"/>
    <col min="3581" max="3581" width="14.109375" style="228" customWidth="1"/>
    <col min="3582" max="3582" width="13.5546875" style="228" customWidth="1"/>
    <col min="3583" max="3583" width="9.109375" style="228"/>
    <col min="3584" max="3584" width="11.88671875" style="228" customWidth="1"/>
    <col min="3585" max="3585" width="10.33203125" style="228" customWidth="1"/>
    <col min="3586" max="3831" width="9.109375" style="228"/>
    <col min="3832" max="3832" width="6.88671875" style="228" customWidth="1"/>
    <col min="3833" max="3833" width="2.6640625" style="228" customWidth="1"/>
    <col min="3834" max="3834" width="57.6640625" style="228" customWidth="1"/>
    <col min="3835" max="3835" width="9.109375" style="228"/>
    <col min="3836" max="3836" width="9.33203125" style="228" customWidth="1"/>
    <col min="3837" max="3837" width="14.109375" style="228" customWidth="1"/>
    <col min="3838" max="3838" width="13.5546875" style="228" customWidth="1"/>
    <col min="3839" max="3839" width="9.109375" style="228"/>
    <col min="3840" max="3840" width="11.88671875" style="228" customWidth="1"/>
    <col min="3841" max="3841" width="10.33203125" style="228" customWidth="1"/>
    <col min="3842" max="4087" width="9.109375" style="228"/>
    <col min="4088" max="4088" width="6.88671875" style="228" customWidth="1"/>
    <col min="4089" max="4089" width="2.6640625" style="228" customWidth="1"/>
    <col min="4090" max="4090" width="57.6640625" style="228" customWidth="1"/>
    <col min="4091" max="4091" width="9.109375" style="228"/>
    <col min="4092" max="4092" width="9.33203125" style="228" customWidth="1"/>
    <col min="4093" max="4093" width="14.109375" style="228" customWidth="1"/>
    <col min="4094" max="4094" width="13.5546875" style="228" customWidth="1"/>
    <col min="4095" max="4095" width="9.109375" style="228"/>
    <col min="4096" max="4096" width="11.88671875" style="228" customWidth="1"/>
    <col min="4097" max="4097" width="10.33203125" style="228" customWidth="1"/>
    <col min="4098" max="4343" width="9.109375" style="228"/>
    <col min="4344" max="4344" width="6.88671875" style="228" customWidth="1"/>
    <col min="4345" max="4345" width="2.6640625" style="228" customWidth="1"/>
    <col min="4346" max="4346" width="57.6640625" style="228" customWidth="1"/>
    <col min="4347" max="4347" width="9.109375" style="228"/>
    <col min="4348" max="4348" width="9.33203125" style="228" customWidth="1"/>
    <col min="4349" max="4349" width="14.109375" style="228" customWidth="1"/>
    <col min="4350" max="4350" width="13.5546875" style="228" customWidth="1"/>
    <col min="4351" max="4351" width="9.109375" style="228"/>
    <col min="4352" max="4352" width="11.88671875" style="228" customWidth="1"/>
    <col min="4353" max="4353" width="10.33203125" style="228" customWidth="1"/>
    <col min="4354" max="4599" width="9.109375" style="228"/>
    <col min="4600" max="4600" width="6.88671875" style="228" customWidth="1"/>
    <col min="4601" max="4601" width="2.6640625" style="228" customWidth="1"/>
    <col min="4602" max="4602" width="57.6640625" style="228" customWidth="1"/>
    <col min="4603" max="4603" width="9.109375" style="228"/>
    <col min="4604" max="4604" width="9.33203125" style="228" customWidth="1"/>
    <col min="4605" max="4605" width="14.109375" style="228" customWidth="1"/>
    <col min="4606" max="4606" width="13.5546875" style="228" customWidth="1"/>
    <col min="4607" max="4607" width="9.109375" style="228"/>
    <col min="4608" max="4608" width="11.88671875" style="228" customWidth="1"/>
    <col min="4609" max="4609" width="10.33203125" style="228" customWidth="1"/>
    <col min="4610" max="4855" width="9.109375" style="228"/>
    <col min="4856" max="4856" width="6.88671875" style="228" customWidth="1"/>
    <col min="4857" max="4857" width="2.6640625" style="228" customWidth="1"/>
    <col min="4858" max="4858" width="57.6640625" style="228" customWidth="1"/>
    <col min="4859" max="4859" width="9.109375" style="228"/>
    <col min="4860" max="4860" width="9.33203125" style="228" customWidth="1"/>
    <col min="4861" max="4861" width="14.109375" style="228" customWidth="1"/>
    <col min="4862" max="4862" width="13.5546875" style="228" customWidth="1"/>
    <col min="4863" max="4863" width="9.109375" style="228"/>
    <col min="4864" max="4864" width="11.88671875" style="228" customWidth="1"/>
    <col min="4865" max="4865" width="10.33203125" style="228" customWidth="1"/>
    <col min="4866" max="5111" width="9.109375" style="228"/>
    <col min="5112" max="5112" width="6.88671875" style="228" customWidth="1"/>
    <col min="5113" max="5113" width="2.6640625" style="228" customWidth="1"/>
    <col min="5114" max="5114" width="57.6640625" style="228" customWidth="1"/>
    <col min="5115" max="5115" width="9.109375" style="228"/>
    <col min="5116" max="5116" width="9.33203125" style="228" customWidth="1"/>
    <col min="5117" max="5117" width="14.109375" style="228" customWidth="1"/>
    <col min="5118" max="5118" width="13.5546875" style="228" customWidth="1"/>
    <col min="5119" max="5119" width="9.109375" style="228"/>
    <col min="5120" max="5120" width="11.88671875" style="228" customWidth="1"/>
    <col min="5121" max="5121" width="10.33203125" style="228" customWidth="1"/>
    <col min="5122" max="5367" width="9.109375" style="228"/>
    <col min="5368" max="5368" width="6.88671875" style="228" customWidth="1"/>
    <col min="5369" max="5369" width="2.6640625" style="228" customWidth="1"/>
    <col min="5370" max="5370" width="57.6640625" style="228" customWidth="1"/>
    <col min="5371" max="5371" width="9.109375" style="228"/>
    <col min="5372" max="5372" width="9.33203125" style="228" customWidth="1"/>
    <col min="5373" max="5373" width="14.109375" style="228" customWidth="1"/>
    <col min="5374" max="5374" width="13.5546875" style="228" customWidth="1"/>
    <col min="5375" max="5375" width="9.109375" style="228"/>
    <col min="5376" max="5376" width="11.88671875" style="228" customWidth="1"/>
    <col min="5377" max="5377" width="10.33203125" style="228" customWidth="1"/>
    <col min="5378" max="5623" width="9.109375" style="228"/>
    <col min="5624" max="5624" width="6.88671875" style="228" customWidth="1"/>
    <col min="5625" max="5625" width="2.6640625" style="228" customWidth="1"/>
    <col min="5626" max="5626" width="57.6640625" style="228" customWidth="1"/>
    <col min="5627" max="5627" width="9.109375" style="228"/>
    <col min="5628" max="5628" width="9.33203125" style="228" customWidth="1"/>
    <col min="5629" max="5629" width="14.109375" style="228" customWidth="1"/>
    <col min="5630" max="5630" width="13.5546875" style="228" customWidth="1"/>
    <col min="5631" max="5631" width="9.109375" style="228"/>
    <col min="5632" max="5632" width="11.88671875" style="228" customWidth="1"/>
    <col min="5633" max="5633" width="10.33203125" style="228" customWidth="1"/>
    <col min="5634" max="5879" width="9.109375" style="228"/>
    <col min="5880" max="5880" width="6.88671875" style="228" customWidth="1"/>
    <col min="5881" max="5881" width="2.6640625" style="228" customWidth="1"/>
    <col min="5882" max="5882" width="57.6640625" style="228" customWidth="1"/>
    <col min="5883" max="5883" width="9.109375" style="228"/>
    <col min="5884" max="5884" width="9.33203125" style="228" customWidth="1"/>
    <col min="5885" max="5885" width="14.109375" style="228" customWidth="1"/>
    <col min="5886" max="5886" width="13.5546875" style="228" customWidth="1"/>
    <col min="5887" max="5887" width="9.109375" style="228"/>
    <col min="5888" max="5888" width="11.88671875" style="228" customWidth="1"/>
    <col min="5889" max="5889" width="10.33203125" style="228" customWidth="1"/>
    <col min="5890" max="6135" width="9.109375" style="228"/>
    <col min="6136" max="6136" width="6.88671875" style="228" customWidth="1"/>
    <col min="6137" max="6137" width="2.6640625" style="228" customWidth="1"/>
    <col min="6138" max="6138" width="57.6640625" style="228" customWidth="1"/>
    <col min="6139" max="6139" width="9.109375" style="228"/>
    <col min="6140" max="6140" width="9.33203125" style="228" customWidth="1"/>
    <col min="6141" max="6141" width="14.109375" style="228" customWidth="1"/>
    <col min="6142" max="6142" width="13.5546875" style="228" customWidth="1"/>
    <col min="6143" max="6143" width="9.109375" style="228"/>
    <col min="6144" max="6144" width="11.88671875" style="228" customWidth="1"/>
    <col min="6145" max="6145" width="10.33203125" style="228" customWidth="1"/>
    <col min="6146" max="6391" width="9.109375" style="228"/>
    <col min="6392" max="6392" width="6.88671875" style="228" customWidth="1"/>
    <col min="6393" max="6393" width="2.6640625" style="228" customWidth="1"/>
    <col min="6394" max="6394" width="57.6640625" style="228" customWidth="1"/>
    <col min="6395" max="6395" width="9.109375" style="228"/>
    <col min="6396" max="6396" width="9.33203125" style="228" customWidth="1"/>
    <col min="6397" max="6397" width="14.109375" style="228" customWidth="1"/>
    <col min="6398" max="6398" width="13.5546875" style="228" customWidth="1"/>
    <col min="6399" max="6399" width="9.109375" style="228"/>
    <col min="6400" max="6400" width="11.88671875" style="228" customWidth="1"/>
    <col min="6401" max="6401" width="10.33203125" style="228" customWidth="1"/>
    <col min="6402" max="6647" width="9.109375" style="228"/>
    <col min="6648" max="6648" width="6.88671875" style="228" customWidth="1"/>
    <col min="6649" max="6649" width="2.6640625" style="228" customWidth="1"/>
    <col min="6650" max="6650" width="57.6640625" style="228" customWidth="1"/>
    <col min="6651" max="6651" width="9.109375" style="228"/>
    <col min="6652" max="6652" width="9.33203125" style="228" customWidth="1"/>
    <col min="6653" max="6653" width="14.109375" style="228" customWidth="1"/>
    <col min="6654" max="6654" width="13.5546875" style="228" customWidth="1"/>
    <col min="6655" max="6655" width="9.109375" style="228"/>
    <col min="6656" max="6656" width="11.88671875" style="228" customWidth="1"/>
    <col min="6657" max="6657" width="10.33203125" style="228" customWidth="1"/>
    <col min="6658" max="6903" width="9.109375" style="228"/>
    <col min="6904" max="6904" width="6.88671875" style="228" customWidth="1"/>
    <col min="6905" max="6905" width="2.6640625" style="228" customWidth="1"/>
    <col min="6906" max="6906" width="57.6640625" style="228" customWidth="1"/>
    <col min="6907" max="6907" width="9.109375" style="228"/>
    <col min="6908" max="6908" width="9.33203125" style="228" customWidth="1"/>
    <col min="6909" max="6909" width="14.109375" style="228" customWidth="1"/>
    <col min="6910" max="6910" width="13.5546875" style="228" customWidth="1"/>
    <col min="6911" max="6911" width="9.109375" style="228"/>
    <col min="6912" max="6912" width="11.88671875" style="228" customWidth="1"/>
    <col min="6913" max="6913" width="10.33203125" style="228" customWidth="1"/>
    <col min="6914" max="7159" width="9.109375" style="228"/>
    <col min="7160" max="7160" width="6.88671875" style="228" customWidth="1"/>
    <col min="7161" max="7161" width="2.6640625" style="228" customWidth="1"/>
    <col min="7162" max="7162" width="57.6640625" style="228" customWidth="1"/>
    <col min="7163" max="7163" width="9.109375" style="228"/>
    <col min="7164" max="7164" width="9.33203125" style="228" customWidth="1"/>
    <col min="7165" max="7165" width="14.109375" style="228" customWidth="1"/>
    <col min="7166" max="7166" width="13.5546875" style="228" customWidth="1"/>
    <col min="7167" max="7167" width="9.109375" style="228"/>
    <col min="7168" max="7168" width="11.88671875" style="228" customWidth="1"/>
    <col min="7169" max="7169" width="10.33203125" style="228" customWidth="1"/>
    <col min="7170" max="7415" width="9.109375" style="228"/>
    <col min="7416" max="7416" width="6.88671875" style="228" customWidth="1"/>
    <col min="7417" max="7417" width="2.6640625" style="228" customWidth="1"/>
    <col min="7418" max="7418" width="57.6640625" style="228" customWidth="1"/>
    <col min="7419" max="7419" width="9.109375" style="228"/>
    <col min="7420" max="7420" width="9.33203125" style="228" customWidth="1"/>
    <col min="7421" max="7421" width="14.109375" style="228" customWidth="1"/>
    <col min="7422" max="7422" width="13.5546875" style="228" customWidth="1"/>
    <col min="7423" max="7423" width="9.109375" style="228"/>
    <col min="7424" max="7424" width="11.88671875" style="228" customWidth="1"/>
    <col min="7425" max="7425" width="10.33203125" style="228" customWidth="1"/>
    <col min="7426" max="7671" width="9.109375" style="228"/>
    <col min="7672" max="7672" width="6.88671875" style="228" customWidth="1"/>
    <col min="7673" max="7673" width="2.6640625" style="228" customWidth="1"/>
    <col min="7674" max="7674" width="57.6640625" style="228" customWidth="1"/>
    <col min="7675" max="7675" width="9.109375" style="228"/>
    <col min="7676" max="7676" width="9.33203125" style="228" customWidth="1"/>
    <col min="7677" max="7677" width="14.109375" style="228" customWidth="1"/>
    <col min="7678" max="7678" width="13.5546875" style="228" customWidth="1"/>
    <col min="7679" max="7679" width="9.109375" style="228"/>
    <col min="7680" max="7680" width="11.88671875" style="228" customWidth="1"/>
    <col min="7681" max="7681" width="10.33203125" style="228" customWidth="1"/>
    <col min="7682" max="7927" width="9.109375" style="228"/>
    <col min="7928" max="7928" width="6.88671875" style="228" customWidth="1"/>
    <col min="7929" max="7929" width="2.6640625" style="228" customWidth="1"/>
    <col min="7930" max="7930" width="57.6640625" style="228" customWidth="1"/>
    <col min="7931" max="7931" width="9.109375" style="228"/>
    <col min="7932" max="7932" width="9.33203125" style="228" customWidth="1"/>
    <col min="7933" max="7933" width="14.109375" style="228" customWidth="1"/>
    <col min="7934" max="7934" width="13.5546875" style="228" customWidth="1"/>
    <col min="7935" max="7935" width="9.109375" style="228"/>
    <col min="7936" max="7936" width="11.88671875" style="228" customWidth="1"/>
    <col min="7937" max="7937" width="10.33203125" style="228" customWidth="1"/>
    <col min="7938" max="8183" width="9.109375" style="228"/>
    <col min="8184" max="8184" width="6.88671875" style="228" customWidth="1"/>
    <col min="8185" max="8185" width="2.6640625" style="228" customWidth="1"/>
    <col min="8186" max="8186" width="57.6640625" style="228" customWidth="1"/>
    <col min="8187" max="8187" width="9.109375" style="228"/>
    <col min="8188" max="8188" width="9.33203125" style="228" customWidth="1"/>
    <col min="8189" max="8189" width="14.109375" style="228" customWidth="1"/>
    <col min="8190" max="8190" width="13.5546875" style="228" customWidth="1"/>
    <col min="8191" max="8191" width="9.109375" style="228"/>
    <col min="8192" max="8192" width="11.88671875" style="228" customWidth="1"/>
    <col min="8193" max="8193" width="10.33203125" style="228" customWidth="1"/>
    <col min="8194" max="8439" width="9.109375" style="228"/>
    <col min="8440" max="8440" width="6.88671875" style="228" customWidth="1"/>
    <col min="8441" max="8441" width="2.6640625" style="228" customWidth="1"/>
    <col min="8442" max="8442" width="57.6640625" style="228" customWidth="1"/>
    <col min="8443" max="8443" width="9.109375" style="228"/>
    <col min="8444" max="8444" width="9.33203125" style="228" customWidth="1"/>
    <col min="8445" max="8445" width="14.109375" style="228" customWidth="1"/>
    <col min="8446" max="8446" width="13.5546875" style="228" customWidth="1"/>
    <col min="8447" max="8447" width="9.109375" style="228"/>
    <col min="8448" max="8448" width="11.88671875" style="228" customWidth="1"/>
    <col min="8449" max="8449" width="10.33203125" style="228" customWidth="1"/>
    <col min="8450" max="8695" width="9.109375" style="228"/>
    <col min="8696" max="8696" width="6.88671875" style="228" customWidth="1"/>
    <col min="8697" max="8697" width="2.6640625" style="228" customWidth="1"/>
    <col min="8698" max="8698" width="57.6640625" style="228" customWidth="1"/>
    <col min="8699" max="8699" width="9.109375" style="228"/>
    <col min="8700" max="8700" width="9.33203125" style="228" customWidth="1"/>
    <col min="8701" max="8701" width="14.109375" style="228" customWidth="1"/>
    <col min="8702" max="8702" width="13.5546875" style="228" customWidth="1"/>
    <col min="8703" max="8703" width="9.109375" style="228"/>
    <col min="8704" max="8704" width="11.88671875" style="228" customWidth="1"/>
    <col min="8705" max="8705" width="10.33203125" style="228" customWidth="1"/>
    <col min="8706" max="8951" width="9.109375" style="228"/>
    <col min="8952" max="8952" width="6.88671875" style="228" customWidth="1"/>
    <col min="8953" max="8953" width="2.6640625" style="228" customWidth="1"/>
    <col min="8954" max="8954" width="57.6640625" style="228" customWidth="1"/>
    <col min="8955" max="8955" width="9.109375" style="228"/>
    <col min="8956" max="8956" width="9.33203125" style="228" customWidth="1"/>
    <col min="8957" max="8957" width="14.109375" style="228" customWidth="1"/>
    <col min="8958" max="8958" width="13.5546875" style="228" customWidth="1"/>
    <col min="8959" max="8959" width="9.109375" style="228"/>
    <col min="8960" max="8960" width="11.88671875" style="228" customWidth="1"/>
    <col min="8961" max="8961" width="10.33203125" style="228" customWidth="1"/>
    <col min="8962" max="9207" width="9.109375" style="228"/>
    <col min="9208" max="9208" width="6.88671875" style="228" customWidth="1"/>
    <col min="9209" max="9209" width="2.6640625" style="228" customWidth="1"/>
    <col min="9210" max="9210" width="57.6640625" style="228" customWidth="1"/>
    <col min="9211" max="9211" width="9.109375" style="228"/>
    <col min="9212" max="9212" width="9.33203125" style="228" customWidth="1"/>
    <col min="9213" max="9213" width="14.109375" style="228" customWidth="1"/>
    <col min="9214" max="9214" width="13.5546875" style="228" customWidth="1"/>
    <col min="9215" max="9215" width="9.109375" style="228"/>
    <col min="9216" max="9216" width="11.88671875" style="228" customWidth="1"/>
    <col min="9217" max="9217" width="10.33203125" style="228" customWidth="1"/>
    <col min="9218" max="9463" width="9.109375" style="228"/>
    <col min="9464" max="9464" width="6.88671875" style="228" customWidth="1"/>
    <col min="9465" max="9465" width="2.6640625" style="228" customWidth="1"/>
    <col min="9466" max="9466" width="57.6640625" style="228" customWidth="1"/>
    <col min="9467" max="9467" width="9.109375" style="228"/>
    <col min="9468" max="9468" width="9.33203125" style="228" customWidth="1"/>
    <col min="9469" max="9469" width="14.109375" style="228" customWidth="1"/>
    <col min="9470" max="9470" width="13.5546875" style="228" customWidth="1"/>
    <col min="9471" max="9471" width="9.109375" style="228"/>
    <col min="9472" max="9472" width="11.88671875" style="228" customWidth="1"/>
    <col min="9473" max="9473" width="10.33203125" style="228" customWidth="1"/>
    <col min="9474" max="9719" width="9.109375" style="228"/>
    <col min="9720" max="9720" width="6.88671875" style="228" customWidth="1"/>
    <col min="9721" max="9721" width="2.6640625" style="228" customWidth="1"/>
    <col min="9722" max="9722" width="57.6640625" style="228" customWidth="1"/>
    <col min="9723" max="9723" width="9.109375" style="228"/>
    <col min="9724" max="9724" width="9.33203125" style="228" customWidth="1"/>
    <col min="9725" max="9725" width="14.109375" style="228" customWidth="1"/>
    <col min="9726" max="9726" width="13.5546875" style="228" customWidth="1"/>
    <col min="9727" max="9727" width="9.109375" style="228"/>
    <col min="9728" max="9728" width="11.88671875" style="228" customWidth="1"/>
    <col min="9729" max="9729" width="10.33203125" style="228" customWidth="1"/>
    <col min="9730" max="9975" width="9.109375" style="228"/>
    <col min="9976" max="9976" width="6.88671875" style="228" customWidth="1"/>
    <col min="9977" max="9977" width="2.6640625" style="228" customWidth="1"/>
    <col min="9978" max="9978" width="57.6640625" style="228" customWidth="1"/>
    <col min="9979" max="9979" width="9.109375" style="228"/>
    <col min="9980" max="9980" width="9.33203125" style="228" customWidth="1"/>
    <col min="9981" max="9981" width="14.109375" style="228" customWidth="1"/>
    <col min="9982" max="9982" width="13.5546875" style="228" customWidth="1"/>
    <col min="9983" max="9983" width="9.109375" style="228"/>
    <col min="9984" max="9984" width="11.88671875" style="228" customWidth="1"/>
    <col min="9985" max="9985" width="10.33203125" style="228" customWidth="1"/>
    <col min="9986" max="10231" width="9.109375" style="228"/>
    <col min="10232" max="10232" width="6.88671875" style="228" customWidth="1"/>
    <col min="10233" max="10233" width="2.6640625" style="228" customWidth="1"/>
    <col min="10234" max="10234" width="57.6640625" style="228" customWidth="1"/>
    <col min="10235" max="10235" width="9.109375" style="228"/>
    <col min="10236" max="10236" width="9.33203125" style="228" customWidth="1"/>
    <col min="10237" max="10237" width="14.109375" style="228" customWidth="1"/>
    <col min="10238" max="10238" width="13.5546875" style="228" customWidth="1"/>
    <col min="10239" max="10239" width="9.109375" style="228"/>
    <col min="10240" max="10240" width="11.88671875" style="228" customWidth="1"/>
    <col min="10241" max="10241" width="10.33203125" style="228" customWidth="1"/>
    <col min="10242" max="10487" width="9.109375" style="228"/>
    <col min="10488" max="10488" width="6.88671875" style="228" customWidth="1"/>
    <col min="10489" max="10489" width="2.6640625" style="228" customWidth="1"/>
    <col min="10490" max="10490" width="57.6640625" style="228" customWidth="1"/>
    <col min="10491" max="10491" width="9.109375" style="228"/>
    <col min="10492" max="10492" width="9.33203125" style="228" customWidth="1"/>
    <col min="10493" max="10493" width="14.109375" style="228" customWidth="1"/>
    <col min="10494" max="10494" width="13.5546875" style="228" customWidth="1"/>
    <col min="10495" max="10495" width="9.109375" style="228"/>
    <col min="10496" max="10496" width="11.88671875" style="228" customWidth="1"/>
    <col min="10497" max="10497" width="10.33203125" style="228" customWidth="1"/>
    <col min="10498" max="10743" width="9.109375" style="228"/>
    <col min="10744" max="10744" width="6.88671875" style="228" customWidth="1"/>
    <col min="10745" max="10745" width="2.6640625" style="228" customWidth="1"/>
    <col min="10746" max="10746" width="57.6640625" style="228" customWidth="1"/>
    <col min="10747" max="10747" width="9.109375" style="228"/>
    <col min="10748" max="10748" width="9.33203125" style="228" customWidth="1"/>
    <col min="10749" max="10749" width="14.109375" style="228" customWidth="1"/>
    <col min="10750" max="10750" width="13.5546875" style="228" customWidth="1"/>
    <col min="10751" max="10751" width="9.109375" style="228"/>
    <col min="10752" max="10752" width="11.88671875" style="228" customWidth="1"/>
    <col min="10753" max="10753" width="10.33203125" style="228" customWidth="1"/>
    <col min="10754" max="10999" width="9.109375" style="228"/>
    <col min="11000" max="11000" width="6.88671875" style="228" customWidth="1"/>
    <col min="11001" max="11001" width="2.6640625" style="228" customWidth="1"/>
    <col min="11002" max="11002" width="57.6640625" style="228" customWidth="1"/>
    <col min="11003" max="11003" width="9.109375" style="228"/>
    <col min="11004" max="11004" width="9.33203125" style="228" customWidth="1"/>
    <col min="11005" max="11005" width="14.109375" style="228" customWidth="1"/>
    <col min="11006" max="11006" width="13.5546875" style="228" customWidth="1"/>
    <col min="11007" max="11007" width="9.109375" style="228"/>
    <col min="11008" max="11008" width="11.88671875" style="228" customWidth="1"/>
    <col min="11009" max="11009" width="10.33203125" style="228" customWidth="1"/>
    <col min="11010" max="11255" width="9.109375" style="228"/>
    <col min="11256" max="11256" width="6.88671875" style="228" customWidth="1"/>
    <col min="11257" max="11257" width="2.6640625" style="228" customWidth="1"/>
    <col min="11258" max="11258" width="57.6640625" style="228" customWidth="1"/>
    <col min="11259" max="11259" width="9.109375" style="228"/>
    <col min="11260" max="11260" width="9.33203125" style="228" customWidth="1"/>
    <col min="11261" max="11261" width="14.109375" style="228" customWidth="1"/>
    <col min="11262" max="11262" width="13.5546875" style="228" customWidth="1"/>
    <col min="11263" max="11263" width="9.109375" style="228"/>
    <col min="11264" max="11264" width="11.88671875" style="228" customWidth="1"/>
    <col min="11265" max="11265" width="10.33203125" style="228" customWidth="1"/>
    <col min="11266" max="11511" width="9.109375" style="228"/>
    <col min="11512" max="11512" width="6.88671875" style="228" customWidth="1"/>
    <col min="11513" max="11513" width="2.6640625" style="228" customWidth="1"/>
    <col min="11514" max="11514" width="57.6640625" style="228" customWidth="1"/>
    <col min="11515" max="11515" width="9.109375" style="228"/>
    <col min="11516" max="11516" width="9.33203125" style="228" customWidth="1"/>
    <col min="11517" max="11517" width="14.109375" style="228" customWidth="1"/>
    <col min="11518" max="11518" width="13.5546875" style="228" customWidth="1"/>
    <col min="11519" max="11519" width="9.109375" style="228"/>
    <col min="11520" max="11520" width="11.88671875" style="228" customWidth="1"/>
    <col min="11521" max="11521" width="10.33203125" style="228" customWidth="1"/>
    <col min="11522" max="11767" width="9.109375" style="228"/>
    <col min="11768" max="11768" width="6.88671875" style="228" customWidth="1"/>
    <col min="11769" max="11769" width="2.6640625" style="228" customWidth="1"/>
    <col min="11770" max="11770" width="57.6640625" style="228" customWidth="1"/>
    <col min="11771" max="11771" width="9.109375" style="228"/>
    <col min="11772" max="11772" width="9.33203125" style="228" customWidth="1"/>
    <col min="11773" max="11773" width="14.109375" style="228" customWidth="1"/>
    <col min="11774" max="11774" width="13.5546875" style="228" customWidth="1"/>
    <col min="11775" max="11775" width="9.109375" style="228"/>
    <col min="11776" max="11776" width="11.88671875" style="228" customWidth="1"/>
    <col min="11777" max="11777" width="10.33203125" style="228" customWidth="1"/>
    <col min="11778" max="12023" width="9.109375" style="228"/>
    <col min="12024" max="12024" width="6.88671875" style="228" customWidth="1"/>
    <col min="12025" max="12025" width="2.6640625" style="228" customWidth="1"/>
    <col min="12026" max="12026" width="57.6640625" style="228" customWidth="1"/>
    <col min="12027" max="12027" width="9.109375" style="228"/>
    <col min="12028" max="12028" width="9.33203125" style="228" customWidth="1"/>
    <col min="12029" max="12029" width="14.109375" style="228" customWidth="1"/>
    <col min="12030" max="12030" width="13.5546875" style="228" customWidth="1"/>
    <col min="12031" max="12031" width="9.109375" style="228"/>
    <col min="12032" max="12032" width="11.88671875" style="228" customWidth="1"/>
    <col min="12033" max="12033" width="10.33203125" style="228" customWidth="1"/>
    <col min="12034" max="12279" width="9.109375" style="228"/>
    <col min="12280" max="12280" width="6.88671875" style="228" customWidth="1"/>
    <col min="12281" max="12281" width="2.6640625" style="228" customWidth="1"/>
    <col min="12282" max="12282" width="57.6640625" style="228" customWidth="1"/>
    <col min="12283" max="12283" width="9.109375" style="228"/>
    <col min="12284" max="12284" width="9.33203125" style="228" customWidth="1"/>
    <col min="12285" max="12285" width="14.109375" style="228" customWidth="1"/>
    <col min="12286" max="12286" width="13.5546875" style="228" customWidth="1"/>
    <col min="12287" max="12287" width="9.109375" style="228"/>
    <col min="12288" max="12288" width="11.88671875" style="228" customWidth="1"/>
    <col min="12289" max="12289" width="10.33203125" style="228" customWidth="1"/>
    <col min="12290" max="12535" width="9.109375" style="228"/>
    <col min="12536" max="12536" width="6.88671875" style="228" customWidth="1"/>
    <col min="12537" max="12537" width="2.6640625" style="228" customWidth="1"/>
    <col min="12538" max="12538" width="57.6640625" style="228" customWidth="1"/>
    <col min="12539" max="12539" width="9.109375" style="228"/>
    <col min="12540" max="12540" width="9.33203125" style="228" customWidth="1"/>
    <col min="12541" max="12541" width="14.109375" style="228" customWidth="1"/>
    <col min="12542" max="12542" width="13.5546875" style="228" customWidth="1"/>
    <col min="12543" max="12543" width="9.109375" style="228"/>
    <col min="12544" max="12544" width="11.88671875" style="228" customWidth="1"/>
    <col min="12545" max="12545" width="10.33203125" style="228" customWidth="1"/>
    <col min="12546" max="12791" width="9.109375" style="228"/>
    <col min="12792" max="12792" width="6.88671875" style="228" customWidth="1"/>
    <col min="12793" max="12793" width="2.6640625" style="228" customWidth="1"/>
    <col min="12794" max="12794" width="57.6640625" style="228" customWidth="1"/>
    <col min="12795" max="12795" width="9.109375" style="228"/>
    <col min="12796" max="12796" width="9.33203125" style="228" customWidth="1"/>
    <col min="12797" max="12797" width="14.109375" style="228" customWidth="1"/>
    <col min="12798" max="12798" width="13.5546875" style="228" customWidth="1"/>
    <col min="12799" max="12799" width="9.109375" style="228"/>
    <col min="12800" max="12800" width="11.88671875" style="228" customWidth="1"/>
    <col min="12801" max="12801" width="10.33203125" style="228" customWidth="1"/>
    <col min="12802" max="13047" width="9.109375" style="228"/>
    <col min="13048" max="13048" width="6.88671875" style="228" customWidth="1"/>
    <col min="13049" max="13049" width="2.6640625" style="228" customWidth="1"/>
    <col min="13050" max="13050" width="57.6640625" style="228" customWidth="1"/>
    <col min="13051" max="13051" width="9.109375" style="228"/>
    <col min="13052" max="13052" width="9.33203125" style="228" customWidth="1"/>
    <col min="13053" max="13053" width="14.109375" style="228" customWidth="1"/>
    <col min="13054" max="13054" width="13.5546875" style="228" customWidth="1"/>
    <col min="13055" max="13055" width="9.109375" style="228"/>
    <col min="13056" max="13056" width="11.88671875" style="228" customWidth="1"/>
    <col min="13057" max="13057" width="10.33203125" style="228" customWidth="1"/>
    <col min="13058" max="13303" width="9.109375" style="228"/>
    <col min="13304" max="13304" width="6.88671875" style="228" customWidth="1"/>
    <col min="13305" max="13305" width="2.6640625" style="228" customWidth="1"/>
    <col min="13306" max="13306" width="57.6640625" style="228" customWidth="1"/>
    <col min="13307" max="13307" width="9.109375" style="228"/>
    <col min="13308" max="13308" width="9.33203125" style="228" customWidth="1"/>
    <col min="13309" max="13309" width="14.109375" style="228" customWidth="1"/>
    <col min="13310" max="13310" width="13.5546875" style="228" customWidth="1"/>
    <col min="13311" max="13311" width="9.109375" style="228"/>
    <col min="13312" max="13312" width="11.88671875" style="228" customWidth="1"/>
    <col min="13313" max="13313" width="10.33203125" style="228" customWidth="1"/>
    <col min="13314" max="13559" width="9.109375" style="228"/>
    <col min="13560" max="13560" width="6.88671875" style="228" customWidth="1"/>
    <col min="13561" max="13561" width="2.6640625" style="228" customWidth="1"/>
    <col min="13562" max="13562" width="57.6640625" style="228" customWidth="1"/>
    <col min="13563" max="13563" width="9.109375" style="228"/>
    <col min="13564" max="13564" width="9.33203125" style="228" customWidth="1"/>
    <col min="13565" max="13565" width="14.109375" style="228" customWidth="1"/>
    <col min="13566" max="13566" width="13.5546875" style="228" customWidth="1"/>
    <col min="13567" max="13567" width="9.109375" style="228"/>
    <col min="13568" max="13568" width="11.88671875" style="228" customWidth="1"/>
    <col min="13569" max="13569" width="10.33203125" style="228" customWidth="1"/>
    <col min="13570" max="13815" width="9.109375" style="228"/>
    <col min="13816" max="13816" width="6.88671875" style="228" customWidth="1"/>
    <col min="13817" max="13817" width="2.6640625" style="228" customWidth="1"/>
    <col min="13818" max="13818" width="57.6640625" style="228" customWidth="1"/>
    <col min="13819" max="13819" width="9.109375" style="228"/>
    <col min="13820" max="13820" width="9.33203125" style="228" customWidth="1"/>
    <col min="13821" max="13821" width="14.109375" style="228" customWidth="1"/>
    <col min="13822" max="13822" width="13.5546875" style="228" customWidth="1"/>
    <col min="13823" max="13823" width="9.109375" style="228"/>
    <col min="13824" max="13824" width="11.88671875" style="228" customWidth="1"/>
    <col min="13825" max="13825" width="10.33203125" style="228" customWidth="1"/>
    <col min="13826" max="14071" width="9.109375" style="228"/>
    <col min="14072" max="14072" width="6.88671875" style="228" customWidth="1"/>
    <col min="14073" max="14073" width="2.6640625" style="228" customWidth="1"/>
    <col min="14074" max="14074" width="57.6640625" style="228" customWidth="1"/>
    <col min="14075" max="14075" width="9.109375" style="228"/>
    <col min="14076" max="14076" width="9.33203125" style="228" customWidth="1"/>
    <col min="14077" max="14077" width="14.109375" style="228" customWidth="1"/>
    <col min="14078" max="14078" width="13.5546875" style="228" customWidth="1"/>
    <col min="14079" max="14079" width="9.109375" style="228"/>
    <col min="14080" max="14080" width="11.88671875" style="228" customWidth="1"/>
    <col min="14081" max="14081" width="10.33203125" style="228" customWidth="1"/>
    <col min="14082" max="14327" width="9.109375" style="228"/>
    <col min="14328" max="14328" width="6.88671875" style="228" customWidth="1"/>
    <col min="14329" max="14329" width="2.6640625" style="228" customWidth="1"/>
    <col min="14330" max="14330" width="57.6640625" style="228" customWidth="1"/>
    <col min="14331" max="14331" width="9.109375" style="228"/>
    <col min="14332" max="14332" width="9.33203125" style="228" customWidth="1"/>
    <col min="14333" max="14333" width="14.109375" style="228" customWidth="1"/>
    <col min="14334" max="14334" width="13.5546875" style="228" customWidth="1"/>
    <col min="14335" max="14335" width="9.109375" style="228"/>
    <col min="14336" max="14336" width="11.88671875" style="228" customWidth="1"/>
    <col min="14337" max="14337" width="10.33203125" style="228" customWidth="1"/>
    <col min="14338" max="14583" width="9.109375" style="228"/>
    <col min="14584" max="14584" width="6.88671875" style="228" customWidth="1"/>
    <col min="14585" max="14585" width="2.6640625" style="228" customWidth="1"/>
    <col min="14586" max="14586" width="57.6640625" style="228" customWidth="1"/>
    <col min="14587" max="14587" width="9.109375" style="228"/>
    <col min="14588" max="14588" width="9.33203125" style="228" customWidth="1"/>
    <col min="14589" max="14589" width="14.109375" style="228" customWidth="1"/>
    <col min="14590" max="14590" width="13.5546875" style="228" customWidth="1"/>
    <col min="14591" max="14591" width="9.109375" style="228"/>
    <col min="14592" max="14592" width="11.88671875" style="228" customWidth="1"/>
    <col min="14593" max="14593" width="10.33203125" style="228" customWidth="1"/>
    <col min="14594" max="14839" width="9.109375" style="228"/>
    <col min="14840" max="14840" width="6.88671875" style="228" customWidth="1"/>
    <col min="14841" max="14841" width="2.6640625" style="228" customWidth="1"/>
    <col min="14842" max="14842" width="57.6640625" style="228" customWidth="1"/>
    <col min="14843" max="14843" width="9.109375" style="228"/>
    <col min="14844" max="14844" width="9.33203125" style="228" customWidth="1"/>
    <col min="14845" max="14845" width="14.109375" style="228" customWidth="1"/>
    <col min="14846" max="14846" width="13.5546875" style="228" customWidth="1"/>
    <col min="14847" max="14847" width="9.109375" style="228"/>
    <col min="14848" max="14848" width="11.88671875" style="228" customWidth="1"/>
    <col min="14849" max="14849" width="10.33203125" style="228" customWidth="1"/>
    <col min="14850" max="15095" width="9.109375" style="228"/>
    <col min="15096" max="15096" width="6.88671875" style="228" customWidth="1"/>
    <col min="15097" max="15097" width="2.6640625" style="228" customWidth="1"/>
    <col min="15098" max="15098" width="57.6640625" style="228" customWidth="1"/>
    <col min="15099" max="15099" width="9.109375" style="228"/>
    <col min="15100" max="15100" width="9.33203125" style="228" customWidth="1"/>
    <col min="15101" max="15101" width="14.109375" style="228" customWidth="1"/>
    <col min="15102" max="15102" width="13.5546875" style="228" customWidth="1"/>
    <col min="15103" max="15103" width="9.109375" style="228"/>
    <col min="15104" max="15104" width="11.88671875" style="228" customWidth="1"/>
    <col min="15105" max="15105" width="10.33203125" style="228" customWidth="1"/>
    <col min="15106" max="15351" width="9.109375" style="228"/>
    <col min="15352" max="15352" width="6.88671875" style="228" customWidth="1"/>
    <col min="15353" max="15353" width="2.6640625" style="228" customWidth="1"/>
    <col min="15354" max="15354" width="57.6640625" style="228" customWidth="1"/>
    <col min="15355" max="15355" width="9.109375" style="228"/>
    <col min="15356" max="15356" width="9.33203125" style="228" customWidth="1"/>
    <col min="15357" max="15357" width="14.109375" style="228" customWidth="1"/>
    <col min="15358" max="15358" width="13.5546875" style="228" customWidth="1"/>
    <col min="15359" max="15359" width="9.109375" style="228"/>
    <col min="15360" max="15360" width="11.88671875" style="228" customWidth="1"/>
    <col min="15361" max="15361" width="10.33203125" style="228" customWidth="1"/>
    <col min="15362" max="15607" width="9.109375" style="228"/>
    <col min="15608" max="15608" width="6.88671875" style="228" customWidth="1"/>
    <col min="15609" max="15609" width="2.6640625" style="228" customWidth="1"/>
    <col min="15610" max="15610" width="57.6640625" style="228" customWidth="1"/>
    <col min="15611" max="15611" width="9.109375" style="228"/>
    <col min="15612" max="15612" width="9.33203125" style="228" customWidth="1"/>
    <col min="15613" max="15613" width="14.109375" style="228" customWidth="1"/>
    <col min="15614" max="15614" width="13.5546875" style="228" customWidth="1"/>
    <col min="15615" max="15615" width="9.109375" style="228"/>
    <col min="15616" max="15616" width="11.88671875" style="228" customWidth="1"/>
    <col min="15617" max="15617" width="10.33203125" style="228" customWidth="1"/>
    <col min="15618" max="15863" width="9.109375" style="228"/>
    <col min="15864" max="15864" width="6.88671875" style="228" customWidth="1"/>
    <col min="15865" max="15865" width="2.6640625" style="228" customWidth="1"/>
    <col min="15866" max="15866" width="57.6640625" style="228" customWidth="1"/>
    <col min="15867" max="15867" width="9.109375" style="228"/>
    <col min="15868" max="15868" width="9.33203125" style="228" customWidth="1"/>
    <col min="15869" max="15869" width="14.109375" style="228" customWidth="1"/>
    <col min="15870" max="15870" width="13.5546875" style="228" customWidth="1"/>
    <col min="15871" max="15871" width="9.109375" style="228"/>
    <col min="15872" max="15872" width="11.88671875" style="228" customWidth="1"/>
    <col min="15873" max="15873" width="10.33203125" style="228" customWidth="1"/>
    <col min="15874" max="16119" width="9.109375" style="228"/>
    <col min="16120" max="16120" width="6.88671875" style="228" customWidth="1"/>
    <col min="16121" max="16121" width="2.6640625" style="228" customWidth="1"/>
    <col min="16122" max="16122" width="57.6640625" style="228" customWidth="1"/>
    <col min="16123" max="16123" width="9.109375" style="228"/>
    <col min="16124" max="16124" width="9.33203125" style="228" customWidth="1"/>
    <col min="16125" max="16125" width="14.109375" style="228" customWidth="1"/>
    <col min="16126" max="16126" width="13.5546875" style="228" customWidth="1"/>
    <col min="16127" max="16127" width="9.109375" style="228"/>
    <col min="16128" max="16128" width="11.88671875" style="228" customWidth="1"/>
    <col min="16129" max="16129" width="10.33203125" style="228" customWidth="1"/>
    <col min="16130" max="16383" width="9.109375" style="228"/>
    <col min="16384" max="16384" width="9.109375" style="228" customWidth="1"/>
  </cols>
  <sheetData>
    <row r="1" spans="1:218" ht="12">
      <c r="A1" s="332" t="str">
        <f>'I. PERSIAPAN'!B1</f>
        <v>PROGRESS MINGGUAN</v>
      </c>
    </row>
    <row r="2" spans="1:218" ht="12">
      <c r="A2" s="332" t="str">
        <f>'I. PERSIAPAN'!B2</f>
        <v>PROYEK SHOWROOM &amp; WORKSHOP</v>
      </c>
    </row>
    <row r="3" spans="1:218" ht="12">
      <c r="A3" s="332" t="str">
        <f>'I. PERSIAPAN'!B3</f>
        <v>DAIHATSU Cabang BATAM-KEPULAUAN RIAU</v>
      </c>
    </row>
    <row r="4" spans="1:218" ht="12">
      <c r="A4" s="332" t="str">
        <f>'I. PERSIAPAN'!B4</f>
        <v xml:space="preserve">PT. ASTRA INTERNATIONAL Tbk </v>
      </c>
    </row>
    <row r="5" spans="1:218" ht="12">
      <c r="A5" s="332" t="str">
        <f>'I. PERSIAPAN'!B5</f>
        <v>PERIODE : 6- 18 April2026</v>
      </c>
    </row>
    <row r="6" spans="1:218" ht="12">
      <c r="A6" s="332" t="str">
        <f>'I. PERSIAPAN'!B6</f>
        <v>MINGGU KE 2 (Dua)</v>
      </c>
    </row>
    <row r="7" spans="1:218" ht="19.5" customHeight="1">
      <c r="A7" s="332"/>
      <c r="F7" s="2191"/>
      <c r="G7" s="2191"/>
    </row>
    <row r="8" spans="1:218" ht="15" customHeight="1">
      <c r="A8" s="2204" t="s">
        <v>93</v>
      </c>
      <c r="B8" s="2206" t="s">
        <v>740</v>
      </c>
      <c r="C8" s="2206"/>
      <c r="D8" s="2206" t="s">
        <v>766</v>
      </c>
      <c r="E8" s="2208" t="s">
        <v>742</v>
      </c>
      <c r="F8" s="333" t="s">
        <v>552</v>
      </c>
      <c r="G8" s="334" t="s">
        <v>743</v>
      </c>
      <c r="H8" s="2161" t="s">
        <v>14</v>
      </c>
      <c r="I8" s="2099" t="s">
        <v>64</v>
      </c>
      <c r="J8" s="2099"/>
      <c r="K8" s="2099"/>
      <c r="L8" s="2099" t="s">
        <v>16</v>
      </c>
      <c r="M8" s="2099"/>
      <c r="N8" s="2099"/>
      <c r="O8" s="336" t="s">
        <v>65</v>
      </c>
      <c r="P8" s="336"/>
      <c r="Q8" s="336"/>
      <c r="R8" s="2103" t="s">
        <v>18</v>
      </c>
    </row>
    <row r="9" spans="1:218" ht="13.8">
      <c r="A9" s="2205"/>
      <c r="B9" s="2207"/>
      <c r="C9" s="2207"/>
      <c r="D9" s="2207"/>
      <c r="E9" s="2209"/>
      <c r="F9" s="337" t="s">
        <v>744</v>
      </c>
      <c r="G9" s="338" t="s">
        <v>552</v>
      </c>
      <c r="H9" s="2162"/>
      <c r="I9" s="340" t="s">
        <v>20</v>
      </c>
      <c r="J9" s="341" t="s">
        <v>21</v>
      </c>
      <c r="K9" s="342" t="s">
        <v>14</v>
      </c>
      <c r="L9" s="340" t="s">
        <v>20</v>
      </c>
      <c r="M9" s="343" t="s">
        <v>21</v>
      </c>
      <c r="N9" s="343" t="s">
        <v>14</v>
      </c>
      <c r="O9" s="344" t="s">
        <v>20</v>
      </c>
      <c r="P9" s="340" t="s">
        <v>21</v>
      </c>
      <c r="Q9" s="342" t="s">
        <v>14</v>
      </c>
      <c r="R9" s="2105"/>
    </row>
    <row r="10" spans="1:218">
      <c r="A10" s="345"/>
      <c r="B10" s="346"/>
      <c r="C10" s="347"/>
      <c r="D10" s="348"/>
      <c r="E10" s="349"/>
      <c r="F10" s="350"/>
      <c r="G10" s="351"/>
      <c r="H10" s="349"/>
      <c r="I10" s="351"/>
      <c r="J10" s="351"/>
      <c r="K10" s="351"/>
      <c r="L10" s="351"/>
      <c r="M10" s="351"/>
      <c r="N10" s="351"/>
      <c r="O10" s="351"/>
      <c r="P10" s="351"/>
      <c r="Q10" s="351"/>
      <c r="R10" s="351"/>
    </row>
    <row r="11" spans="1:218" s="328" customFormat="1" ht="12">
      <c r="A11" s="352" t="s">
        <v>22</v>
      </c>
      <c r="B11" s="353" t="s">
        <v>29</v>
      </c>
      <c r="C11" s="354"/>
      <c r="D11" s="355"/>
      <c r="E11" s="356"/>
      <c r="F11" s="357"/>
      <c r="G11" s="358"/>
      <c r="H11" s="359"/>
      <c r="I11" s="360"/>
      <c r="J11" s="360"/>
      <c r="K11" s="360"/>
      <c r="L11" s="360"/>
      <c r="M11" s="360"/>
      <c r="N11" s="360"/>
      <c r="O11" s="360"/>
      <c r="P11" s="360"/>
      <c r="Q11" s="360"/>
      <c r="R11" s="360"/>
      <c r="S11" s="361"/>
      <c r="T11" s="361"/>
      <c r="U11" s="361"/>
      <c r="V11" s="361"/>
      <c r="W11" s="361"/>
      <c r="X11" s="361"/>
      <c r="Y11" s="361"/>
      <c r="Z11" s="361"/>
      <c r="AA11" s="361"/>
      <c r="AB11" s="361"/>
      <c r="AC11" s="361"/>
      <c r="AD11" s="361"/>
      <c r="AE11" s="361"/>
      <c r="AF11" s="361"/>
      <c r="AG11" s="361"/>
      <c r="AH11" s="361"/>
      <c r="AI11" s="361"/>
      <c r="AJ11" s="361"/>
      <c r="AK11" s="361"/>
      <c r="AL11" s="361"/>
      <c r="AM11" s="361"/>
      <c r="AN11" s="361"/>
      <c r="AO11" s="361"/>
      <c r="AP11" s="361"/>
      <c r="AQ11" s="361"/>
      <c r="AR11" s="361"/>
      <c r="AS11" s="361"/>
      <c r="AT11" s="361"/>
      <c r="AU11" s="361"/>
      <c r="AV11" s="361"/>
      <c r="AW11" s="361"/>
      <c r="AX11" s="361"/>
      <c r="AY11" s="361"/>
      <c r="AZ11" s="361"/>
      <c r="BA11" s="361"/>
      <c r="BB11" s="361"/>
      <c r="BC11" s="361"/>
      <c r="BD11" s="361"/>
      <c r="BE11" s="361"/>
      <c r="BF11" s="361"/>
      <c r="BG11" s="361"/>
      <c r="BH11" s="361"/>
      <c r="BI11" s="361"/>
      <c r="BJ11" s="361"/>
      <c r="BK11" s="361"/>
      <c r="BL11" s="361"/>
      <c r="BM11" s="361"/>
      <c r="BN11" s="361"/>
      <c r="BO11" s="361"/>
      <c r="BP11" s="361"/>
      <c r="BQ11" s="361"/>
      <c r="BR11" s="361"/>
      <c r="BS11" s="361"/>
      <c r="BT11" s="361"/>
      <c r="BU11" s="361"/>
      <c r="BV11" s="361"/>
      <c r="BW11" s="361"/>
      <c r="BX11" s="361"/>
      <c r="BY11" s="361"/>
      <c r="BZ11" s="361"/>
      <c r="CA11" s="361"/>
      <c r="CB11" s="361"/>
      <c r="CC11" s="361"/>
      <c r="CD11" s="361"/>
      <c r="CE11" s="361"/>
      <c r="CF11" s="361"/>
      <c r="CG11" s="361"/>
      <c r="CH11" s="361"/>
      <c r="CI11" s="361"/>
      <c r="CJ11" s="361"/>
      <c r="CK11" s="361"/>
      <c r="CL11" s="361"/>
      <c r="CM11" s="361"/>
      <c r="CN11" s="361"/>
      <c r="CO11" s="361"/>
      <c r="CP11" s="361"/>
      <c r="CQ11" s="361"/>
      <c r="CR11" s="361"/>
      <c r="CS11" s="361"/>
      <c r="CT11" s="361"/>
      <c r="CU11" s="361"/>
      <c r="CV11" s="361"/>
      <c r="CW11" s="361"/>
      <c r="CX11" s="361"/>
      <c r="CY11" s="361"/>
      <c r="CZ11" s="361"/>
      <c r="DA11" s="361"/>
      <c r="DB11" s="361"/>
      <c r="DC11" s="361"/>
      <c r="DD11" s="361"/>
      <c r="DE11" s="361"/>
      <c r="DF11" s="361"/>
      <c r="DG11" s="361"/>
      <c r="DH11" s="361"/>
      <c r="DI11" s="361"/>
      <c r="DJ11" s="361"/>
      <c r="DK11" s="361"/>
      <c r="DL11" s="361"/>
      <c r="DM11" s="361"/>
      <c r="DN11" s="361"/>
      <c r="DO11" s="361"/>
      <c r="DP11" s="361"/>
      <c r="DQ11" s="361"/>
      <c r="DR11" s="361"/>
      <c r="DS11" s="361"/>
      <c r="DT11" s="361"/>
      <c r="DU11" s="361"/>
      <c r="DV11" s="361"/>
      <c r="DW11" s="361"/>
      <c r="DX11" s="361"/>
      <c r="DY11" s="361"/>
      <c r="DZ11" s="361"/>
      <c r="EA11" s="361"/>
      <c r="EB11" s="361"/>
      <c r="EC11" s="361"/>
      <c r="ED11" s="361"/>
      <c r="EE11" s="361"/>
      <c r="EF11" s="361"/>
      <c r="EG11" s="361"/>
      <c r="EH11" s="361"/>
      <c r="EI11" s="361"/>
      <c r="EJ11" s="361"/>
      <c r="EK11" s="361"/>
      <c r="EL11" s="361"/>
      <c r="EM11" s="361"/>
      <c r="EN11" s="361"/>
      <c r="EO11" s="361"/>
      <c r="EP11" s="361"/>
      <c r="EQ11" s="361"/>
      <c r="ER11" s="361"/>
      <c r="ES11" s="361"/>
      <c r="ET11" s="361"/>
      <c r="EU11" s="361"/>
      <c r="EV11" s="361"/>
      <c r="EW11" s="361"/>
      <c r="EX11" s="361"/>
      <c r="EY11" s="361"/>
      <c r="EZ11" s="361"/>
      <c r="FA11" s="361"/>
      <c r="FB11" s="361"/>
      <c r="FC11" s="361"/>
      <c r="FD11" s="361"/>
      <c r="FE11" s="361"/>
      <c r="FF11" s="361"/>
      <c r="FG11" s="361"/>
      <c r="FH11" s="361"/>
      <c r="FI11" s="361"/>
      <c r="FJ11" s="361"/>
      <c r="FK11" s="361"/>
      <c r="FL11" s="361"/>
      <c r="FM11" s="361"/>
      <c r="FN11" s="361"/>
      <c r="FO11" s="361"/>
      <c r="FP11" s="361"/>
      <c r="FQ11" s="361"/>
      <c r="FR11" s="361"/>
      <c r="FS11" s="361"/>
      <c r="FT11" s="361"/>
      <c r="FU11" s="361"/>
      <c r="FV11" s="361"/>
      <c r="FW11" s="361"/>
      <c r="FX11" s="361"/>
      <c r="FY11" s="361"/>
      <c r="FZ11" s="361"/>
      <c r="GA11" s="361"/>
      <c r="GB11" s="361"/>
      <c r="GC11" s="361"/>
      <c r="GD11" s="361"/>
      <c r="GE11" s="361"/>
      <c r="GF11" s="361"/>
      <c r="GG11" s="361"/>
      <c r="GH11" s="361"/>
      <c r="GI11" s="361"/>
      <c r="GJ11" s="361"/>
      <c r="GK11" s="361"/>
      <c r="GL11" s="361"/>
      <c r="GM11" s="361"/>
      <c r="GN11" s="361"/>
      <c r="GO11" s="361"/>
      <c r="GP11" s="361"/>
      <c r="GQ11" s="361"/>
      <c r="GR11" s="361"/>
      <c r="GS11" s="361"/>
      <c r="GT11" s="361"/>
      <c r="GU11" s="361"/>
      <c r="GV11" s="361"/>
      <c r="GW11" s="361"/>
      <c r="GX11" s="361"/>
      <c r="GY11" s="361"/>
      <c r="GZ11" s="361"/>
      <c r="HA11" s="361"/>
      <c r="HB11" s="361"/>
      <c r="HC11" s="361"/>
      <c r="HD11" s="361"/>
      <c r="HE11" s="361"/>
      <c r="HF11" s="361"/>
      <c r="HG11" s="361"/>
      <c r="HH11" s="361"/>
      <c r="HI11" s="361"/>
      <c r="HJ11" s="361"/>
    </row>
    <row r="12" spans="1:218" s="328" customFormat="1">
      <c r="A12" s="362"/>
      <c r="B12" s="363"/>
      <c r="C12" s="354"/>
      <c r="D12" s="355"/>
      <c r="E12" s="356"/>
      <c r="F12" s="357"/>
      <c r="G12" s="358"/>
      <c r="H12" s="359"/>
      <c r="I12" s="360"/>
      <c r="J12" s="360"/>
      <c r="K12" s="360"/>
      <c r="L12" s="360"/>
      <c r="M12" s="360"/>
      <c r="N12" s="360"/>
      <c r="O12" s="360"/>
      <c r="P12" s="360"/>
      <c r="Q12" s="360"/>
      <c r="R12" s="360"/>
      <c r="S12" s="361"/>
      <c r="T12" s="361"/>
      <c r="U12" s="361"/>
      <c r="V12" s="361"/>
      <c r="W12" s="361"/>
      <c r="X12" s="361"/>
      <c r="Y12" s="361"/>
      <c r="Z12" s="361"/>
      <c r="AA12" s="361"/>
      <c r="AB12" s="361"/>
      <c r="AC12" s="361"/>
      <c r="AD12" s="361"/>
      <c r="AE12" s="361"/>
      <c r="AF12" s="361"/>
      <c r="AG12" s="361"/>
      <c r="AH12" s="361"/>
      <c r="AI12" s="361"/>
      <c r="AJ12" s="361"/>
      <c r="AK12" s="361"/>
      <c r="AL12" s="361"/>
      <c r="AM12" s="361"/>
      <c r="AN12" s="361"/>
      <c r="AO12" s="361"/>
      <c r="AP12" s="361"/>
      <c r="AQ12" s="361"/>
      <c r="AR12" s="361"/>
      <c r="AS12" s="361"/>
      <c r="AT12" s="361"/>
      <c r="AU12" s="361"/>
      <c r="AV12" s="361"/>
      <c r="AW12" s="361"/>
      <c r="AX12" s="361"/>
      <c r="AY12" s="361"/>
      <c r="AZ12" s="361"/>
      <c r="BA12" s="361"/>
      <c r="BB12" s="361"/>
      <c r="BC12" s="361"/>
      <c r="BD12" s="361"/>
      <c r="BE12" s="361"/>
      <c r="BF12" s="361"/>
      <c r="BG12" s="361"/>
      <c r="BH12" s="361"/>
      <c r="BI12" s="361"/>
      <c r="BJ12" s="361"/>
      <c r="BK12" s="361"/>
      <c r="BL12" s="361"/>
      <c r="BM12" s="361"/>
      <c r="BN12" s="361"/>
      <c r="BO12" s="361"/>
      <c r="BP12" s="361"/>
      <c r="BQ12" s="361"/>
      <c r="BR12" s="361"/>
      <c r="BS12" s="361"/>
      <c r="BT12" s="361"/>
      <c r="BU12" s="361"/>
      <c r="BV12" s="361"/>
      <c r="BW12" s="361"/>
      <c r="BX12" s="361"/>
      <c r="BY12" s="361"/>
      <c r="BZ12" s="361"/>
      <c r="CA12" s="361"/>
      <c r="CB12" s="361"/>
      <c r="CC12" s="361"/>
      <c r="CD12" s="361"/>
      <c r="CE12" s="361"/>
      <c r="CF12" s="361"/>
      <c r="CG12" s="361"/>
      <c r="CH12" s="361"/>
      <c r="CI12" s="361"/>
      <c r="CJ12" s="361"/>
      <c r="CK12" s="361"/>
      <c r="CL12" s="361"/>
      <c r="CM12" s="361"/>
      <c r="CN12" s="361"/>
      <c r="CO12" s="361"/>
      <c r="CP12" s="361"/>
      <c r="CQ12" s="361"/>
      <c r="CR12" s="361"/>
      <c r="CS12" s="361"/>
      <c r="CT12" s="361"/>
      <c r="CU12" s="361"/>
      <c r="CV12" s="361"/>
      <c r="CW12" s="361"/>
      <c r="CX12" s="361"/>
      <c r="CY12" s="361"/>
      <c r="CZ12" s="361"/>
      <c r="DA12" s="361"/>
      <c r="DB12" s="361"/>
      <c r="DC12" s="361"/>
      <c r="DD12" s="361"/>
      <c r="DE12" s="361"/>
      <c r="DF12" s="361"/>
      <c r="DG12" s="361"/>
      <c r="DH12" s="361"/>
      <c r="DI12" s="361"/>
      <c r="DJ12" s="361"/>
      <c r="DK12" s="361"/>
      <c r="DL12" s="361"/>
      <c r="DM12" s="361"/>
      <c r="DN12" s="361"/>
      <c r="DO12" s="361"/>
      <c r="DP12" s="361"/>
      <c r="DQ12" s="361"/>
      <c r="DR12" s="361"/>
      <c r="DS12" s="361"/>
      <c r="DT12" s="361"/>
      <c r="DU12" s="361"/>
      <c r="DV12" s="361"/>
      <c r="DW12" s="361"/>
      <c r="DX12" s="361"/>
      <c r="DY12" s="361"/>
      <c r="DZ12" s="361"/>
      <c r="EA12" s="361"/>
      <c r="EB12" s="361"/>
      <c r="EC12" s="361"/>
      <c r="ED12" s="361"/>
      <c r="EE12" s="361"/>
      <c r="EF12" s="361"/>
      <c r="EG12" s="361"/>
      <c r="EH12" s="361"/>
      <c r="EI12" s="361"/>
      <c r="EJ12" s="361"/>
      <c r="EK12" s="361"/>
      <c r="EL12" s="361"/>
      <c r="EM12" s="361"/>
      <c r="EN12" s="361"/>
      <c r="EO12" s="361"/>
      <c r="EP12" s="361"/>
      <c r="EQ12" s="361"/>
      <c r="ER12" s="361"/>
      <c r="ES12" s="361"/>
      <c r="ET12" s="361"/>
      <c r="EU12" s="361"/>
      <c r="EV12" s="361"/>
      <c r="EW12" s="361"/>
      <c r="EX12" s="361"/>
      <c r="EY12" s="361"/>
      <c r="EZ12" s="361"/>
      <c r="FA12" s="361"/>
      <c r="FB12" s="361"/>
      <c r="FC12" s="361"/>
      <c r="FD12" s="361"/>
      <c r="FE12" s="361"/>
      <c r="FF12" s="361"/>
      <c r="FG12" s="361"/>
      <c r="FH12" s="361"/>
      <c r="FI12" s="361"/>
      <c r="FJ12" s="361"/>
      <c r="FK12" s="361"/>
      <c r="FL12" s="361"/>
      <c r="FM12" s="361"/>
      <c r="FN12" s="361"/>
      <c r="FO12" s="361"/>
      <c r="FP12" s="361"/>
      <c r="FQ12" s="361"/>
      <c r="FR12" s="361"/>
      <c r="FS12" s="361"/>
      <c r="FT12" s="361"/>
      <c r="FU12" s="361"/>
      <c r="FV12" s="361"/>
      <c r="FW12" s="361"/>
      <c r="FX12" s="361"/>
      <c r="FY12" s="361"/>
      <c r="FZ12" s="361"/>
      <c r="GA12" s="361"/>
      <c r="GB12" s="361"/>
      <c r="GC12" s="361"/>
      <c r="GD12" s="361"/>
      <c r="GE12" s="361"/>
      <c r="GF12" s="361"/>
      <c r="GG12" s="361"/>
      <c r="GH12" s="361"/>
      <c r="GI12" s="361"/>
      <c r="GJ12" s="361"/>
      <c r="GK12" s="361"/>
      <c r="GL12" s="361"/>
      <c r="GM12" s="361"/>
      <c r="GN12" s="361"/>
      <c r="GO12" s="361"/>
      <c r="GP12" s="361"/>
      <c r="GQ12" s="361"/>
      <c r="GR12" s="361"/>
      <c r="GS12" s="361"/>
      <c r="GT12" s="361"/>
      <c r="GU12" s="361"/>
      <c r="GV12" s="361"/>
      <c r="GW12" s="361"/>
      <c r="GX12" s="361"/>
      <c r="GY12" s="361"/>
      <c r="GZ12" s="361"/>
      <c r="HA12" s="361"/>
      <c r="HB12" s="361"/>
      <c r="HC12" s="361"/>
      <c r="HD12" s="361"/>
      <c r="HE12" s="361"/>
      <c r="HF12" s="361"/>
      <c r="HG12" s="361"/>
      <c r="HH12" s="361"/>
      <c r="HI12" s="361"/>
      <c r="HJ12" s="361"/>
    </row>
    <row r="13" spans="1:218" ht="12">
      <c r="A13" s="364" t="s">
        <v>25</v>
      </c>
      <c r="B13" s="365" t="s">
        <v>805</v>
      </c>
      <c r="C13" s="366"/>
      <c r="D13" s="355"/>
      <c r="E13" s="355"/>
      <c r="F13" s="367"/>
      <c r="G13" s="368"/>
      <c r="H13" s="355"/>
      <c r="I13" s="358"/>
      <c r="J13" s="358"/>
      <c r="K13" s="358"/>
      <c r="L13" s="358"/>
      <c r="M13" s="358"/>
      <c r="N13" s="358"/>
      <c r="O13" s="358"/>
      <c r="P13" s="358"/>
      <c r="Q13" s="358"/>
      <c r="R13" s="358"/>
    </row>
    <row r="14" spans="1:218">
      <c r="A14" s="369"/>
      <c r="B14" s="370" t="s">
        <v>806</v>
      </c>
      <c r="C14" s="366"/>
      <c r="D14" s="369"/>
      <c r="E14" s="355"/>
      <c r="F14" s="367"/>
      <c r="G14" s="368"/>
      <c r="H14" s="355"/>
      <c r="I14" s="358"/>
      <c r="J14" s="358"/>
      <c r="K14" s="358"/>
      <c r="L14" s="358"/>
      <c r="M14" s="358"/>
      <c r="N14" s="358"/>
      <c r="O14" s="358"/>
      <c r="P14" s="358"/>
      <c r="Q14" s="358"/>
      <c r="R14" s="358"/>
    </row>
    <row r="15" spans="1:218">
      <c r="A15" s="369"/>
      <c r="B15" s="370" t="s">
        <v>807</v>
      </c>
      <c r="C15" s="366"/>
      <c r="D15" s="369"/>
      <c r="E15" s="355"/>
      <c r="F15" s="367"/>
      <c r="G15" s="368"/>
      <c r="H15" s="355"/>
      <c r="I15" s="358"/>
      <c r="J15" s="358"/>
      <c r="K15" s="358"/>
      <c r="L15" s="358"/>
      <c r="M15" s="358"/>
      <c r="N15" s="358"/>
      <c r="O15" s="358"/>
      <c r="P15" s="358"/>
      <c r="Q15" s="358"/>
      <c r="R15" s="358"/>
    </row>
    <row r="16" spans="1:218">
      <c r="A16" s="369"/>
      <c r="B16" s="370" t="s">
        <v>808</v>
      </c>
      <c r="C16" s="366"/>
      <c r="D16" s="369"/>
      <c r="E16" s="355"/>
      <c r="F16" s="367"/>
      <c r="G16" s="368"/>
      <c r="H16" s="355"/>
      <c r="I16" s="358"/>
      <c r="J16" s="358"/>
      <c r="K16" s="358"/>
      <c r="L16" s="358"/>
      <c r="M16" s="358"/>
      <c r="N16" s="358"/>
      <c r="O16" s="358"/>
      <c r="P16" s="358"/>
      <c r="Q16" s="358"/>
      <c r="R16" s="358"/>
    </row>
    <row r="17" spans="1:18">
      <c r="A17" s="369"/>
      <c r="B17" s="370" t="s">
        <v>809</v>
      </c>
      <c r="C17" s="366"/>
      <c r="D17" s="369"/>
      <c r="E17" s="355"/>
      <c r="F17" s="367"/>
      <c r="G17" s="368"/>
      <c r="H17" s="355"/>
      <c r="I17" s="358"/>
      <c r="J17" s="358"/>
      <c r="K17" s="358"/>
      <c r="L17" s="358"/>
      <c r="M17" s="358"/>
      <c r="N17" s="358"/>
      <c r="O17" s="358"/>
      <c r="P17" s="358"/>
      <c r="Q17" s="358"/>
      <c r="R17" s="358"/>
    </row>
    <row r="18" spans="1:18">
      <c r="A18" s="369"/>
      <c r="B18" s="370" t="s">
        <v>810</v>
      </c>
      <c r="C18" s="354"/>
      <c r="D18" s="355"/>
      <c r="E18" s="355"/>
      <c r="F18" s="367"/>
      <c r="G18" s="368"/>
      <c r="H18" s="356"/>
      <c r="I18" s="358"/>
      <c r="J18" s="358"/>
      <c r="K18" s="358"/>
      <c r="L18" s="358"/>
      <c r="M18" s="358"/>
      <c r="N18" s="358"/>
      <c r="O18" s="358"/>
      <c r="P18" s="358"/>
      <c r="Q18" s="358"/>
      <c r="R18" s="358"/>
    </row>
    <row r="19" spans="1:18">
      <c r="A19" s="369"/>
      <c r="B19" s="371"/>
      <c r="C19" s="354"/>
      <c r="D19" s="355"/>
      <c r="E19" s="355"/>
      <c r="F19" s="367"/>
      <c r="G19" s="368"/>
      <c r="H19" s="356"/>
      <c r="I19" s="358"/>
      <c r="J19" s="358"/>
      <c r="K19" s="358"/>
      <c r="L19" s="358"/>
      <c r="M19" s="358"/>
      <c r="N19" s="358"/>
      <c r="O19" s="358"/>
      <c r="P19" s="358"/>
      <c r="Q19" s="358"/>
      <c r="R19" s="358"/>
    </row>
    <row r="20" spans="1:18" s="328" customFormat="1">
      <c r="A20" s="369"/>
      <c r="B20" s="370" t="s">
        <v>859</v>
      </c>
      <c r="C20" s="354"/>
      <c r="D20" s="355"/>
      <c r="E20" s="355"/>
      <c r="F20" s="367"/>
      <c r="G20" s="368"/>
      <c r="H20" s="372"/>
      <c r="I20" s="372"/>
      <c r="J20" s="372"/>
      <c r="K20" s="372"/>
      <c r="L20" s="372"/>
      <c r="M20" s="372"/>
      <c r="N20" s="372"/>
      <c r="O20" s="372"/>
      <c r="P20" s="372"/>
      <c r="Q20" s="372"/>
      <c r="R20" s="372"/>
    </row>
    <row r="21" spans="1:18" s="328" customFormat="1">
      <c r="A21" s="369"/>
      <c r="B21" s="371"/>
      <c r="C21" s="354"/>
      <c r="D21" s="355"/>
      <c r="E21" s="355"/>
      <c r="F21" s="367"/>
      <c r="G21" s="368"/>
      <c r="H21" s="372"/>
      <c r="I21" s="372"/>
      <c r="J21" s="372"/>
      <c r="K21" s="372"/>
      <c r="L21" s="372"/>
      <c r="M21" s="372"/>
      <c r="N21" s="372"/>
      <c r="O21" s="372"/>
      <c r="P21" s="372"/>
      <c r="Q21" s="372"/>
      <c r="R21" s="372"/>
    </row>
    <row r="22" spans="1:18" s="328" customFormat="1" ht="13.8">
      <c r="A22" s="373"/>
      <c r="B22" s="371"/>
      <c r="C22" s="371" t="s">
        <v>826</v>
      </c>
      <c r="D22" s="355" t="s">
        <v>262</v>
      </c>
      <c r="E22" s="355">
        <v>5</v>
      </c>
      <c r="F22" s="367">
        <v>87491.25</v>
      </c>
      <c r="G22" s="368">
        <f>E22*F22</f>
        <v>437456.25</v>
      </c>
      <c r="H22" s="374">
        <f>G22/'REKAP TOTAL'!F44</f>
        <v>3.5977710155239462E-5</v>
      </c>
      <c r="I22" s="372"/>
      <c r="J22" s="372"/>
      <c r="K22" s="372"/>
      <c r="L22" s="372"/>
      <c r="M22" s="372"/>
      <c r="N22" s="372"/>
      <c r="O22" s="372"/>
      <c r="P22" s="372"/>
      <c r="Q22" s="372"/>
      <c r="R22" s="372"/>
    </row>
    <row r="23" spans="1:18" s="328" customFormat="1">
      <c r="A23" s="373"/>
      <c r="B23" s="371"/>
      <c r="C23" s="371"/>
      <c r="D23" s="355"/>
      <c r="E23" s="355"/>
      <c r="F23" s="367"/>
      <c r="G23" s="368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</row>
    <row r="24" spans="1:18" s="328" customFormat="1" ht="13.8">
      <c r="A24" s="373"/>
      <c r="B24" s="371"/>
      <c r="C24" s="371" t="s">
        <v>830</v>
      </c>
      <c r="D24" s="355" t="s">
        <v>179</v>
      </c>
      <c r="E24" s="355">
        <f>SUM(E22:E23)</f>
        <v>5</v>
      </c>
      <c r="F24" s="367">
        <v>381461.85</v>
      </c>
      <c r="G24" s="368">
        <f>E24*F24</f>
        <v>1907309.25</v>
      </c>
      <c r="H24" s="374">
        <f>G24/'REKAP TOTAL'!F44</f>
        <v>1.5686281627684404E-4</v>
      </c>
      <c r="I24" s="372"/>
      <c r="J24" s="372"/>
      <c r="K24" s="372"/>
      <c r="L24" s="372"/>
      <c r="M24" s="372"/>
      <c r="N24" s="372"/>
      <c r="O24" s="372"/>
      <c r="P24" s="372"/>
      <c r="Q24" s="372"/>
      <c r="R24" s="372"/>
    </row>
    <row r="25" spans="1:18" s="328" customFormat="1" ht="12">
      <c r="A25" s="373"/>
      <c r="B25" s="371"/>
      <c r="C25" s="371" t="s">
        <v>831</v>
      </c>
      <c r="D25" s="355"/>
      <c r="E25" s="355"/>
      <c r="F25" s="367"/>
      <c r="G25" s="368"/>
      <c r="H25" s="372"/>
      <c r="I25" s="372"/>
      <c r="J25" s="372"/>
      <c r="K25" s="372"/>
      <c r="L25" s="372"/>
      <c r="M25" s="372"/>
      <c r="N25" s="372"/>
      <c r="O25" s="372"/>
      <c r="P25" s="372"/>
      <c r="Q25" s="372"/>
      <c r="R25" s="372"/>
    </row>
    <row r="26" spans="1:18" s="328" customFormat="1">
      <c r="A26" s="373"/>
      <c r="B26" s="371"/>
      <c r="C26" s="371"/>
      <c r="D26" s="355"/>
      <c r="E26" s="355"/>
      <c r="F26" s="367"/>
      <c r="G26" s="368"/>
      <c r="H26" s="372"/>
      <c r="I26" s="372"/>
      <c r="J26" s="372"/>
      <c r="K26" s="372"/>
      <c r="L26" s="372"/>
      <c r="M26" s="372"/>
      <c r="N26" s="372"/>
      <c r="O26" s="372"/>
      <c r="P26" s="372"/>
      <c r="Q26" s="372"/>
      <c r="R26" s="372"/>
    </row>
    <row r="27" spans="1:18" s="328" customFormat="1">
      <c r="A27" s="369"/>
      <c r="B27" s="370" t="s">
        <v>860</v>
      </c>
      <c r="C27" s="354"/>
      <c r="D27" s="355"/>
      <c r="E27" s="355"/>
      <c r="F27" s="367"/>
      <c r="G27" s="368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</row>
    <row r="28" spans="1:18" s="328" customFormat="1">
      <c r="A28" s="369"/>
      <c r="B28" s="371"/>
      <c r="C28" s="354"/>
      <c r="D28" s="355"/>
      <c r="E28" s="355"/>
      <c r="F28" s="367"/>
      <c r="G28" s="368"/>
      <c r="H28" s="372"/>
      <c r="I28" s="372"/>
      <c r="J28" s="372"/>
      <c r="K28" s="372"/>
      <c r="L28" s="372"/>
      <c r="M28" s="372"/>
      <c r="N28" s="372"/>
      <c r="O28" s="372"/>
      <c r="P28" s="372"/>
      <c r="Q28" s="372"/>
      <c r="R28" s="372"/>
    </row>
    <row r="29" spans="1:18" s="328" customFormat="1" ht="12" customHeight="1">
      <c r="A29" s="373"/>
      <c r="B29" s="371"/>
      <c r="C29" s="375" t="s">
        <v>815</v>
      </c>
      <c r="D29" s="355" t="s">
        <v>262</v>
      </c>
      <c r="E29" s="355">
        <v>12</v>
      </c>
      <c r="F29" s="376">
        <v>338389.98736726597</v>
      </c>
      <c r="G29" s="368">
        <f>E29*F29</f>
        <v>4060679.8484071898</v>
      </c>
      <c r="H29" s="374">
        <f>G29/'REKAP TOTAL'!F44</f>
        <v>3.3396245366071597E-4</v>
      </c>
      <c r="I29" s="372"/>
      <c r="J29" s="372"/>
      <c r="K29" s="372"/>
      <c r="L29" s="372"/>
      <c r="M29" s="372"/>
      <c r="N29" s="372"/>
      <c r="O29" s="372"/>
      <c r="P29" s="372"/>
      <c r="Q29" s="372"/>
      <c r="R29" s="372"/>
    </row>
    <row r="30" spans="1:18" s="328" customFormat="1">
      <c r="A30" s="373"/>
      <c r="B30" s="371"/>
      <c r="C30" s="371" t="s">
        <v>813</v>
      </c>
      <c r="D30" s="355"/>
      <c r="E30" s="355"/>
      <c r="F30" s="367"/>
      <c r="G30" s="368"/>
      <c r="H30" s="372"/>
      <c r="I30" s="372"/>
      <c r="J30" s="372"/>
      <c r="K30" s="372"/>
      <c r="L30" s="372"/>
      <c r="M30" s="372"/>
      <c r="N30" s="372"/>
      <c r="O30" s="372"/>
      <c r="P30" s="372"/>
      <c r="Q30" s="372"/>
      <c r="R30" s="372"/>
    </row>
    <row r="31" spans="1:18" s="328" customFormat="1">
      <c r="A31" s="373"/>
      <c r="B31" s="363"/>
      <c r="C31" s="354"/>
      <c r="D31" s="355"/>
      <c r="E31" s="355"/>
      <c r="F31" s="367"/>
      <c r="G31" s="368"/>
      <c r="H31" s="372"/>
      <c r="I31" s="372"/>
      <c r="J31" s="372"/>
      <c r="K31" s="372"/>
      <c r="L31" s="372"/>
      <c r="M31" s="372"/>
      <c r="N31" s="372"/>
      <c r="O31" s="372"/>
      <c r="P31" s="372"/>
      <c r="Q31" s="372"/>
      <c r="R31" s="372"/>
    </row>
    <row r="32" spans="1:18" s="328" customFormat="1" ht="12.75" customHeight="1">
      <c r="A32" s="373"/>
      <c r="B32" s="371"/>
      <c r="C32" s="371" t="s">
        <v>820</v>
      </c>
      <c r="D32" s="355" t="s">
        <v>262</v>
      </c>
      <c r="E32" s="355">
        <v>1</v>
      </c>
      <c r="F32" s="377">
        <v>65326.8</v>
      </c>
      <c r="G32" s="368">
        <f>E32*F32</f>
        <v>65326.8</v>
      </c>
      <c r="H32" s="374">
        <f>G32/'REKAP TOTAL'!F44</f>
        <v>5.3726713831824258E-6</v>
      </c>
      <c r="I32" s="372"/>
      <c r="J32" s="372"/>
      <c r="K32" s="372"/>
      <c r="L32" s="372"/>
      <c r="M32" s="372"/>
      <c r="N32" s="372"/>
      <c r="O32" s="372"/>
      <c r="P32" s="372"/>
      <c r="Q32" s="372"/>
      <c r="R32" s="372"/>
    </row>
    <row r="33" spans="1:18" s="328" customFormat="1">
      <c r="A33" s="373"/>
      <c r="B33" s="371"/>
      <c r="C33" s="371"/>
      <c r="D33" s="355"/>
      <c r="E33" s="355"/>
      <c r="F33" s="367"/>
      <c r="G33" s="368"/>
      <c r="H33" s="372"/>
      <c r="I33" s="372"/>
      <c r="J33" s="372"/>
      <c r="K33" s="372"/>
      <c r="L33" s="372"/>
      <c r="M33" s="372"/>
      <c r="N33" s="372"/>
      <c r="O33" s="372"/>
      <c r="P33" s="372"/>
      <c r="Q33" s="372"/>
      <c r="R33" s="372"/>
    </row>
    <row r="34" spans="1:18" s="328" customFormat="1" ht="13.8">
      <c r="A34" s="373"/>
      <c r="B34" s="371"/>
      <c r="C34" s="371" t="s">
        <v>821</v>
      </c>
      <c r="D34" s="355" t="s">
        <v>262</v>
      </c>
      <c r="E34" s="355">
        <v>2</v>
      </c>
      <c r="F34" s="367">
        <v>71159.55</v>
      </c>
      <c r="G34" s="368">
        <f>E34*F34</f>
        <v>142319.1</v>
      </c>
      <c r="H34" s="374">
        <f>G34/'REKAP TOTAL'!F44</f>
        <v>1.1704748370504571E-5</v>
      </c>
      <c r="I34" s="372"/>
      <c r="J34" s="372"/>
      <c r="K34" s="372"/>
      <c r="L34" s="372"/>
      <c r="M34" s="372"/>
      <c r="N34" s="372"/>
      <c r="O34" s="372"/>
      <c r="P34" s="372"/>
      <c r="Q34" s="372"/>
      <c r="R34" s="372"/>
    </row>
    <row r="35" spans="1:18" s="328" customFormat="1">
      <c r="A35" s="373"/>
      <c r="B35" s="371"/>
      <c r="C35" s="371"/>
      <c r="D35" s="355"/>
      <c r="E35" s="355"/>
      <c r="F35" s="367"/>
      <c r="G35" s="368"/>
      <c r="H35" s="372"/>
      <c r="I35" s="372"/>
      <c r="J35" s="372"/>
      <c r="K35" s="372"/>
      <c r="L35" s="372"/>
      <c r="M35" s="372"/>
      <c r="N35" s="372"/>
      <c r="O35" s="372"/>
      <c r="P35" s="372"/>
      <c r="Q35" s="372"/>
      <c r="R35" s="372"/>
    </row>
    <row r="36" spans="1:18" s="328" customFormat="1" ht="13.8">
      <c r="A36" s="373"/>
      <c r="B36" s="371"/>
      <c r="C36" s="371" t="s">
        <v>823</v>
      </c>
      <c r="D36" s="355" t="s">
        <v>179</v>
      </c>
      <c r="E36" s="355">
        <f>SUM(E29)</f>
        <v>12</v>
      </c>
      <c r="F36" s="367">
        <v>334799.84999999998</v>
      </c>
      <c r="G36" s="368">
        <f>E36*F36</f>
        <v>4017598.2</v>
      </c>
      <c r="H36" s="374">
        <f>G36/'REKAP TOTAL'!F44</f>
        <v>3.304192900657192E-4</v>
      </c>
      <c r="I36" s="372"/>
      <c r="J36" s="372"/>
      <c r="K36" s="372"/>
      <c r="L36" s="372"/>
      <c r="M36" s="372"/>
      <c r="N36" s="372"/>
      <c r="O36" s="372"/>
      <c r="P36" s="372"/>
      <c r="Q36" s="372"/>
      <c r="R36" s="372"/>
    </row>
    <row r="37" spans="1:18" s="328" customFormat="1">
      <c r="A37" s="373"/>
      <c r="B37" s="371"/>
      <c r="C37" s="371" t="s">
        <v>824</v>
      </c>
      <c r="D37" s="355"/>
      <c r="E37" s="355"/>
      <c r="F37" s="367"/>
      <c r="G37" s="368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</row>
    <row r="38" spans="1:18" s="328" customFormat="1">
      <c r="A38" s="373"/>
      <c r="B38" s="371"/>
      <c r="C38" s="371"/>
      <c r="D38" s="355"/>
      <c r="E38" s="355"/>
      <c r="F38" s="367"/>
      <c r="G38" s="368"/>
      <c r="H38" s="372"/>
      <c r="I38" s="372"/>
      <c r="J38" s="372"/>
      <c r="K38" s="372"/>
      <c r="L38" s="372"/>
      <c r="M38" s="372"/>
      <c r="N38" s="372"/>
      <c r="O38" s="372"/>
      <c r="P38" s="372"/>
      <c r="Q38" s="372"/>
      <c r="R38" s="372"/>
    </row>
    <row r="39" spans="1:18" s="328" customFormat="1" ht="13.8">
      <c r="A39" s="373"/>
      <c r="B39" s="371"/>
      <c r="C39" s="371" t="s">
        <v>826</v>
      </c>
      <c r="D39" s="355" t="s">
        <v>262</v>
      </c>
      <c r="E39" s="355">
        <v>6</v>
      </c>
      <c r="F39" s="367">
        <v>87491.25</v>
      </c>
      <c r="G39" s="368">
        <f>E39*F39</f>
        <v>524947.5</v>
      </c>
      <c r="H39" s="374">
        <f>G39/'REKAP TOTAL'!F44</f>
        <v>4.317325218628735E-5</v>
      </c>
      <c r="I39" s="372"/>
      <c r="J39" s="372"/>
      <c r="K39" s="372"/>
      <c r="L39" s="372"/>
      <c r="M39" s="372"/>
      <c r="N39" s="372"/>
      <c r="O39" s="372"/>
      <c r="P39" s="372"/>
      <c r="Q39" s="372"/>
      <c r="R39" s="372"/>
    </row>
    <row r="40" spans="1:18" s="328" customFormat="1">
      <c r="A40" s="373"/>
      <c r="B40" s="371"/>
      <c r="C40" s="371"/>
      <c r="D40" s="355"/>
      <c r="E40" s="355"/>
      <c r="F40" s="367"/>
      <c r="G40" s="368"/>
      <c r="H40" s="372"/>
      <c r="I40" s="372"/>
      <c r="J40" s="372"/>
      <c r="K40" s="372"/>
      <c r="L40" s="372"/>
      <c r="M40" s="372"/>
      <c r="N40" s="372"/>
      <c r="O40" s="372"/>
      <c r="P40" s="372"/>
      <c r="Q40" s="372"/>
      <c r="R40" s="372"/>
    </row>
    <row r="41" spans="1:18" s="328" customFormat="1" ht="13.8">
      <c r="A41" s="373"/>
      <c r="B41" s="371"/>
      <c r="C41" s="371" t="s">
        <v>830</v>
      </c>
      <c r="D41" s="355" t="s">
        <v>179</v>
      </c>
      <c r="E41" s="355">
        <f>SUM(E39:E40)</f>
        <v>6</v>
      </c>
      <c r="F41" s="367">
        <v>381461.85</v>
      </c>
      <c r="G41" s="368">
        <f>E41*F41</f>
        <v>2288771.1</v>
      </c>
      <c r="H41" s="374">
        <f>G41/'REKAP TOTAL'!F44</f>
        <v>1.8823537953221287E-4</v>
      </c>
      <c r="I41" s="372"/>
      <c r="J41" s="372"/>
      <c r="K41" s="372"/>
      <c r="L41" s="372"/>
      <c r="M41" s="372"/>
      <c r="N41" s="372"/>
      <c r="O41" s="372"/>
      <c r="P41" s="372"/>
      <c r="Q41" s="372"/>
      <c r="R41" s="372"/>
    </row>
    <row r="42" spans="1:18" s="328" customFormat="1" ht="12">
      <c r="A42" s="373"/>
      <c r="B42" s="371"/>
      <c r="C42" s="371" t="s">
        <v>831</v>
      </c>
      <c r="D42" s="355"/>
      <c r="E42" s="355"/>
      <c r="F42" s="367"/>
      <c r="G42" s="368"/>
      <c r="H42" s="372"/>
      <c r="I42" s="372"/>
      <c r="J42" s="372"/>
      <c r="K42" s="372"/>
      <c r="L42" s="372"/>
      <c r="M42" s="372"/>
      <c r="N42" s="372"/>
      <c r="O42" s="372"/>
      <c r="P42" s="372"/>
      <c r="Q42" s="372"/>
      <c r="R42" s="372"/>
    </row>
    <row r="43" spans="1:18" s="328" customFormat="1">
      <c r="A43" s="373"/>
      <c r="B43" s="371"/>
      <c r="C43" s="371"/>
      <c r="D43" s="355"/>
      <c r="E43" s="355"/>
      <c r="F43" s="367"/>
      <c r="G43" s="368"/>
      <c r="H43" s="372"/>
      <c r="I43" s="372"/>
      <c r="J43" s="372"/>
      <c r="K43" s="372"/>
      <c r="L43" s="372"/>
      <c r="M43" s="372"/>
      <c r="N43" s="372"/>
      <c r="O43" s="372"/>
      <c r="P43" s="372"/>
      <c r="Q43" s="372"/>
      <c r="R43" s="372"/>
    </row>
    <row r="44" spans="1:18">
      <c r="A44" s="378"/>
      <c r="B44" s="379"/>
      <c r="C44" s="379"/>
      <c r="D44" s="380"/>
      <c r="E44" s="380"/>
      <c r="F44" s="381"/>
      <c r="G44" s="382"/>
      <c r="H44" s="383"/>
      <c r="I44" s="384"/>
      <c r="J44" s="384"/>
      <c r="K44" s="384"/>
      <c r="L44" s="384"/>
      <c r="M44" s="384"/>
      <c r="N44" s="384"/>
      <c r="O44" s="384"/>
      <c r="P44" s="384"/>
      <c r="Q44" s="384"/>
      <c r="R44" s="384"/>
    </row>
    <row r="45" spans="1:18" s="227" customFormat="1" ht="13.8">
      <c r="A45" s="385"/>
      <c r="B45" s="386"/>
      <c r="C45" s="387" t="s">
        <v>765</v>
      </c>
      <c r="D45" s="388"/>
      <c r="E45" s="389"/>
      <c r="F45" s="390"/>
      <c r="G45" s="391">
        <f>SUM(G11:G44)</f>
        <v>13444408.048407201</v>
      </c>
      <c r="H45" s="392">
        <f>G45/'REKAP TOTAL'!F44</f>
        <v>1.1057083216307068E-3</v>
      </c>
      <c r="I45" s="393"/>
      <c r="J45" s="393"/>
      <c r="K45" s="393"/>
      <c r="L45" s="393"/>
      <c r="M45" s="393"/>
      <c r="N45" s="393"/>
      <c r="O45" s="393"/>
      <c r="P45" s="393"/>
      <c r="Q45" s="393"/>
      <c r="R45" s="394"/>
    </row>
  </sheetData>
  <mergeCells count="9">
    <mergeCell ref="F7:G7"/>
    <mergeCell ref="I8:K8"/>
    <mergeCell ref="L8:N8"/>
    <mergeCell ref="A8:A9"/>
    <mergeCell ref="D8:D9"/>
    <mergeCell ref="E8:E9"/>
    <mergeCell ref="H8:H9"/>
    <mergeCell ref="R8:R9"/>
    <mergeCell ref="B8:C9"/>
  </mergeCells>
  <printOptions horizontalCentered="1"/>
  <pageMargins left="0.47244094488188998" right="0.39370078740157499" top="0.90551181102362199" bottom="0.78740157480314998" header="0.511811023622047" footer="0.39370078740157499"/>
  <pageSetup paperSize="9" scale="40" fitToHeight="0" orientation="portrait" useFirstPageNumber="1" r:id="rId1"/>
  <headerFooter alignWithMargins="0">
    <oddFooter>&amp;C&amp;A&amp;RPage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J61"/>
  <sheetViews>
    <sheetView showGridLines="0" view="pageBreakPreview" topLeftCell="A21" zoomScale="85" zoomScaleNormal="100" workbookViewId="0">
      <selection activeCell="C54" sqref="C54"/>
    </sheetView>
  </sheetViews>
  <sheetFormatPr defaultColWidth="9" defaultRowHeight="13.8"/>
  <cols>
    <col min="1" max="1" width="4" style="223" customWidth="1"/>
    <col min="2" max="2" width="3.6640625" style="224" customWidth="1"/>
    <col min="3" max="3" width="66.6640625" style="224" customWidth="1"/>
    <col min="4" max="4" width="6.44140625" style="223" customWidth="1"/>
    <col min="5" max="5" width="7" style="225" customWidth="1"/>
    <col min="6" max="6" width="11.5546875" style="226" hidden="1" customWidth="1"/>
    <col min="7" max="7" width="14" style="224" hidden="1" customWidth="1"/>
    <col min="8" max="8" width="10.6640625" style="225" customWidth="1"/>
    <col min="9" max="9" width="9.109375" style="227"/>
    <col min="10" max="10" width="12.77734375" style="227" customWidth="1"/>
    <col min="11" max="12" width="9.109375" style="227"/>
    <col min="13" max="13" width="14.77734375" style="227" customWidth="1"/>
    <col min="14" max="15" width="9.109375" style="227"/>
    <col min="16" max="16" width="14" style="227" customWidth="1"/>
    <col min="17" max="218" width="9.109375" style="227"/>
    <col min="219" max="248" width="9.109375" style="228"/>
    <col min="249" max="249" width="4" style="228" customWidth="1"/>
    <col min="250" max="250" width="3.6640625" style="228" customWidth="1"/>
    <col min="251" max="251" width="66.6640625" style="228" customWidth="1"/>
    <col min="252" max="252" width="6.44140625" style="228" customWidth="1"/>
    <col min="253" max="253" width="7" style="228" customWidth="1"/>
    <col min="254" max="254" width="15.109375" style="228" customWidth="1"/>
    <col min="255" max="255" width="14" style="228" customWidth="1"/>
    <col min="256" max="256" width="9.109375" style="228"/>
    <col min="257" max="257" width="10.88671875" style="228" customWidth="1"/>
    <col min="258" max="504" width="9.109375" style="228"/>
    <col min="505" max="505" width="4" style="228" customWidth="1"/>
    <col min="506" max="506" width="3.6640625" style="228" customWidth="1"/>
    <col min="507" max="507" width="66.6640625" style="228" customWidth="1"/>
    <col min="508" max="508" width="6.44140625" style="228" customWidth="1"/>
    <col min="509" max="509" width="7" style="228" customWidth="1"/>
    <col min="510" max="510" width="15.109375" style="228" customWidth="1"/>
    <col min="511" max="511" width="14" style="228" customWidth="1"/>
    <col min="512" max="512" width="9.109375" style="228"/>
    <col min="513" max="513" width="10.88671875" style="228" customWidth="1"/>
    <col min="514" max="760" width="9.109375" style="228"/>
    <col min="761" max="761" width="4" style="228" customWidth="1"/>
    <col min="762" max="762" width="3.6640625" style="228" customWidth="1"/>
    <col min="763" max="763" width="66.6640625" style="228" customWidth="1"/>
    <col min="764" max="764" width="6.44140625" style="228" customWidth="1"/>
    <col min="765" max="765" width="7" style="228" customWidth="1"/>
    <col min="766" max="766" width="15.109375" style="228" customWidth="1"/>
    <col min="767" max="767" width="14" style="228" customWidth="1"/>
    <col min="768" max="768" width="9.109375" style="228"/>
    <col min="769" max="769" width="10.88671875" style="228" customWidth="1"/>
    <col min="770" max="1016" width="9.109375" style="228"/>
    <col min="1017" max="1017" width="4" style="228" customWidth="1"/>
    <col min="1018" max="1018" width="3.6640625" style="228" customWidth="1"/>
    <col min="1019" max="1019" width="66.6640625" style="228" customWidth="1"/>
    <col min="1020" max="1020" width="6.44140625" style="228" customWidth="1"/>
    <col min="1021" max="1021" width="7" style="228" customWidth="1"/>
    <col min="1022" max="1022" width="15.109375" style="228" customWidth="1"/>
    <col min="1023" max="1023" width="14" style="228" customWidth="1"/>
    <col min="1024" max="1024" width="9.109375" style="228"/>
    <col min="1025" max="1025" width="10.88671875" style="228" customWidth="1"/>
    <col min="1026" max="1272" width="9.109375" style="228"/>
    <col min="1273" max="1273" width="4" style="228" customWidth="1"/>
    <col min="1274" max="1274" width="3.6640625" style="228" customWidth="1"/>
    <col min="1275" max="1275" width="66.6640625" style="228" customWidth="1"/>
    <col min="1276" max="1276" width="6.44140625" style="228" customWidth="1"/>
    <col min="1277" max="1277" width="7" style="228" customWidth="1"/>
    <col min="1278" max="1278" width="15.109375" style="228" customWidth="1"/>
    <col min="1279" max="1279" width="14" style="228" customWidth="1"/>
    <col min="1280" max="1280" width="9.109375" style="228"/>
    <col min="1281" max="1281" width="10.88671875" style="228" customWidth="1"/>
    <col min="1282" max="1528" width="9.109375" style="228"/>
    <col min="1529" max="1529" width="4" style="228" customWidth="1"/>
    <col min="1530" max="1530" width="3.6640625" style="228" customWidth="1"/>
    <col min="1531" max="1531" width="66.6640625" style="228" customWidth="1"/>
    <col min="1532" max="1532" width="6.44140625" style="228" customWidth="1"/>
    <col min="1533" max="1533" width="7" style="228" customWidth="1"/>
    <col min="1534" max="1534" width="15.109375" style="228" customWidth="1"/>
    <col min="1535" max="1535" width="14" style="228" customWidth="1"/>
    <col min="1536" max="1536" width="9.109375" style="228"/>
    <col min="1537" max="1537" width="10.88671875" style="228" customWidth="1"/>
    <col min="1538" max="1784" width="9.109375" style="228"/>
    <col min="1785" max="1785" width="4" style="228" customWidth="1"/>
    <col min="1786" max="1786" width="3.6640625" style="228" customWidth="1"/>
    <col min="1787" max="1787" width="66.6640625" style="228" customWidth="1"/>
    <col min="1788" max="1788" width="6.44140625" style="228" customWidth="1"/>
    <col min="1789" max="1789" width="7" style="228" customWidth="1"/>
    <col min="1790" max="1790" width="15.109375" style="228" customWidth="1"/>
    <col min="1791" max="1791" width="14" style="228" customWidth="1"/>
    <col min="1792" max="1792" width="9.109375" style="228"/>
    <col min="1793" max="1793" width="10.88671875" style="228" customWidth="1"/>
    <col min="1794" max="2040" width="9.109375" style="228"/>
    <col min="2041" max="2041" width="4" style="228" customWidth="1"/>
    <col min="2042" max="2042" width="3.6640625" style="228" customWidth="1"/>
    <col min="2043" max="2043" width="66.6640625" style="228" customWidth="1"/>
    <col min="2044" max="2044" width="6.44140625" style="228" customWidth="1"/>
    <col min="2045" max="2045" width="7" style="228" customWidth="1"/>
    <col min="2046" max="2046" width="15.109375" style="228" customWidth="1"/>
    <col min="2047" max="2047" width="14" style="228" customWidth="1"/>
    <col min="2048" max="2048" width="9.109375" style="228"/>
    <col min="2049" max="2049" width="10.88671875" style="228" customWidth="1"/>
    <col min="2050" max="2296" width="9.109375" style="228"/>
    <col min="2297" max="2297" width="4" style="228" customWidth="1"/>
    <col min="2298" max="2298" width="3.6640625" style="228" customWidth="1"/>
    <col min="2299" max="2299" width="66.6640625" style="228" customWidth="1"/>
    <col min="2300" max="2300" width="6.44140625" style="228" customWidth="1"/>
    <col min="2301" max="2301" width="7" style="228" customWidth="1"/>
    <col min="2302" max="2302" width="15.109375" style="228" customWidth="1"/>
    <col min="2303" max="2303" width="14" style="228" customWidth="1"/>
    <col min="2304" max="2304" width="9.109375" style="228"/>
    <col min="2305" max="2305" width="10.88671875" style="228" customWidth="1"/>
    <col min="2306" max="2552" width="9.109375" style="228"/>
    <col min="2553" max="2553" width="4" style="228" customWidth="1"/>
    <col min="2554" max="2554" width="3.6640625" style="228" customWidth="1"/>
    <col min="2555" max="2555" width="66.6640625" style="228" customWidth="1"/>
    <col min="2556" max="2556" width="6.44140625" style="228" customWidth="1"/>
    <col min="2557" max="2557" width="7" style="228" customWidth="1"/>
    <col min="2558" max="2558" width="15.109375" style="228" customWidth="1"/>
    <col min="2559" max="2559" width="14" style="228" customWidth="1"/>
    <col min="2560" max="2560" width="9.109375" style="228"/>
    <col min="2561" max="2561" width="10.88671875" style="228" customWidth="1"/>
    <col min="2562" max="2808" width="9.109375" style="228"/>
    <col min="2809" max="2809" width="4" style="228" customWidth="1"/>
    <col min="2810" max="2810" width="3.6640625" style="228" customWidth="1"/>
    <col min="2811" max="2811" width="66.6640625" style="228" customWidth="1"/>
    <col min="2812" max="2812" width="6.44140625" style="228" customWidth="1"/>
    <col min="2813" max="2813" width="7" style="228" customWidth="1"/>
    <col min="2814" max="2814" width="15.109375" style="228" customWidth="1"/>
    <col min="2815" max="2815" width="14" style="228" customWidth="1"/>
    <col min="2816" max="2816" width="9.109375" style="228"/>
    <col min="2817" max="2817" width="10.88671875" style="228" customWidth="1"/>
    <col min="2818" max="3064" width="9.109375" style="228"/>
    <col min="3065" max="3065" width="4" style="228" customWidth="1"/>
    <col min="3066" max="3066" width="3.6640625" style="228" customWidth="1"/>
    <col min="3067" max="3067" width="66.6640625" style="228" customWidth="1"/>
    <col min="3068" max="3068" width="6.44140625" style="228" customWidth="1"/>
    <col min="3069" max="3069" width="7" style="228" customWidth="1"/>
    <col min="3070" max="3070" width="15.109375" style="228" customWidth="1"/>
    <col min="3071" max="3071" width="14" style="228" customWidth="1"/>
    <col min="3072" max="3072" width="9.109375" style="228"/>
    <col min="3073" max="3073" width="10.88671875" style="228" customWidth="1"/>
    <col min="3074" max="3320" width="9.109375" style="228"/>
    <col min="3321" max="3321" width="4" style="228" customWidth="1"/>
    <col min="3322" max="3322" width="3.6640625" style="228" customWidth="1"/>
    <col min="3323" max="3323" width="66.6640625" style="228" customWidth="1"/>
    <col min="3324" max="3324" width="6.44140625" style="228" customWidth="1"/>
    <col min="3325" max="3325" width="7" style="228" customWidth="1"/>
    <col min="3326" max="3326" width="15.109375" style="228" customWidth="1"/>
    <col min="3327" max="3327" width="14" style="228" customWidth="1"/>
    <col min="3328" max="3328" width="9.109375" style="228"/>
    <col min="3329" max="3329" width="10.88671875" style="228" customWidth="1"/>
    <col min="3330" max="3576" width="9.109375" style="228"/>
    <col min="3577" max="3577" width="4" style="228" customWidth="1"/>
    <col min="3578" max="3578" width="3.6640625" style="228" customWidth="1"/>
    <col min="3579" max="3579" width="66.6640625" style="228" customWidth="1"/>
    <col min="3580" max="3580" width="6.44140625" style="228" customWidth="1"/>
    <col min="3581" max="3581" width="7" style="228" customWidth="1"/>
    <col min="3582" max="3582" width="15.109375" style="228" customWidth="1"/>
    <col min="3583" max="3583" width="14" style="228" customWidth="1"/>
    <col min="3584" max="3584" width="9.109375" style="228"/>
    <col min="3585" max="3585" width="10.88671875" style="228" customWidth="1"/>
    <col min="3586" max="3832" width="9.109375" style="228"/>
    <col min="3833" max="3833" width="4" style="228" customWidth="1"/>
    <col min="3834" max="3834" width="3.6640625" style="228" customWidth="1"/>
    <col min="3835" max="3835" width="66.6640625" style="228" customWidth="1"/>
    <col min="3836" max="3836" width="6.44140625" style="228" customWidth="1"/>
    <col min="3837" max="3837" width="7" style="228" customWidth="1"/>
    <col min="3838" max="3838" width="15.109375" style="228" customWidth="1"/>
    <col min="3839" max="3839" width="14" style="228" customWidth="1"/>
    <col min="3840" max="3840" width="9.109375" style="228"/>
    <col min="3841" max="3841" width="10.88671875" style="228" customWidth="1"/>
    <col min="3842" max="4088" width="9.109375" style="228"/>
    <col min="4089" max="4089" width="4" style="228" customWidth="1"/>
    <col min="4090" max="4090" width="3.6640625" style="228" customWidth="1"/>
    <col min="4091" max="4091" width="66.6640625" style="228" customWidth="1"/>
    <col min="4092" max="4092" width="6.44140625" style="228" customWidth="1"/>
    <col min="4093" max="4093" width="7" style="228" customWidth="1"/>
    <col min="4094" max="4094" width="15.109375" style="228" customWidth="1"/>
    <col min="4095" max="4095" width="14" style="228" customWidth="1"/>
    <col min="4096" max="4096" width="9.109375" style="228"/>
    <col min="4097" max="4097" width="10.88671875" style="228" customWidth="1"/>
    <col min="4098" max="4344" width="9.109375" style="228"/>
    <col min="4345" max="4345" width="4" style="228" customWidth="1"/>
    <col min="4346" max="4346" width="3.6640625" style="228" customWidth="1"/>
    <col min="4347" max="4347" width="66.6640625" style="228" customWidth="1"/>
    <col min="4348" max="4348" width="6.44140625" style="228" customWidth="1"/>
    <col min="4349" max="4349" width="7" style="228" customWidth="1"/>
    <col min="4350" max="4350" width="15.109375" style="228" customWidth="1"/>
    <col min="4351" max="4351" width="14" style="228" customWidth="1"/>
    <col min="4352" max="4352" width="9.109375" style="228"/>
    <col min="4353" max="4353" width="10.88671875" style="228" customWidth="1"/>
    <col min="4354" max="4600" width="9.109375" style="228"/>
    <col min="4601" max="4601" width="4" style="228" customWidth="1"/>
    <col min="4602" max="4602" width="3.6640625" style="228" customWidth="1"/>
    <col min="4603" max="4603" width="66.6640625" style="228" customWidth="1"/>
    <col min="4604" max="4604" width="6.44140625" style="228" customWidth="1"/>
    <col min="4605" max="4605" width="7" style="228" customWidth="1"/>
    <col min="4606" max="4606" width="15.109375" style="228" customWidth="1"/>
    <col min="4607" max="4607" width="14" style="228" customWidth="1"/>
    <col min="4608" max="4608" width="9.109375" style="228"/>
    <col min="4609" max="4609" width="10.88671875" style="228" customWidth="1"/>
    <col min="4610" max="4856" width="9.109375" style="228"/>
    <col min="4857" max="4857" width="4" style="228" customWidth="1"/>
    <col min="4858" max="4858" width="3.6640625" style="228" customWidth="1"/>
    <col min="4859" max="4859" width="66.6640625" style="228" customWidth="1"/>
    <col min="4860" max="4860" width="6.44140625" style="228" customWidth="1"/>
    <col min="4861" max="4861" width="7" style="228" customWidth="1"/>
    <col min="4862" max="4862" width="15.109375" style="228" customWidth="1"/>
    <col min="4863" max="4863" width="14" style="228" customWidth="1"/>
    <col min="4864" max="4864" width="9.109375" style="228"/>
    <col min="4865" max="4865" width="10.88671875" style="228" customWidth="1"/>
    <col min="4866" max="5112" width="9.109375" style="228"/>
    <col min="5113" max="5113" width="4" style="228" customWidth="1"/>
    <col min="5114" max="5114" width="3.6640625" style="228" customWidth="1"/>
    <col min="5115" max="5115" width="66.6640625" style="228" customWidth="1"/>
    <col min="5116" max="5116" width="6.44140625" style="228" customWidth="1"/>
    <col min="5117" max="5117" width="7" style="228" customWidth="1"/>
    <col min="5118" max="5118" width="15.109375" style="228" customWidth="1"/>
    <col min="5119" max="5119" width="14" style="228" customWidth="1"/>
    <col min="5120" max="5120" width="9.109375" style="228"/>
    <col min="5121" max="5121" width="10.88671875" style="228" customWidth="1"/>
    <col min="5122" max="5368" width="9.109375" style="228"/>
    <col min="5369" max="5369" width="4" style="228" customWidth="1"/>
    <col min="5370" max="5370" width="3.6640625" style="228" customWidth="1"/>
    <col min="5371" max="5371" width="66.6640625" style="228" customWidth="1"/>
    <col min="5372" max="5372" width="6.44140625" style="228" customWidth="1"/>
    <col min="5373" max="5373" width="7" style="228" customWidth="1"/>
    <col min="5374" max="5374" width="15.109375" style="228" customWidth="1"/>
    <col min="5375" max="5375" width="14" style="228" customWidth="1"/>
    <col min="5376" max="5376" width="9.109375" style="228"/>
    <col min="5377" max="5377" width="10.88671875" style="228" customWidth="1"/>
    <col min="5378" max="5624" width="9.109375" style="228"/>
    <col min="5625" max="5625" width="4" style="228" customWidth="1"/>
    <col min="5626" max="5626" width="3.6640625" style="228" customWidth="1"/>
    <col min="5627" max="5627" width="66.6640625" style="228" customWidth="1"/>
    <col min="5628" max="5628" width="6.44140625" style="228" customWidth="1"/>
    <col min="5629" max="5629" width="7" style="228" customWidth="1"/>
    <col min="5630" max="5630" width="15.109375" style="228" customWidth="1"/>
    <col min="5631" max="5631" width="14" style="228" customWidth="1"/>
    <col min="5632" max="5632" width="9.109375" style="228"/>
    <col min="5633" max="5633" width="10.88671875" style="228" customWidth="1"/>
    <col min="5634" max="5880" width="9.109375" style="228"/>
    <col min="5881" max="5881" width="4" style="228" customWidth="1"/>
    <col min="5882" max="5882" width="3.6640625" style="228" customWidth="1"/>
    <col min="5883" max="5883" width="66.6640625" style="228" customWidth="1"/>
    <col min="5884" max="5884" width="6.44140625" style="228" customWidth="1"/>
    <col min="5885" max="5885" width="7" style="228" customWidth="1"/>
    <col min="5886" max="5886" width="15.109375" style="228" customWidth="1"/>
    <col min="5887" max="5887" width="14" style="228" customWidth="1"/>
    <col min="5888" max="5888" width="9.109375" style="228"/>
    <col min="5889" max="5889" width="10.88671875" style="228" customWidth="1"/>
    <col min="5890" max="6136" width="9.109375" style="228"/>
    <col min="6137" max="6137" width="4" style="228" customWidth="1"/>
    <col min="6138" max="6138" width="3.6640625" style="228" customWidth="1"/>
    <col min="6139" max="6139" width="66.6640625" style="228" customWidth="1"/>
    <col min="6140" max="6140" width="6.44140625" style="228" customWidth="1"/>
    <col min="6141" max="6141" width="7" style="228" customWidth="1"/>
    <col min="6142" max="6142" width="15.109375" style="228" customWidth="1"/>
    <col min="6143" max="6143" width="14" style="228" customWidth="1"/>
    <col min="6144" max="6144" width="9.109375" style="228"/>
    <col min="6145" max="6145" width="10.88671875" style="228" customWidth="1"/>
    <col min="6146" max="6392" width="9.109375" style="228"/>
    <col min="6393" max="6393" width="4" style="228" customWidth="1"/>
    <col min="6394" max="6394" width="3.6640625" style="228" customWidth="1"/>
    <col min="6395" max="6395" width="66.6640625" style="228" customWidth="1"/>
    <col min="6396" max="6396" width="6.44140625" style="228" customWidth="1"/>
    <col min="6397" max="6397" width="7" style="228" customWidth="1"/>
    <col min="6398" max="6398" width="15.109375" style="228" customWidth="1"/>
    <col min="6399" max="6399" width="14" style="228" customWidth="1"/>
    <col min="6400" max="6400" width="9.109375" style="228"/>
    <col min="6401" max="6401" width="10.88671875" style="228" customWidth="1"/>
    <col min="6402" max="6648" width="9.109375" style="228"/>
    <col min="6649" max="6649" width="4" style="228" customWidth="1"/>
    <col min="6650" max="6650" width="3.6640625" style="228" customWidth="1"/>
    <col min="6651" max="6651" width="66.6640625" style="228" customWidth="1"/>
    <col min="6652" max="6652" width="6.44140625" style="228" customWidth="1"/>
    <col min="6653" max="6653" width="7" style="228" customWidth="1"/>
    <col min="6654" max="6654" width="15.109375" style="228" customWidth="1"/>
    <col min="6655" max="6655" width="14" style="228" customWidth="1"/>
    <col min="6656" max="6656" width="9.109375" style="228"/>
    <col min="6657" max="6657" width="10.88671875" style="228" customWidth="1"/>
    <col min="6658" max="6904" width="9.109375" style="228"/>
    <col min="6905" max="6905" width="4" style="228" customWidth="1"/>
    <col min="6906" max="6906" width="3.6640625" style="228" customWidth="1"/>
    <col min="6907" max="6907" width="66.6640625" style="228" customWidth="1"/>
    <col min="6908" max="6908" width="6.44140625" style="228" customWidth="1"/>
    <col min="6909" max="6909" width="7" style="228" customWidth="1"/>
    <col min="6910" max="6910" width="15.109375" style="228" customWidth="1"/>
    <col min="6911" max="6911" width="14" style="228" customWidth="1"/>
    <col min="6912" max="6912" width="9.109375" style="228"/>
    <col min="6913" max="6913" width="10.88671875" style="228" customWidth="1"/>
    <col min="6914" max="7160" width="9.109375" style="228"/>
    <col min="7161" max="7161" width="4" style="228" customWidth="1"/>
    <col min="7162" max="7162" width="3.6640625" style="228" customWidth="1"/>
    <col min="7163" max="7163" width="66.6640625" style="228" customWidth="1"/>
    <col min="7164" max="7164" width="6.44140625" style="228" customWidth="1"/>
    <col min="7165" max="7165" width="7" style="228" customWidth="1"/>
    <col min="7166" max="7166" width="15.109375" style="228" customWidth="1"/>
    <col min="7167" max="7167" width="14" style="228" customWidth="1"/>
    <col min="7168" max="7168" width="9.109375" style="228"/>
    <col min="7169" max="7169" width="10.88671875" style="228" customWidth="1"/>
    <col min="7170" max="7416" width="9.109375" style="228"/>
    <col min="7417" max="7417" width="4" style="228" customWidth="1"/>
    <col min="7418" max="7418" width="3.6640625" style="228" customWidth="1"/>
    <col min="7419" max="7419" width="66.6640625" style="228" customWidth="1"/>
    <col min="7420" max="7420" width="6.44140625" style="228" customWidth="1"/>
    <col min="7421" max="7421" width="7" style="228" customWidth="1"/>
    <col min="7422" max="7422" width="15.109375" style="228" customWidth="1"/>
    <col min="7423" max="7423" width="14" style="228" customWidth="1"/>
    <col min="7424" max="7424" width="9.109375" style="228"/>
    <col min="7425" max="7425" width="10.88671875" style="228" customWidth="1"/>
    <col min="7426" max="7672" width="9.109375" style="228"/>
    <col min="7673" max="7673" width="4" style="228" customWidth="1"/>
    <col min="7674" max="7674" width="3.6640625" style="228" customWidth="1"/>
    <col min="7675" max="7675" width="66.6640625" style="228" customWidth="1"/>
    <col min="7676" max="7676" width="6.44140625" style="228" customWidth="1"/>
    <col min="7677" max="7677" width="7" style="228" customWidth="1"/>
    <col min="7678" max="7678" width="15.109375" style="228" customWidth="1"/>
    <col min="7679" max="7679" width="14" style="228" customWidth="1"/>
    <col min="7680" max="7680" width="9.109375" style="228"/>
    <col min="7681" max="7681" width="10.88671875" style="228" customWidth="1"/>
    <col min="7682" max="7928" width="9.109375" style="228"/>
    <col min="7929" max="7929" width="4" style="228" customWidth="1"/>
    <col min="7930" max="7930" width="3.6640625" style="228" customWidth="1"/>
    <col min="7931" max="7931" width="66.6640625" style="228" customWidth="1"/>
    <col min="7932" max="7932" width="6.44140625" style="228" customWidth="1"/>
    <col min="7933" max="7933" width="7" style="228" customWidth="1"/>
    <col min="7934" max="7934" width="15.109375" style="228" customWidth="1"/>
    <col min="7935" max="7935" width="14" style="228" customWidth="1"/>
    <col min="7936" max="7936" width="9.109375" style="228"/>
    <col min="7937" max="7937" width="10.88671875" style="228" customWidth="1"/>
    <col min="7938" max="8184" width="9.109375" style="228"/>
    <col min="8185" max="8185" width="4" style="228" customWidth="1"/>
    <col min="8186" max="8186" width="3.6640625" style="228" customWidth="1"/>
    <col min="8187" max="8187" width="66.6640625" style="228" customWidth="1"/>
    <col min="8188" max="8188" width="6.44140625" style="228" customWidth="1"/>
    <col min="8189" max="8189" width="7" style="228" customWidth="1"/>
    <col min="8190" max="8190" width="15.109375" style="228" customWidth="1"/>
    <col min="8191" max="8191" width="14" style="228" customWidth="1"/>
    <col min="8192" max="8192" width="9.109375" style="228"/>
    <col min="8193" max="8193" width="10.88671875" style="228" customWidth="1"/>
    <col min="8194" max="8440" width="9.109375" style="228"/>
    <col min="8441" max="8441" width="4" style="228" customWidth="1"/>
    <col min="8442" max="8442" width="3.6640625" style="228" customWidth="1"/>
    <col min="8443" max="8443" width="66.6640625" style="228" customWidth="1"/>
    <col min="8444" max="8444" width="6.44140625" style="228" customWidth="1"/>
    <col min="8445" max="8445" width="7" style="228" customWidth="1"/>
    <col min="8446" max="8446" width="15.109375" style="228" customWidth="1"/>
    <col min="8447" max="8447" width="14" style="228" customWidth="1"/>
    <col min="8448" max="8448" width="9.109375" style="228"/>
    <col min="8449" max="8449" width="10.88671875" style="228" customWidth="1"/>
    <col min="8450" max="8696" width="9.109375" style="228"/>
    <col min="8697" max="8697" width="4" style="228" customWidth="1"/>
    <col min="8698" max="8698" width="3.6640625" style="228" customWidth="1"/>
    <col min="8699" max="8699" width="66.6640625" style="228" customWidth="1"/>
    <col min="8700" max="8700" width="6.44140625" style="228" customWidth="1"/>
    <col min="8701" max="8701" width="7" style="228" customWidth="1"/>
    <col min="8702" max="8702" width="15.109375" style="228" customWidth="1"/>
    <col min="8703" max="8703" width="14" style="228" customWidth="1"/>
    <col min="8704" max="8704" width="9.109375" style="228"/>
    <col min="8705" max="8705" width="10.88671875" style="228" customWidth="1"/>
    <col min="8706" max="8952" width="9.109375" style="228"/>
    <col min="8953" max="8953" width="4" style="228" customWidth="1"/>
    <col min="8954" max="8954" width="3.6640625" style="228" customWidth="1"/>
    <col min="8955" max="8955" width="66.6640625" style="228" customWidth="1"/>
    <col min="8956" max="8956" width="6.44140625" style="228" customWidth="1"/>
    <col min="8957" max="8957" width="7" style="228" customWidth="1"/>
    <col min="8958" max="8958" width="15.109375" style="228" customWidth="1"/>
    <col min="8959" max="8959" width="14" style="228" customWidth="1"/>
    <col min="8960" max="8960" width="9.109375" style="228"/>
    <col min="8961" max="8961" width="10.88671875" style="228" customWidth="1"/>
    <col min="8962" max="9208" width="9.109375" style="228"/>
    <col min="9209" max="9209" width="4" style="228" customWidth="1"/>
    <col min="9210" max="9210" width="3.6640625" style="228" customWidth="1"/>
    <col min="9211" max="9211" width="66.6640625" style="228" customWidth="1"/>
    <col min="9212" max="9212" width="6.44140625" style="228" customWidth="1"/>
    <col min="9213" max="9213" width="7" style="228" customWidth="1"/>
    <col min="9214" max="9214" width="15.109375" style="228" customWidth="1"/>
    <col min="9215" max="9215" width="14" style="228" customWidth="1"/>
    <col min="9216" max="9216" width="9.109375" style="228"/>
    <col min="9217" max="9217" width="10.88671875" style="228" customWidth="1"/>
    <col min="9218" max="9464" width="9.109375" style="228"/>
    <col min="9465" max="9465" width="4" style="228" customWidth="1"/>
    <col min="9466" max="9466" width="3.6640625" style="228" customWidth="1"/>
    <col min="9467" max="9467" width="66.6640625" style="228" customWidth="1"/>
    <col min="9468" max="9468" width="6.44140625" style="228" customWidth="1"/>
    <col min="9469" max="9469" width="7" style="228" customWidth="1"/>
    <col min="9470" max="9470" width="15.109375" style="228" customWidth="1"/>
    <col min="9471" max="9471" width="14" style="228" customWidth="1"/>
    <col min="9472" max="9472" width="9.109375" style="228"/>
    <col min="9473" max="9473" width="10.88671875" style="228" customWidth="1"/>
    <col min="9474" max="9720" width="9.109375" style="228"/>
    <col min="9721" max="9721" width="4" style="228" customWidth="1"/>
    <col min="9722" max="9722" width="3.6640625" style="228" customWidth="1"/>
    <col min="9723" max="9723" width="66.6640625" style="228" customWidth="1"/>
    <col min="9724" max="9724" width="6.44140625" style="228" customWidth="1"/>
    <col min="9725" max="9725" width="7" style="228" customWidth="1"/>
    <col min="9726" max="9726" width="15.109375" style="228" customWidth="1"/>
    <col min="9727" max="9727" width="14" style="228" customWidth="1"/>
    <col min="9728" max="9728" width="9.109375" style="228"/>
    <col min="9729" max="9729" width="10.88671875" style="228" customWidth="1"/>
    <col min="9730" max="9976" width="9.109375" style="228"/>
    <col min="9977" max="9977" width="4" style="228" customWidth="1"/>
    <col min="9978" max="9978" width="3.6640625" style="228" customWidth="1"/>
    <col min="9979" max="9979" width="66.6640625" style="228" customWidth="1"/>
    <col min="9980" max="9980" width="6.44140625" style="228" customWidth="1"/>
    <col min="9981" max="9981" width="7" style="228" customWidth="1"/>
    <col min="9982" max="9982" width="15.109375" style="228" customWidth="1"/>
    <col min="9983" max="9983" width="14" style="228" customWidth="1"/>
    <col min="9984" max="9984" width="9.109375" style="228"/>
    <col min="9985" max="9985" width="10.88671875" style="228" customWidth="1"/>
    <col min="9986" max="10232" width="9.109375" style="228"/>
    <col min="10233" max="10233" width="4" style="228" customWidth="1"/>
    <col min="10234" max="10234" width="3.6640625" style="228" customWidth="1"/>
    <col min="10235" max="10235" width="66.6640625" style="228" customWidth="1"/>
    <col min="10236" max="10236" width="6.44140625" style="228" customWidth="1"/>
    <col min="10237" max="10237" width="7" style="228" customWidth="1"/>
    <col min="10238" max="10238" width="15.109375" style="228" customWidth="1"/>
    <col min="10239" max="10239" width="14" style="228" customWidth="1"/>
    <col min="10240" max="10240" width="9.109375" style="228"/>
    <col min="10241" max="10241" width="10.88671875" style="228" customWidth="1"/>
    <col min="10242" max="10488" width="9.109375" style="228"/>
    <col min="10489" max="10489" width="4" style="228" customWidth="1"/>
    <col min="10490" max="10490" width="3.6640625" style="228" customWidth="1"/>
    <col min="10491" max="10491" width="66.6640625" style="228" customWidth="1"/>
    <col min="10492" max="10492" width="6.44140625" style="228" customWidth="1"/>
    <col min="10493" max="10493" width="7" style="228" customWidth="1"/>
    <col min="10494" max="10494" width="15.109375" style="228" customWidth="1"/>
    <col min="10495" max="10495" width="14" style="228" customWidth="1"/>
    <col min="10496" max="10496" width="9.109375" style="228"/>
    <col min="10497" max="10497" width="10.88671875" style="228" customWidth="1"/>
    <col min="10498" max="10744" width="9.109375" style="228"/>
    <col min="10745" max="10745" width="4" style="228" customWidth="1"/>
    <col min="10746" max="10746" width="3.6640625" style="228" customWidth="1"/>
    <col min="10747" max="10747" width="66.6640625" style="228" customWidth="1"/>
    <col min="10748" max="10748" width="6.44140625" style="228" customWidth="1"/>
    <col min="10749" max="10749" width="7" style="228" customWidth="1"/>
    <col min="10750" max="10750" width="15.109375" style="228" customWidth="1"/>
    <col min="10751" max="10751" width="14" style="228" customWidth="1"/>
    <col min="10752" max="10752" width="9.109375" style="228"/>
    <col min="10753" max="10753" width="10.88671875" style="228" customWidth="1"/>
    <col min="10754" max="11000" width="9.109375" style="228"/>
    <col min="11001" max="11001" width="4" style="228" customWidth="1"/>
    <col min="11002" max="11002" width="3.6640625" style="228" customWidth="1"/>
    <col min="11003" max="11003" width="66.6640625" style="228" customWidth="1"/>
    <col min="11004" max="11004" width="6.44140625" style="228" customWidth="1"/>
    <col min="11005" max="11005" width="7" style="228" customWidth="1"/>
    <col min="11006" max="11006" width="15.109375" style="228" customWidth="1"/>
    <col min="11007" max="11007" width="14" style="228" customWidth="1"/>
    <col min="11008" max="11008" width="9.109375" style="228"/>
    <col min="11009" max="11009" width="10.88671875" style="228" customWidth="1"/>
    <col min="11010" max="11256" width="9.109375" style="228"/>
    <col min="11257" max="11257" width="4" style="228" customWidth="1"/>
    <col min="11258" max="11258" width="3.6640625" style="228" customWidth="1"/>
    <col min="11259" max="11259" width="66.6640625" style="228" customWidth="1"/>
    <col min="11260" max="11260" width="6.44140625" style="228" customWidth="1"/>
    <col min="11261" max="11261" width="7" style="228" customWidth="1"/>
    <col min="11262" max="11262" width="15.109375" style="228" customWidth="1"/>
    <col min="11263" max="11263" width="14" style="228" customWidth="1"/>
    <col min="11264" max="11264" width="9.109375" style="228"/>
    <col min="11265" max="11265" width="10.88671875" style="228" customWidth="1"/>
    <col min="11266" max="11512" width="9.109375" style="228"/>
    <col min="11513" max="11513" width="4" style="228" customWidth="1"/>
    <col min="11514" max="11514" width="3.6640625" style="228" customWidth="1"/>
    <col min="11515" max="11515" width="66.6640625" style="228" customWidth="1"/>
    <col min="11516" max="11516" width="6.44140625" style="228" customWidth="1"/>
    <col min="11517" max="11517" width="7" style="228" customWidth="1"/>
    <col min="11518" max="11518" width="15.109375" style="228" customWidth="1"/>
    <col min="11519" max="11519" width="14" style="228" customWidth="1"/>
    <col min="11520" max="11520" width="9.109375" style="228"/>
    <col min="11521" max="11521" width="10.88671875" style="228" customWidth="1"/>
    <col min="11522" max="11768" width="9.109375" style="228"/>
    <col min="11769" max="11769" width="4" style="228" customWidth="1"/>
    <col min="11770" max="11770" width="3.6640625" style="228" customWidth="1"/>
    <col min="11771" max="11771" width="66.6640625" style="228" customWidth="1"/>
    <col min="11772" max="11772" width="6.44140625" style="228" customWidth="1"/>
    <col min="11773" max="11773" width="7" style="228" customWidth="1"/>
    <col min="11774" max="11774" width="15.109375" style="228" customWidth="1"/>
    <col min="11775" max="11775" width="14" style="228" customWidth="1"/>
    <col min="11776" max="11776" width="9.109375" style="228"/>
    <col min="11777" max="11777" width="10.88671875" style="228" customWidth="1"/>
    <col min="11778" max="12024" width="9.109375" style="228"/>
    <col min="12025" max="12025" width="4" style="228" customWidth="1"/>
    <col min="12026" max="12026" width="3.6640625" style="228" customWidth="1"/>
    <col min="12027" max="12027" width="66.6640625" style="228" customWidth="1"/>
    <col min="12028" max="12028" width="6.44140625" style="228" customWidth="1"/>
    <col min="12029" max="12029" width="7" style="228" customWidth="1"/>
    <col min="12030" max="12030" width="15.109375" style="228" customWidth="1"/>
    <col min="12031" max="12031" width="14" style="228" customWidth="1"/>
    <col min="12032" max="12032" width="9.109375" style="228"/>
    <col min="12033" max="12033" width="10.88671875" style="228" customWidth="1"/>
    <col min="12034" max="12280" width="9.109375" style="228"/>
    <col min="12281" max="12281" width="4" style="228" customWidth="1"/>
    <col min="12282" max="12282" width="3.6640625" style="228" customWidth="1"/>
    <col min="12283" max="12283" width="66.6640625" style="228" customWidth="1"/>
    <col min="12284" max="12284" width="6.44140625" style="228" customWidth="1"/>
    <col min="12285" max="12285" width="7" style="228" customWidth="1"/>
    <col min="12286" max="12286" width="15.109375" style="228" customWidth="1"/>
    <col min="12287" max="12287" width="14" style="228" customWidth="1"/>
    <col min="12288" max="12288" width="9.109375" style="228"/>
    <col min="12289" max="12289" width="10.88671875" style="228" customWidth="1"/>
    <col min="12290" max="12536" width="9.109375" style="228"/>
    <col min="12537" max="12537" width="4" style="228" customWidth="1"/>
    <col min="12538" max="12538" width="3.6640625" style="228" customWidth="1"/>
    <col min="12539" max="12539" width="66.6640625" style="228" customWidth="1"/>
    <col min="12540" max="12540" width="6.44140625" style="228" customWidth="1"/>
    <col min="12541" max="12541" width="7" style="228" customWidth="1"/>
    <col min="12542" max="12542" width="15.109375" style="228" customWidth="1"/>
    <col min="12543" max="12543" width="14" style="228" customWidth="1"/>
    <col min="12544" max="12544" width="9.109375" style="228"/>
    <col min="12545" max="12545" width="10.88671875" style="228" customWidth="1"/>
    <col min="12546" max="12792" width="9.109375" style="228"/>
    <col min="12793" max="12793" width="4" style="228" customWidth="1"/>
    <col min="12794" max="12794" width="3.6640625" style="228" customWidth="1"/>
    <col min="12795" max="12795" width="66.6640625" style="228" customWidth="1"/>
    <col min="12796" max="12796" width="6.44140625" style="228" customWidth="1"/>
    <col min="12797" max="12797" width="7" style="228" customWidth="1"/>
    <col min="12798" max="12798" width="15.109375" style="228" customWidth="1"/>
    <col min="12799" max="12799" width="14" style="228" customWidth="1"/>
    <col min="12800" max="12800" width="9.109375" style="228"/>
    <col min="12801" max="12801" width="10.88671875" style="228" customWidth="1"/>
    <col min="12802" max="13048" width="9.109375" style="228"/>
    <col min="13049" max="13049" width="4" style="228" customWidth="1"/>
    <col min="13050" max="13050" width="3.6640625" style="228" customWidth="1"/>
    <col min="13051" max="13051" width="66.6640625" style="228" customWidth="1"/>
    <col min="13052" max="13052" width="6.44140625" style="228" customWidth="1"/>
    <col min="13053" max="13053" width="7" style="228" customWidth="1"/>
    <col min="13054" max="13054" width="15.109375" style="228" customWidth="1"/>
    <col min="13055" max="13055" width="14" style="228" customWidth="1"/>
    <col min="13056" max="13056" width="9.109375" style="228"/>
    <col min="13057" max="13057" width="10.88671875" style="228" customWidth="1"/>
    <col min="13058" max="13304" width="9.109375" style="228"/>
    <col min="13305" max="13305" width="4" style="228" customWidth="1"/>
    <col min="13306" max="13306" width="3.6640625" style="228" customWidth="1"/>
    <col min="13307" max="13307" width="66.6640625" style="228" customWidth="1"/>
    <col min="13308" max="13308" width="6.44140625" style="228" customWidth="1"/>
    <col min="13309" max="13309" width="7" style="228" customWidth="1"/>
    <col min="13310" max="13310" width="15.109375" style="228" customWidth="1"/>
    <col min="13311" max="13311" width="14" style="228" customWidth="1"/>
    <col min="13312" max="13312" width="9.109375" style="228"/>
    <col min="13313" max="13313" width="10.88671875" style="228" customWidth="1"/>
    <col min="13314" max="13560" width="9.109375" style="228"/>
    <col min="13561" max="13561" width="4" style="228" customWidth="1"/>
    <col min="13562" max="13562" width="3.6640625" style="228" customWidth="1"/>
    <col min="13563" max="13563" width="66.6640625" style="228" customWidth="1"/>
    <col min="13564" max="13564" width="6.44140625" style="228" customWidth="1"/>
    <col min="13565" max="13565" width="7" style="228" customWidth="1"/>
    <col min="13566" max="13566" width="15.109375" style="228" customWidth="1"/>
    <col min="13567" max="13567" width="14" style="228" customWidth="1"/>
    <col min="13568" max="13568" width="9.109375" style="228"/>
    <col min="13569" max="13569" width="10.88671875" style="228" customWidth="1"/>
    <col min="13570" max="13816" width="9.109375" style="228"/>
    <col min="13817" max="13817" width="4" style="228" customWidth="1"/>
    <col min="13818" max="13818" width="3.6640625" style="228" customWidth="1"/>
    <col min="13819" max="13819" width="66.6640625" style="228" customWidth="1"/>
    <col min="13820" max="13820" width="6.44140625" style="228" customWidth="1"/>
    <col min="13821" max="13821" width="7" style="228" customWidth="1"/>
    <col min="13822" max="13822" width="15.109375" style="228" customWidth="1"/>
    <col min="13823" max="13823" width="14" style="228" customWidth="1"/>
    <col min="13824" max="13824" width="9.109375" style="228"/>
    <col min="13825" max="13825" width="10.88671875" style="228" customWidth="1"/>
    <col min="13826" max="14072" width="9.109375" style="228"/>
    <col min="14073" max="14073" width="4" style="228" customWidth="1"/>
    <col min="14074" max="14074" width="3.6640625" style="228" customWidth="1"/>
    <col min="14075" max="14075" width="66.6640625" style="228" customWidth="1"/>
    <col min="14076" max="14076" width="6.44140625" style="228" customWidth="1"/>
    <col min="14077" max="14077" width="7" style="228" customWidth="1"/>
    <col min="14078" max="14078" width="15.109375" style="228" customWidth="1"/>
    <col min="14079" max="14079" width="14" style="228" customWidth="1"/>
    <col min="14080" max="14080" width="9.109375" style="228"/>
    <col min="14081" max="14081" width="10.88671875" style="228" customWidth="1"/>
    <col min="14082" max="14328" width="9.109375" style="228"/>
    <col min="14329" max="14329" width="4" style="228" customWidth="1"/>
    <col min="14330" max="14330" width="3.6640625" style="228" customWidth="1"/>
    <col min="14331" max="14331" width="66.6640625" style="228" customWidth="1"/>
    <col min="14332" max="14332" width="6.44140625" style="228" customWidth="1"/>
    <col min="14333" max="14333" width="7" style="228" customWidth="1"/>
    <col min="14334" max="14334" width="15.109375" style="228" customWidth="1"/>
    <col min="14335" max="14335" width="14" style="228" customWidth="1"/>
    <col min="14336" max="14336" width="9.109375" style="228"/>
    <col min="14337" max="14337" width="10.88671875" style="228" customWidth="1"/>
    <col min="14338" max="14584" width="9.109375" style="228"/>
    <col min="14585" max="14585" width="4" style="228" customWidth="1"/>
    <col min="14586" max="14586" width="3.6640625" style="228" customWidth="1"/>
    <col min="14587" max="14587" width="66.6640625" style="228" customWidth="1"/>
    <col min="14588" max="14588" width="6.44140625" style="228" customWidth="1"/>
    <col min="14589" max="14589" width="7" style="228" customWidth="1"/>
    <col min="14590" max="14590" width="15.109375" style="228" customWidth="1"/>
    <col min="14591" max="14591" width="14" style="228" customWidth="1"/>
    <col min="14592" max="14592" width="9.109375" style="228"/>
    <col min="14593" max="14593" width="10.88671875" style="228" customWidth="1"/>
    <col min="14594" max="14840" width="9.109375" style="228"/>
    <col min="14841" max="14841" width="4" style="228" customWidth="1"/>
    <col min="14842" max="14842" width="3.6640625" style="228" customWidth="1"/>
    <col min="14843" max="14843" width="66.6640625" style="228" customWidth="1"/>
    <col min="14844" max="14844" width="6.44140625" style="228" customWidth="1"/>
    <col min="14845" max="14845" width="7" style="228" customWidth="1"/>
    <col min="14846" max="14846" width="15.109375" style="228" customWidth="1"/>
    <col min="14847" max="14847" width="14" style="228" customWidth="1"/>
    <col min="14848" max="14848" width="9.109375" style="228"/>
    <col min="14849" max="14849" width="10.88671875" style="228" customWidth="1"/>
    <col min="14850" max="15096" width="9.109375" style="228"/>
    <col min="15097" max="15097" width="4" style="228" customWidth="1"/>
    <col min="15098" max="15098" width="3.6640625" style="228" customWidth="1"/>
    <col min="15099" max="15099" width="66.6640625" style="228" customWidth="1"/>
    <col min="15100" max="15100" width="6.44140625" style="228" customWidth="1"/>
    <col min="15101" max="15101" width="7" style="228" customWidth="1"/>
    <col min="15102" max="15102" width="15.109375" style="228" customWidth="1"/>
    <col min="15103" max="15103" width="14" style="228" customWidth="1"/>
    <col min="15104" max="15104" width="9.109375" style="228"/>
    <col min="15105" max="15105" width="10.88671875" style="228" customWidth="1"/>
    <col min="15106" max="15352" width="9.109375" style="228"/>
    <col min="15353" max="15353" width="4" style="228" customWidth="1"/>
    <col min="15354" max="15354" width="3.6640625" style="228" customWidth="1"/>
    <col min="15355" max="15355" width="66.6640625" style="228" customWidth="1"/>
    <col min="15356" max="15356" width="6.44140625" style="228" customWidth="1"/>
    <col min="15357" max="15357" width="7" style="228" customWidth="1"/>
    <col min="15358" max="15358" width="15.109375" style="228" customWidth="1"/>
    <col min="15359" max="15359" width="14" style="228" customWidth="1"/>
    <col min="15360" max="15360" width="9.109375" style="228"/>
    <col min="15361" max="15361" width="10.88671875" style="228" customWidth="1"/>
    <col min="15362" max="15608" width="9.109375" style="228"/>
    <col min="15609" max="15609" width="4" style="228" customWidth="1"/>
    <col min="15610" max="15610" width="3.6640625" style="228" customWidth="1"/>
    <col min="15611" max="15611" width="66.6640625" style="228" customWidth="1"/>
    <col min="15612" max="15612" width="6.44140625" style="228" customWidth="1"/>
    <col min="15613" max="15613" width="7" style="228" customWidth="1"/>
    <col min="15614" max="15614" width="15.109375" style="228" customWidth="1"/>
    <col min="15615" max="15615" width="14" style="228" customWidth="1"/>
    <col min="15616" max="15616" width="9.109375" style="228"/>
    <col min="15617" max="15617" width="10.88671875" style="228" customWidth="1"/>
    <col min="15618" max="15864" width="9.109375" style="228"/>
    <col min="15865" max="15865" width="4" style="228" customWidth="1"/>
    <col min="15866" max="15866" width="3.6640625" style="228" customWidth="1"/>
    <col min="15867" max="15867" width="66.6640625" style="228" customWidth="1"/>
    <col min="15868" max="15868" width="6.44140625" style="228" customWidth="1"/>
    <col min="15869" max="15869" width="7" style="228" customWidth="1"/>
    <col min="15870" max="15870" width="15.109375" style="228" customWidth="1"/>
    <col min="15871" max="15871" width="14" style="228" customWidth="1"/>
    <col min="15872" max="15872" width="9.109375" style="228"/>
    <col min="15873" max="15873" width="10.88671875" style="228" customWidth="1"/>
    <col min="15874" max="16120" width="9.109375" style="228"/>
    <col min="16121" max="16121" width="4" style="228" customWidth="1"/>
    <col min="16122" max="16122" width="3.6640625" style="228" customWidth="1"/>
    <col min="16123" max="16123" width="66.6640625" style="228" customWidth="1"/>
    <col min="16124" max="16124" width="6.44140625" style="228" customWidth="1"/>
    <col min="16125" max="16125" width="7" style="228" customWidth="1"/>
    <col min="16126" max="16126" width="15.109375" style="228" customWidth="1"/>
    <col min="16127" max="16127" width="14" style="228" customWidth="1"/>
    <col min="16128" max="16128" width="9.109375" style="228"/>
    <col min="16129" max="16129" width="10.88671875" style="228" customWidth="1"/>
    <col min="16130" max="16384" width="9.109375" style="228"/>
  </cols>
  <sheetData>
    <row r="1" spans="1:218">
      <c r="A1" s="229" t="str">
        <f>'I. PERSIAPAN'!B1</f>
        <v>PROGRESS MINGGUAN</v>
      </c>
    </row>
    <row r="2" spans="1:218">
      <c r="A2" s="229" t="str">
        <f>'I. PERSIAPAN'!B2</f>
        <v>PROYEK SHOWROOM &amp; WORKSHOP</v>
      </c>
    </row>
    <row r="3" spans="1:218">
      <c r="A3" s="229" t="str">
        <f>'I. PERSIAPAN'!B3</f>
        <v>DAIHATSU Cabang BATAM-KEPULAUAN RIAU</v>
      </c>
    </row>
    <row r="4" spans="1:218">
      <c r="A4" s="229" t="str">
        <f>'I. PERSIAPAN'!B4</f>
        <v xml:space="preserve">PT. ASTRA INTERNATIONAL Tbk </v>
      </c>
    </row>
    <row r="5" spans="1:218">
      <c r="A5" s="229" t="str">
        <f>'I. PERSIAPAN'!B5</f>
        <v>PERIODE : 6- 18 April2026</v>
      </c>
    </row>
    <row r="6" spans="1:218">
      <c r="A6" s="229"/>
    </row>
    <row r="7" spans="1:218">
      <c r="A7" s="229"/>
    </row>
    <row r="8" spans="1:218" s="218" customFormat="1" ht="15" customHeight="1">
      <c r="A8" s="2219" t="s">
        <v>93</v>
      </c>
      <c r="B8" s="2216" t="s">
        <v>740</v>
      </c>
      <c r="C8" s="2216"/>
      <c r="D8" s="2216" t="s">
        <v>766</v>
      </c>
      <c r="E8" s="2221" t="s">
        <v>742</v>
      </c>
      <c r="F8" s="230" t="s">
        <v>552</v>
      </c>
      <c r="G8" s="231" t="s">
        <v>743</v>
      </c>
      <c r="H8" s="2223" t="s">
        <v>14</v>
      </c>
      <c r="I8" s="2218" t="s">
        <v>64</v>
      </c>
      <c r="J8" s="2218"/>
      <c r="K8" s="2218"/>
      <c r="L8" s="2218" t="s">
        <v>16</v>
      </c>
      <c r="M8" s="2218"/>
      <c r="N8" s="2218"/>
      <c r="O8" s="232" t="s">
        <v>65</v>
      </c>
      <c r="P8" s="232"/>
      <c r="Q8" s="232"/>
      <c r="R8" s="2214" t="s">
        <v>18</v>
      </c>
      <c r="S8" s="233"/>
      <c r="T8" s="233"/>
      <c r="U8" s="233"/>
      <c r="V8" s="233"/>
      <c r="W8" s="233"/>
      <c r="X8" s="233"/>
      <c r="Y8" s="233"/>
      <c r="Z8" s="233"/>
      <c r="AA8" s="233"/>
      <c r="AB8" s="233"/>
      <c r="AC8" s="233"/>
      <c r="AD8" s="233"/>
      <c r="AE8" s="233"/>
      <c r="AF8" s="233"/>
      <c r="AG8" s="233"/>
      <c r="AH8" s="233"/>
      <c r="AI8" s="233"/>
      <c r="AJ8" s="233"/>
      <c r="AK8" s="233"/>
      <c r="AL8" s="233"/>
      <c r="AM8" s="233"/>
      <c r="AN8" s="233"/>
      <c r="AO8" s="233"/>
      <c r="AP8" s="233"/>
      <c r="AQ8" s="233"/>
      <c r="AR8" s="233"/>
      <c r="AS8" s="233"/>
      <c r="AT8" s="233"/>
      <c r="AU8" s="233"/>
      <c r="AV8" s="233"/>
      <c r="AW8" s="233"/>
      <c r="AX8" s="233"/>
      <c r="AY8" s="233"/>
      <c r="AZ8" s="233"/>
      <c r="BA8" s="233"/>
      <c r="BB8" s="233"/>
      <c r="BC8" s="233"/>
      <c r="BD8" s="233"/>
      <c r="BE8" s="233"/>
      <c r="BF8" s="233"/>
      <c r="BG8" s="233"/>
      <c r="BH8" s="233"/>
      <c r="BI8" s="233"/>
      <c r="BJ8" s="233"/>
      <c r="BK8" s="233"/>
      <c r="BL8" s="233"/>
      <c r="BM8" s="233"/>
      <c r="BN8" s="233"/>
      <c r="BO8" s="233"/>
      <c r="BP8" s="233"/>
      <c r="BQ8" s="233"/>
      <c r="BR8" s="233"/>
      <c r="BS8" s="233"/>
      <c r="BT8" s="233"/>
      <c r="BU8" s="233"/>
      <c r="BV8" s="233"/>
      <c r="BW8" s="233"/>
      <c r="BX8" s="233"/>
      <c r="BY8" s="233"/>
      <c r="BZ8" s="233"/>
      <c r="CA8" s="233"/>
      <c r="CB8" s="233"/>
      <c r="CC8" s="233"/>
      <c r="CD8" s="233"/>
      <c r="CE8" s="233"/>
      <c r="CF8" s="233"/>
      <c r="CG8" s="233"/>
      <c r="CH8" s="233"/>
      <c r="CI8" s="233"/>
      <c r="CJ8" s="233"/>
      <c r="CK8" s="233"/>
      <c r="CL8" s="233"/>
      <c r="CM8" s="233"/>
      <c r="CN8" s="233"/>
      <c r="CO8" s="233"/>
      <c r="CP8" s="233"/>
      <c r="CQ8" s="233"/>
      <c r="CR8" s="233"/>
      <c r="CS8" s="233"/>
      <c r="CT8" s="233"/>
      <c r="CU8" s="233"/>
      <c r="CV8" s="233"/>
      <c r="CW8" s="233"/>
      <c r="CX8" s="233"/>
      <c r="CY8" s="233"/>
      <c r="CZ8" s="233"/>
      <c r="DA8" s="233"/>
      <c r="DB8" s="233"/>
      <c r="DC8" s="233"/>
      <c r="DD8" s="233"/>
      <c r="DE8" s="233"/>
      <c r="DF8" s="233"/>
      <c r="DG8" s="233"/>
      <c r="DH8" s="233"/>
      <c r="DI8" s="233"/>
      <c r="DJ8" s="233"/>
      <c r="DK8" s="233"/>
      <c r="DL8" s="233"/>
      <c r="DM8" s="233"/>
      <c r="DN8" s="233"/>
      <c r="DO8" s="233"/>
      <c r="DP8" s="233"/>
      <c r="DQ8" s="233"/>
      <c r="DR8" s="233"/>
      <c r="DS8" s="233"/>
      <c r="DT8" s="233"/>
      <c r="DU8" s="233"/>
      <c r="DV8" s="233"/>
      <c r="DW8" s="233"/>
      <c r="DX8" s="233"/>
      <c r="DY8" s="233"/>
      <c r="DZ8" s="233"/>
      <c r="EA8" s="233"/>
      <c r="EB8" s="233"/>
      <c r="EC8" s="233"/>
      <c r="ED8" s="233"/>
      <c r="EE8" s="233"/>
      <c r="EF8" s="233"/>
      <c r="EG8" s="233"/>
      <c r="EH8" s="233"/>
      <c r="EI8" s="233"/>
      <c r="EJ8" s="233"/>
      <c r="EK8" s="233"/>
      <c r="EL8" s="233"/>
      <c r="EM8" s="233"/>
      <c r="EN8" s="233"/>
      <c r="EO8" s="233"/>
      <c r="EP8" s="233"/>
      <c r="EQ8" s="233"/>
      <c r="ER8" s="233"/>
      <c r="ES8" s="233"/>
      <c r="ET8" s="233"/>
      <c r="EU8" s="233"/>
      <c r="EV8" s="233"/>
      <c r="EW8" s="233"/>
      <c r="EX8" s="233"/>
      <c r="EY8" s="233"/>
      <c r="EZ8" s="233"/>
      <c r="FA8" s="233"/>
      <c r="FB8" s="233"/>
      <c r="FC8" s="233"/>
      <c r="FD8" s="233"/>
      <c r="FE8" s="233"/>
      <c r="FF8" s="233"/>
      <c r="FG8" s="233"/>
      <c r="FH8" s="233"/>
      <c r="FI8" s="233"/>
      <c r="FJ8" s="233"/>
      <c r="FK8" s="233"/>
      <c r="FL8" s="233"/>
      <c r="FM8" s="233"/>
      <c r="FN8" s="233"/>
      <c r="FO8" s="233"/>
      <c r="FP8" s="233"/>
      <c r="FQ8" s="233"/>
      <c r="FR8" s="233"/>
      <c r="FS8" s="233"/>
      <c r="FT8" s="233"/>
      <c r="FU8" s="233"/>
      <c r="FV8" s="233"/>
      <c r="FW8" s="233"/>
      <c r="FX8" s="233"/>
      <c r="FY8" s="233"/>
      <c r="FZ8" s="233"/>
      <c r="GA8" s="233"/>
      <c r="GB8" s="233"/>
      <c r="GC8" s="233"/>
      <c r="GD8" s="233"/>
      <c r="GE8" s="233"/>
      <c r="GF8" s="233"/>
      <c r="GG8" s="233"/>
      <c r="GH8" s="233"/>
      <c r="GI8" s="233"/>
      <c r="GJ8" s="233"/>
      <c r="GK8" s="233"/>
      <c r="GL8" s="233"/>
      <c r="GM8" s="233"/>
      <c r="GN8" s="233"/>
      <c r="GO8" s="233"/>
      <c r="GP8" s="233"/>
      <c r="GQ8" s="233"/>
      <c r="GR8" s="233"/>
      <c r="GS8" s="233"/>
      <c r="GT8" s="233"/>
      <c r="GU8" s="233"/>
      <c r="GV8" s="233"/>
      <c r="GW8" s="233"/>
      <c r="GX8" s="233"/>
      <c r="GY8" s="233"/>
      <c r="GZ8" s="233"/>
      <c r="HA8" s="233"/>
      <c r="HB8" s="233"/>
      <c r="HC8" s="233"/>
      <c r="HD8" s="233"/>
      <c r="HE8" s="233"/>
      <c r="HF8" s="233"/>
      <c r="HG8" s="233"/>
      <c r="HH8" s="233"/>
      <c r="HI8" s="233"/>
      <c r="HJ8" s="233"/>
    </row>
    <row r="9" spans="1:218" s="218" customFormat="1">
      <c r="A9" s="2220"/>
      <c r="B9" s="2217"/>
      <c r="C9" s="2217"/>
      <c r="D9" s="2217"/>
      <c r="E9" s="2222"/>
      <c r="F9" s="234" t="s">
        <v>744</v>
      </c>
      <c r="G9" s="235" t="s">
        <v>552</v>
      </c>
      <c r="H9" s="2224"/>
      <c r="I9" s="236" t="s">
        <v>20</v>
      </c>
      <c r="J9" s="237" t="s">
        <v>21</v>
      </c>
      <c r="K9" s="238" t="s">
        <v>14</v>
      </c>
      <c r="L9" s="236" t="s">
        <v>20</v>
      </c>
      <c r="M9" s="239" t="s">
        <v>21</v>
      </c>
      <c r="N9" s="239" t="s">
        <v>14</v>
      </c>
      <c r="O9" s="240" t="s">
        <v>20</v>
      </c>
      <c r="P9" s="236" t="s">
        <v>21</v>
      </c>
      <c r="Q9" s="238" t="s">
        <v>14</v>
      </c>
      <c r="R9" s="2215"/>
      <c r="S9" s="233"/>
      <c r="T9" s="233"/>
      <c r="U9" s="233"/>
      <c r="V9" s="233"/>
      <c r="W9" s="233"/>
      <c r="X9" s="233"/>
      <c r="Y9" s="233"/>
      <c r="Z9" s="233"/>
      <c r="AA9" s="233"/>
      <c r="AB9" s="233"/>
      <c r="AC9" s="233"/>
      <c r="AD9" s="233"/>
      <c r="AE9" s="233"/>
      <c r="AF9" s="233"/>
      <c r="AG9" s="233"/>
      <c r="AH9" s="233"/>
      <c r="AI9" s="233"/>
      <c r="AJ9" s="233"/>
      <c r="AK9" s="233"/>
      <c r="AL9" s="233"/>
      <c r="AM9" s="233"/>
      <c r="AN9" s="233"/>
      <c r="AO9" s="233"/>
      <c r="AP9" s="233"/>
      <c r="AQ9" s="233"/>
      <c r="AR9" s="233"/>
      <c r="AS9" s="233"/>
      <c r="AT9" s="233"/>
      <c r="AU9" s="233"/>
      <c r="AV9" s="233"/>
      <c r="AW9" s="233"/>
      <c r="AX9" s="233"/>
      <c r="AY9" s="233"/>
      <c r="AZ9" s="233"/>
      <c r="BA9" s="233"/>
      <c r="BB9" s="233"/>
      <c r="BC9" s="233"/>
      <c r="BD9" s="233"/>
      <c r="BE9" s="233"/>
      <c r="BF9" s="233"/>
      <c r="BG9" s="233"/>
      <c r="BH9" s="233"/>
      <c r="BI9" s="233"/>
      <c r="BJ9" s="233"/>
      <c r="BK9" s="233"/>
      <c r="BL9" s="233"/>
      <c r="BM9" s="233"/>
      <c r="BN9" s="233"/>
      <c r="BO9" s="233"/>
      <c r="BP9" s="233"/>
      <c r="BQ9" s="233"/>
      <c r="BR9" s="233"/>
      <c r="BS9" s="233"/>
      <c r="BT9" s="233"/>
      <c r="BU9" s="233"/>
      <c r="BV9" s="233"/>
      <c r="BW9" s="233"/>
      <c r="BX9" s="233"/>
      <c r="BY9" s="233"/>
      <c r="BZ9" s="233"/>
      <c r="CA9" s="233"/>
      <c r="CB9" s="233"/>
      <c r="CC9" s="233"/>
      <c r="CD9" s="233"/>
      <c r="CE9" s="233"/>
      <c r="CF9" s="233"/>
      <c r="CG9" s="233"/>
      <c r="CH9" s="233"/>
      <c r="CI9" s="233"/>
      <c r="CJ9" s="233"/>
      <c r="CK9" s="233"/>
      <c r="CL9" s="233"/>
      <c r="CM9" s="233"/>
      <c r="CN9" s="233"/>
      <c r="CO9" s="233"/>
      <c r="CP9" s="233"/>
      <c r="CQ9" s="233"/>
      <c r="CR9" s="233"/>
      <c r="CS9" s="233"/>
      <c r="CT9" s="233"/>
      <c r="CU9" s="233"/>
      <c r="CV9" s="233"/>
      <c r="CW9" s="233"/>
      <c r="CX9" s="233"/>
      <c r="CY9" s="233"/>
      <c r="CZ9" s="233"/>
      <c r="DA9" s="233"/>
      <c r="DB9" s="233"/>
      <c r="DC9" s="233"/>
      <c r="DD9" s="233"/>
      <c r="DE9" s="233"/>
      <c r="DF9" s="233"/>
      <c r="DG9" s="233"/>
      <c r="DH9" s="233"/>
      <c r="DI9" s="233"/>
      <c r="DJ9" s="233"/>
      <c r="DK9" s="233"/>
      <c r="DL9" s="233"/>
      <c r="DM9" s="233"/>
      <c r="DN9" s="233"/>
      <c r="DO9" s="233"/>
      <c r="DP9" s="233"/>
      <c r="DQ9" s="233"/>
      <c r="DR9" s="233"/>
      <c r="DS9" s="233"/>
      <c r="DT9" s="233"/>
      <c r="DU9" s="233"/>
      <c r="DV9" s="233"/>
      <c r="DW9" s="233"/>
      <c r="DX9" s="233"/>
      <c r="DY9" s="233"/>
      <c r="DZ9" s="233"/>
      <c r="EA9" s="233"/>
      <c r="EB9" s="233"/>
      <c r="EC9" s="233"/>
      <c r="ED9" s="233"/>
      <c r="EE9" s="233"/>
      <c r="EF9" s="233"/>
      <c r="EG9" s="233"/>
      <c r="EH9" s="233"/>
      <c r="EI9" s="233"/>
      <c r="EJ9" s="233"/>
      <c r="EK9" s="233"/>
      <c r="EL9" s="233"/>
      <c r="EM9" s="233"/>
      <c r="EN9" s="233"/>
      <c r="EO9" s="233"/>
      <c r="EP9" s="233"/>
      <c r="EQ9" s="233"/>
      <c r="ER9" s="233"/>
      <c r="ES9" s="233"/>
      <c r="ET9" s="233"/>
      <c r="EU9" s="233"/>
      <c r="EV9" s="233"/>
      <c r="EW9" s="233"/>
      <c r="EX9" s="233"/>
      <c r="EY9" s="233"/>
      <c r="EZ9" s="233"/>
      <c r="FA9" s="233"/>
      <c r="FB9" s="233"/>
      <c r="FC9" s="233"/>
      <c r="FD9" s="233"/>
      <c r="FE9" s="233"/>
      <c r="FF9" s="233"/>
      <c r="FG9" s="233"/>
      <c r="FH9" s="233"/>
      <c r="FI9" s="233"/>
      <c r="FJ9" s="233"/>
      <c r="FK9" s="233"/>
      <c r="FL9" s="233"/>
      <c r="FM9" s="233"/>
      <c r="FN9" s="233"/>
      <c r="FO9" s="233"/>
      <c r="FP9" s="233"/>
      <c r="FQ9" s="233"/>
      <c r="FR9" s="233"/>
      <c r="FS9" s="233"/>
      <c r="FT9" s="233"/>
      <c r="FU9" s="233"/>
      <c r="FV9" s="233"/>
      <c r="FW9" s="233"/>
      <c r="FX9" s="233"/>
      <c r="FY9" s="233"/>
      <c r="FZ9" s="233"/>
      <c r="GA9" s="233"/>
      <c r="GB9" s="233"/>
      <c r="GC9" s="233"/>
      <c r="GD9" s="233"/>
      <c r="GE9" s="233"/>
      <c r="GF9" s="233"/>
      <c r="GG9" s="233"/>
      <c r="GH9" s="233"/>
      <c r="GI9" s="233"/>
      <c r="GJ9" s="233"/>
      <c r="GK9" s="233"/>
      <c r="GL9" s="233"/>
      <c r="GM9" s="233"/>
      <c r="GN9" s="233"/>
      <c r="GO9" s="233"/>
      <c r="GP9" s="233"/>
      <c r="GQ9" s="233"/>
      <c r="GR9" s="233"/>
      <c r="GS9" s="233"/>
      <c r="GT9" s="233"/>
      <c r="GU9" s="233"/>
      <c r="GV9" s="233"/>
      <c r="GW9" s="233"/>
      <c r="GX9" s="233"/>
      <c r="GY9" s="233"/>
      <c r="GZ9" s="233"/>
      <c r="HA9" s="233"/>
      <c r="HB9" s="233"/>
      <c r="HC9" s="233"/>
      <c r="HD9" s="233"/>
      <c r="HE9" s="233"/>
      <c r="HF9" s="233"/>
      <c r="HG9" s="233"/>
      <c r="HH9" s="233"/>
      <c r="HI9" s="233"/>
      <c r="HJ9" s="233"/>
    </row>
    <row r="10" spans="1:218" s="219" customFormat="1">
      <c r="A10" s="241"/>
      <c r="B10" s="242"/>
      <c r="C10" s="243"/>
      <c r="D10" s="244"/>
      <c r="E10" s="245"/>
      <c r="F10" s="246"/>
      <c r="G10" s="247"/>
      <c r="H10" s="248"/>
      <c r="I10" s="249"/>
      <c r="J10" s="249"/>
      <c r="K10" s="249"/>
      <c r="L10" s="249"/>
      <c r="M10" s="249"/>
      <c r="N10" s="249"/>
      <c r="O10" s="249"/>
      <c r="P10" s="249"/>
      <c r="Q10" s="249"/>
      <c r="R10" s="249"/>
      <c r="S10" s="250"/>
      <c r="T10" s="250"/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  <c r="AE10" s="250"/>
      <c r="AF10" s="250"/>
      <c r="AG10" s="250"/>
      <c r="AH10" s="250"/>
      <c r="AI10" s="250"/>
      <c r="AJ10" s="250"/>
      <c r="AK10" s="250"/>
      <c r="AL10" s="250"/>
      <c r="AM10" s="250"/>
      <c r="AN10" s="250"/>
      <c r="AO10" s="250"/>
      <c r="AP10" s="250"/>
      <c r="AQ10" s="250"/>
      <c r="AR10" s="250"/>
      <c r="AS10" s="250"/>
      <c r="AT10" s="250"/>
      <c r="AU10" s="250"/>
      <c r="AV10" s="250"/>
      <c r="AW10" s="250"/>
      <c r="AX10" s="250"/>
      <c r="AY10" s="250"/>
      <c r="AZ10" s="250"/>
      <c r="BA10" s="250"/>
      <c r="BB10" s="250"/>
      <c r="BC10" s="250"/>
      <c r="BD10" s="250"/>
      <c r="BE10" s="250"/>
      <c r="BF10" s="250"/>
      <c r="BG10" s="250"/>
      <c r="BH10" s="250"/>
      <c r="BI10" s="250"/>
      <c r="BJ10" s="250"/>
      <c r="BK10" s="250"/>
      <c r="BL10" s="250"/>
      <c r="BM10" s="250"/>
      <c r="BN10" s="250"/>
      <c r="BO10" s="250"/>
      <c r="BP10" s="250"/>
      <c r="BQ10" s="250"/>
      <c r="BR10" s="250"/>
      <c r="BS10" s="250"/>
      <c r="BT10" s="250"/>
      <c r="BU10" s="250"/>
      <c r="BV10" s="250"/>
      <c r="BW10" s="250"/>
      <c r="BX10" s="250"/>
      <c r="BY10" s="250"/>
      <c r="BZ10" s="250"/>
      <c r="CA10" s="250"/>
      <c r="CB10" s="250"/>
      <c r="CC10" s="250"/>
      <c r="CD10" s="250"/>
      <c r="CE10" s="250"/>
      <c r="CF10" s="250"/>
      <c r="CG10" s="250"/>
      <c r="CH10" s="250"/>
      <c r="CI10" s="250"/>
      <c r="CJ10" s="250"/>
      <c r="CK10" s="250"/>
      <c r="CL10" s="250"/>
      <c r="CM10" s="250"/>
      <c r="CN10" s="250"/>
      <c r="CO10" s="250"/>
      <c r="CP10" s="250"/>
      <c r="CQ10" s="250"/>
      <c r="CR10" s="250"/>
      <c r="CS10" s="250"/>
      <c r="CT10" s="250"/>
      <c r="CU10" s="250"/>
      <c r="CV10" s="250"/>
      <c r="CW10" s="250"/>
      <c r="CX10" s="250"/>
      <c r="CY10" s="250"/>
      <c r="CZ10" s="250"/>
      <c r="DA10" s="250"/>
      <c r="DB10" s="250"/>
      <c r="DC10" s="250"/>
      <c r="DD10" s="250"/>
      <c r="DE10" s="250"/>
      <c r="DF10" s="250"/>
      <c r="DG10" s="250"/>
      <c r="DH10" s="250"/>
      <c r="DI10" s="250"/>
      <c r="DJ10" s="250"/>
      <c r="DK10" s="250"/>
      <c r="DL10" s="250"/>
      <c r="DM10" s="250"/>
      <c r="DN10" s="250"/>
      <c r="DO10" s="250"/>
      <c r="DP10" s="250"/>
      <c r="DQ10" s="250"/>
      <c r="DR10" s="250"/>
      <c r="DS10" s="250"/>
      <c r="DT10" s="250"/>
      <c r="DU10" s="250"/>
      <c r="DV10" s="250"/>
      <c r="DW10" s="250"/>
      <c r="DX10" s="250"/>
      <c r="DY10" s="250"/>
      <c r="DZ10" s="250"/>
      <c r="EA10" s="250"/>
      <c r="EB10" s="250"/>
      <c r="EC10" s="250"/>
      <c r="ED10" s="250"/>
      <c r="EE10" s="250"/>
      <c r="EF10" s="250"/>
      <c r="EG10" s="250"/>
      <c r="EH10" s="250"/>
      <c r="EI10" s="250"/>
      <c r="EJ10" s="250"/>
      <c r="EK10" s="250"/>
      <c r="EL10" s="250"/>
      <c r="EM10" s="250"/>
      <c r="EN10" s="250"/>
      <c r="EO10" s="250"/>
      <c r="EP10" s="250"/>
      <c r="EQ10" s="250"/>
      <c r="ER10" s="250"/>
      <c r="ES10" s="250"/>
      <c r="ET10" s="250"/>
      <c r="EU10" s="250"/>
      <c r="EV10" s="250"/>
      <c r="EW10" s="250"/>
      <c r="EX10" s="250"/>
      <c r="EY10" s="250"/>
      <c r="EZ10" s="250"/>
      <c r="FA10" s="250"/>
      <c r="FB10" s="250"/>
      <c r="FC10" s="250"/>
      <c r="FD10" s="250"/>
      <c r="FE10" s="250"/>
      <c r="FF10" s="250"/>
      <c r="FG10" s="250"/>
      <c r="FH10" s="250"/>
      <c r="FI10" s="250"/>
      <c r="FJ10" s="250"/>
      <c r="FK10" s="250"/>
      <c r="FL10" s="250"/>
      <c r="FM10" s="250"/>
      <c r="FN10" s="250"/>
      <c r="FO10" s="250"/>
      <c r="FP10" s="250"/>
      <c r="FQ10" s="250"/>
      <c r="FR10" s="250"/>
      <c r="FS10" s="250"/>
      <c r="FT10" s="250"/>
      <c r="FU10" s="250"/>
      <c r="FV10" s="250"/>
      <c r="FW10" s="250"/>
      <c r="FX10" s="250"/>
      <c r="FY10" s="250"/>
      <c r="FZ10" s="250"/>
      <c r="GA10" s="250"/>
      <c r="GB10" s="250"/>
      <c r="GC10" s="250"/>
      <c r="GD10" s="250"/>
      <c r="GE10" s="250"/>
      <c r="GF10" s="250"/>
      <c r="GG10" s="250"/>
      <c r="GH10" s="250"/>
      <c r="GI10" s="250"/>
      <c r="GJ10" s="250"/>
      <c r="GK10" s="250"/>
      <c r="GL10" s="250"/>
      <c r="GM10" s="250"/>
      <c r="GN10" s="250"/>
      <c r="GO10" s="250"/>
      <c r="GP10" s="250"/>
      <c r="GQ10" s="250"/>
      <c r="GR10" s="250"/>
      <c r="GS10" s="250"/>
      <c r="GT10" s="250"/>
      <c r="GU10" s="250"/>
      <c r="GV10" s="250"/>
      <c r="GW10" s="250"/>
      <c r="GX10" s="250"/>
      <c r="GY10" s="250"/>
      <c r="GZ10" s="250"/>
      <c r="HA10" s="250"/>
      <c r="HB10" s="250"/>
      <c r="HC10" s="250"/>
      <c r="HD10" s="250"/>
      <c r="HE10" s="250"/>
      <c r="HF10" s="250"/>
      <c r="HG10" s="250"/>
      <c r="HH10" s="250"/>
      <c r="HI10" s="250"/>
      <c r="HJ10" s="250"/>
    </row>
    <row r="11" spans="1:218" s="219" customFormat="1">
      <c r="A11" s="251" t="s">
        <v>23</v>
      </c>
      <c r="B11" s="252" t="s">
        <v>36</v>
      </c>
      <c r="C11" s="253"/>
      <c r="D11" s="254"/>
      <c r="E11" s="255"/>
      <c r="F11" s="256"/>
      <c r="G11" s="257"/>
      <c r="H11" s="255"/>
      <c r="I11" s="258"/>
      <c r="J11" s="258"/>
      <c r="K11" s="258"/>
      <c r="L11" s="258"/>
      <c r="M11" s="258"/>
      <c r="N11" s="258"/>
      <c r="O11" s="258"/>
      <c r="P11" s="258"/>
      <c r="Q11" s="258"/>
      <c r="R11" s="258"/>
      <c r="S11" s="250"/>
      <c r="T11" s="250"/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  <c r="AE11" s="250"/>
      <c r="AF11" s="250"/>
      <c r="AG11" s="250"/>
      <c r="AH11" s="250"/>
      <c r="AI11" s="250"/>
      <c r="AJ11" s="250"/>
      <c r="AK11" s="250"/>
      <c r="AL11" s="250"/>
      <c r="AM11" s="250"/>
      <c r="AN11" s="250"/>
      <c r="AO11" s="250"/>
      <c r="AP11" s="250"/>
      <c r="AQ11" s="250"/>
      <c r="AR11" s="250"/>
      <c r="AS11" s="250"/>
      <c r="AT11" s="250"/>
      <c r="AU11" s="250"/>
      <c r="AV11" s="250"/>
      <c r="AW11" s="250"/>
      <c r="AX11" s="250"/>
      <c r="AY11" s="250"/>
      <c r="AZ11" s="250"/>
      <c r="BA11" s="250"/>
      <c r="BB11" s="250"/>
      <c r="BC11" s="250"/>
      <c r="BD11" s="250"/>
      <c r="BE11" s="250"/>
      <c r="BF11" s="250"/>
      <c r="BG11" s="250"/>
      <c r="BH11" s="250"/>
      <c r="BI11" s="250"/>
      <c r="BJ11" s="250"/>
      <c r="BK11" s="250"/>
      <c r="BL11" s="250"/>
      <c r="BM11" s="250"/>
      <c r="BN11" s="250"/>
      <c r="BO11" s="250"/>
      <c r="BP11" s="250"/>
      <c r="BQ11" s="250"/>
      <c r="BR11" s="250"/>
      <c r="BS11" s="250"/>
      <c r="BT11" s="250"/>
      <c r="BU11" s="250"/>
      <c r="BV11" s="250"/>
      <c r="BW11" s="250"/>
      <c r="BX11" s="250"/>
      <c r="BY11" s="250"/>
      <c r="BZ11" s="250"/>
      <c r="CA11" s="250"/>
      <c r="CB11" s="250"/>
      <c r="CC11" s="250"/>
      <c r="CD11" s="250"/>
      <c r="CE11" s="250"/>
      <c r="CF11" s="250"/>
      <c r="CG11" s="250"/>
      <c r="CH11" s="250"/>
      <c r="CI11" s="250"/>
      <c r="CJ11" s="250"/>
      <c r="CK11" s="250"/>
      <c r="CL11" s="250"/>
      <c r="CM11" s="250"/>
      <c r="CN11" s="250"/>
      <c r="CO11" s="250"/>
      <c r="CP11" s="250"/>
      <c r="CQ11" s="250"/>
      <c r="CR11" s="250"/>
      <c r="CS11" s="250"/>
      <c r="CT11" s="250"/>
      <c r="CU11" s="250"/>
      <c r="CV11" s="250"/>
      <c r="CW11" s="250"/>
      <c r="CX11" s="250"/>
      <c r="CY11" s="250"/>
      <c r="CZ11" s="250"/>
      <c r="DA11" s="250"/>
      <c r="DB11" s="250"/>
      <c r="DC11" s="250"/>
      <c r="DD11" s="250"/>
      <c r="DE11" s="250"/>
      <c r="DF11" s="250"/>
      <c r="DG11" s="250"/>
      <c r="DH11" s="250"/>
      <c r="DI11" s="250"/>
      <c r="DJ11" s="250"/>
      <c r="DK11" s="250"/>
      <c r="DL11" s="250"/>
      <c r="DM11" s="250"/>
      <c r="DN11" s="250"/>
      <c r="DO11" s="250"/>
      <c r="DP11" s="250"/>
      <c r="DQ11" s="250"/>
      <c r="DR11" s="250"/>
      <c r="DS11" s="250"/>
      <c r="DT11" s="250"/>
      <c r="DU11" s="250"/>
      <c r="DV11" s="250"/>
      <c r="DW11" s="250"/>
      <c r="DX11" s="250"/>
      <c r="DY11" s="250"/>
      <c r="DZ11" s="250"/>
      <c r="EA11" s="250"/>
      <c r="EB11" s="250"/>
      <c r="EC11" s="250"/>
      <c r="ED11" s="250"/>
      <c r="EE11" s="250"/>
      <c r="EF11" s="250"/>
      <c r="EG11" s="250"/>
      <c r="EH11" s="250"/>
      <c r="EI11" s="250"/>
      <c r="EJ11" s="250"/>
      <c r="EK11" s="250"/>
      <c r="EL11" s="250"/>
      <c r="EM11" s="250"/>
      <c r="EN11" s="250"/>
      <c r="EO11" s="250"/>
      <c r="EP11" s="250"/>
      <c r="EQ11" s="250"/>
      <c r="ER11" s="250"/>
      <c r="ES11" s="250"/>
      <c r="ET11" s="250"/>
      <c r="EU11" s="250"/>
      <c r="EV11" s="250"/>
      <c r="EW11" s="250"/>
      <c r="EX11" s="250"/>
      <c r="EY11" s="250"/>
      <c r="EZ11" s="250"/>
      <c r="FA11" s="250"/>
      <c r="FB11" s="250"/>
      <c r="FC11" s="250"/>
      <c r="FD11" s="250"/>
      <c r="FE11" s="250"/>
      <c r="FF11" s="250"/>
      <c r="FG11" s="250"/>
      <c r="FH11" s="250"/>
      <c r="FI11" s="250"/>
      <c r="FJ11" s="250"/>
      <c r="FK11" s="250"/>
      <c r="FL11" s="250"/>
      <c r="FM11" s="250"/>
      <c r="FN11" s="250"/>
      <c r="FO11" s="250"/>
      <c r="FP11" s="250"/>
      <c r="FQ11" s="250"/>
      <c r="FR11" s="250"/>
      <c r="FS11" s="250"/>
      <c r="FT11" s="250"/>
      <c r="FU11" s="250"/>
      <c r="FV11" s="250"/>
      <c r="FW11" s="250"/>
      <c r="FX11" s="250"/>
      <c r="FY11" s="250"/>
      <c r="FZ11" s="250"/>
      <c r="GA11" s="250"/>
      <c r="GB11" s="250"/>
      <c r="GC11" s="250"/>
      <c r="GD11" s="250"/>
      <c r="GE11" s="250"/>
      <c r="GF11" s="250"/>
      <c r="GG11" s="250"/>
      <c r="GH11" s="250"/>
      <c r="GI11" s="250"/>
      <c r="GJ11" s="250"/>
      <c r="GK11" s="250"/>
      <c r="GL11" s="250"/>
      <c r="GM11" s="250"/>
      <c r="GN11" s="250"/>
      <c r="GO11" s="250"/>
      <c r="GP11" s="250"/>
      <c r="GQ11" s="250"/>
      <c r="GR11" s="250"/>
      <c r="GS11" s="250"/>
      <c r="GT11" s="250"/>
      <c r="GU11" s="250"/>
      <c r="GV11" s="250"/>
      <c r="GW11" s="250"/>
      <c r="GX11" s="250"/>
      <c r="GY11" s="250"/>
      <c r="GZ11" s="250"/>
      <c r="HA11" s="250"/>
      <c r="HB11" s="250"/>
      <c r="HC11" s="250"/>
      <c r="HD11" s="250"/>
      <c r="HE11" s="250"/>
      <c r="HF11" s="250"/>
      <c r="HG11" s="250"/>
      <c r="HH11" s="250"/>
      <c r="HI11" s="250"/>
      <c r="HJ11" s="250"/>
    </row>
    <row r="12" spans="1:218" s="219" customFormat="1">
      <c r="A12" s="259"/>
      <c r="B12" s="260"/>
      <c r="C12" s="253"/>
      <c r="D12" s="254"/>
      <c r="E12" s="255"/>
      <c r="F12" s="256"/>
      <c r="G12" s="257"/>
      <c r="H12" s="255"/>
      <c r="I12" s="258"/>
      <c r="J12" s="258"/>
      <c r="K12" s="258"/>
      <c r="L12" s="258"/>
      <c r="M12" s="258"/>
      <c r="N12" s="258"/>
      <c r="O12" s="258"/>
      <c r="P12" s="258"/>
      <c r="Q12" s="258"/>
      <c r="R12" s="258"/>
      <c r="S12" s="250"/>
      <c r="T12" s="250"/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  <c r="AE12" s="250"/>
      <c r="AF12" s="250"/>
      <c r="AG12" s="250"/>
      <c r="AH12" s="250"/>
      <c r="AI12" s="250"/>
      <c r="AJ12" s="250"/>
      <c r="AK12" s="250"/>
      <c r="AL12" s="250"/>
      <c r="AM12" s="250"/>
      <c r="AN12" s="250"/>
      <c r="AO12" s="250"/>
      <c r="AP12" s="250"/>
      <c r="AQ12" s="250"/>
      <c r="AR12" s="250"/>
      <c r="AS12" s="250"/>
      <c r="AT12" s="250"/>
      <c r="AU12" s="250"/>
      <c r="AV12" s="250"/>
      <c r="AW12" s="250"/>
      <c r="AX12" s="250"/>
      <c r="AY12" s="250"/>
      <c r="AZ12" s="250"/>
      <c r="BA12" s="250"/>
      <c r="BB12" s="250"/>
      <c r="BC12" s="250"/>
      <c r="BD12" s="250"/>
      <c r="BE12" s="250"/>
      <c r="BF12" s="250"/>
      <c r="BG12" s="250"/>
      <c r="BH12" s="250"/>
      <c r="BI12" s="250"/>
      <c r="BJ12" s="250"/>
      <c r="BK12" s="250"/>
      <c r="BL12" s="250"/>
      <c r="BM12" s="250"/>
      <c r="BN12" s="250"/>
      <c r="BO12" s="250"/>
      <c r="BP12" s="250"/>
      <c r="BQ12" s="250"/>
      <c r="BR12" s="250"/>
      <c r="BS12" s="250"/>
      <c r="BT12" s="250"/>
      <c r="BU12" s="250"/>
      <c r="BV12" s="250"/>
      <c r="BW12" s="250"/>
      <c r="BX12" s="250"/>
      <c r="BY12" s="250"/>
      <c r="BZ12" s="250"/>
      <c r="CA12" s="250"/>
      <c r="CB12" s="250"/>
      <c r="CC12" s="250"/>
      <c r="CD12" s="250"/>
      <c r="CE12" s="250"/>
      <c r="CF12" s="250"/>
      <c r="CG12" s="250"/>
      <c r="CH12" s="250"/>
      <c r="CI12" s="250"/>
      <c r="CJ12" s="250"/>
      <c r="CK12" s="250"/>
      <c r="CL12" s="250"/>
      <c r="CM12" s="250"/>
      <c r="CN12" s="250"/>
      <c r="CO12" s="250"/>
      <c r="CP12" s="250"/>
      <c r="CQ12" s="250"/>
      <c r="CR12" s="250"/>
      <c r="CS12" s="250"/>
      <c r="CT12" s="250"/>
      <c r="CU12" s="250"/>
      <c r="CV12" s="250"/>
      <c r="CW12" s="250"/>
      <c r="CX12" s="250"/>
      <c r="CY12" s="250"/>
      <c r="CZ12" s="250"/>
      <c r="DA12" s="250"/>
      <c r="DB12" s="250"/>
      <c r="DC12" s="250"/>
      <c r="DD12" s="250"/>
      <c r="DE12" s="250"/>
      <c r="DF12" s="250"/>
      <c r="DG12" s="250"/>
      <c r="DH12" s="250"/>
      <c r="DI12" s="250"/>
      <c r="DJ12" s="250"/>
      <c r="DK12" s="250"/>
      <c r="DL12" s="250"/>
      <c r="DM12" s="250"/>
      <c r="DN12" s="250"/>
      <c r="DO12" s="250"/>
      <c r="DP12" s="250"/>
      <c r="DQ12" s="250"/>
      <c r="DR12" s="250"/>
      <c r="DS12" s="250"/>
      <c r="DT12" s="250"/>
      <c r="DU12" s="250"/>
      <c r="DV12" s="250"/>
      <c r="DW12" s="250"/>
      <c r="DX12" s="250"/>
      <c r="DY12" s="250"/>
      <c r="DZ12" s="250"/>
      <c r="EA12" s="250"/>
      <c r="EB12" s="250"/>
      <c r="EC12" s="250"/>
      <c r="ED12" s="250"/>
      <c r="EE12" s="250"/>
      <c r="EF12" s="250"/>
      <c r="EG12" s="250"/>
      <c r="EH12" s="250"/>
      <c r="EI12" s="250"/>
      <c r="EJ12" s="250"/>
      <c r="EK12" s="250"/>
      <c r="EL12" s="250"/>
      <c r="EM12" s="250"/>
      <c r="EN12" s="250"/>
      <c r="EO12" s="250"/>
      <c r="EP12" s="250"/>
      <c r="EQ12" s="250"/>
      <c r="ER12" s="250"/>
      <c r="ES12" s="250"/>
      <c r="ET12" s="250"/>
      <c r="EU12" s="250"/>
      <c r="EV12" s="250"/>
      <c r="EW12" s="250"/>
      <c r="EX12" s="250"/>
      <c r="EY12" s="250"/>
      <c r="EZ12" s="250"/>
      <c r="FA12" s="250"/>
      <c r="FB12" s="250"/>
      <c r="FC12" s="250"/>
      <c r="FD12" s="250"/>
      <c r="FE12" s="250"/>
      <c r="FF12" s="250"/>
      <c r="FG12" s="250"/>
      <c r="FH12" s="250"/>
      <c r="FI12" s="250"/>
      <c r="FJ12" s="250"/>
      <c r="FK12" s="250"/>
      <c r="FL12" s="250"/>
      <c r="FM12" s="250"/>
      <c r="FN12" s="250"/>
      <c r="FO12" s="250"/>
      <c r="FP12" s="250"/>
      <c r="FQ12" s="250"/>
      <c r="FR12" s="250"/>
      <c r="FS12" s="250"/>
      <c r="FT12" s="250"/>
      <c r="FU12" s="250"/>
      <c r="FV12" s="250"/>
      <c r="FW12" s="250"/>
      <c r="FX12" s="250"/>
      <c r="FY12" s="250"/>
      <c r="FZ12" s="250"/>
      <c r="GA12" s="250"/>
      <c r="GB12" s="250"/>
      <c r="GC12" s="250"/>
      <c r="GD12" s="250"/>
      <c r="GE12" s="250"/>
      <c r="GF12" s="250"/>
      <c r="GG12" s="250"/>
      <c r="GH12" s="250"/>
      <c r="GI12" s="250"/>
      <c r="GJ12" s="250"/>
      <c r="GK12" s="250"/>
      <c r="GL12" s="250"/>
      <c r="GM12" s="250"/>
      <c r="GN12" s="250"/>
      <c r="GO12" s="250"/>
      <c r="GP12" s="250"/>
      <c r="GQ12" s="250"/>
      <c r="GR12" s="250"/>
      <c r="GS12" s="250"/>
      <c r="GT12" s="250"/>
      <c r="GU12" s="250"/>
      <c r="GV12" s="250"/>
      <c r="GW12" s="250"/>
      <c r="GX12" s="250"/>
      <c r="GY12" s="250"/>
      <c r="GZ12" s="250"/>
      <c r="HA12" s="250"/>
      <c r="HB12" s="250"/>
      <c r="HC12" s="250"/>
      <c r="HD12" s="250"/>
      <c r="HE12" s="250"/>
      <c r="HF12" s="250"/>
      <c r="HG12" s="250"/>
      <c r="HH12" s="250"/>
      <c r="HI12" s="250"/>
      <c r="HJ12" s="250"/>
    </row>
    <row r="13" spans="1:218" s="219" customFormat="1">
      <c r="A13" s="251" t="s">
        <v>32</v>
      </c>
      <c r="B13" s="252" t="s">
        <v>861</v>
      </c>
      <c r="C13" s="253"/>
      <c r="D13" s="254"/>
      <c r="E13" s="255"/>
      <c r="F13" s="256"/>
      <c r="G13" s="257"/>
      <c r="H13" s="255"/>
      <c r="I13" s="258"/>
      <c r="J13" s="258"/>
      <c r="K13" s="258"/>
      <c r="L13" s="258"/>
      <c r="M13" s="258"/>
      <c r="N13" s="258"/>
      <c r="O13" s="258"/>
      <c r="P13" s="258"/>
      <c r="Q13" s="258"/>
      <c r="R13" s="258"/>
      <c r="S13" s="250"/>
      <c r="T13" s="250"/>
      <c r="U13" s="250"/>
      <c r="V13" s="250"/>
      <c r="W13" s="250"/>
      <c r="X13" s="250"/>
      <c r="Y13" s="250"/>
      <c r="Z13" s="250"/>
      <c r="AA13" s="250"/>
      <c r="AB13" s="250"/>
      <c r="AC13" s="250"/>
      <c r="AD13" s="250"/>
      <c r="AE13" s="250"/>
      <c r="AF13" s="250"/>
      <c r="AG13" s="250"/>
      <c r="AH13" s="250"/>
      <c r="AI13" s="250"/>
      <c r="AJ13" s="250"/>
      <c r="AK13" s="250"/>
      <c r="AL13" s="250"/>
      <c r="AM13" s="250"/>
      <c r="AN13" s="250"/>
      <c r="AO13" s="250"/>
      <c r="AP13" s="250"/>
      <c r="AQ13" s="250"/>
      <c r="AR13" s="250"/>
      <c r="AS13" s="250"/>
      <c r="AT13" s="250"/>
      <c r="AU13" s="250"/>
      <c r="AV13" s="250"/>
      <c r="AW13" s="250"/>
      <c r="AX13" s="250"/>
      <c r="AY13" s="250"/>
      <c r="AZ13" s="250"/>
      <c r="BA13" s="250"/>
      <c r="BB13" s="250"/>
      <c r="BC13" s="250"/>
      <c r="BD13" s="250"/>
      <c r="BE13" s="250"/>
      <c r="BF13" s="250"/>
      <c r="BG13" s="250"/>
      <c r="BH13" s="250"/>
      <c r="BI13" s="250"/>
      <c r="BJ13" s="250"/>
      <c r="BK13" s="250"/>
      <c r="BL13" s="250"/>
      <c r="BM13" s="250"/>
      <c r="BN13" s="250"/>
      <c r="BO13" s="250"/>
      <c r="BP13" s="250"/>
      <c r="BQ13" s="250"/>
      <c r="BR13" s="250"/>
      <c r="BS13" s="250"/>
      <c r="BT13" s="250"/>
      <c r="BU13" s="250"/>
      <c r="BV13" s="250"/>
      <c r="BW13" s="250"/>
      <c r="BX13" s="250"/>
      <c r="BY13" s="250"/>
      <c r="BZ13" s="250"/>
      <c r="CA13" s="250"/>
      <c r="CB13" s="250"/>
      <c r="CC13" s="250"/>
      <c r="CD13" s="250"/>
      <c r="CE13" s="250"/>
      <c r="CF13" s="250"/>
      <c r="CG13" s="250"/>
      <c r="CH13" s="250"/>
      <c r="CI13" s="250"/>
      <c r="CJ13" s="250"/>
      <c r="CK13" s="250"/>
      <c r="CL13" s="250"/>
      <c r="CM13" s="250"/>
      <c r="CN13" s="250"/>
      <c r="CO13" s="250"/>
      <c r="CP13" s="250"/>
      <c r="CQ13" s="250"/>
      <c r="CR13" s="250"/>
      <c r="CS13" s="250"/>
      <c r="CT13" s="250"/>
      <c r="CU13" s="250"/>
      <c r="CV13" s="250"/>
      <c r="CW13" s="250"/>
      <c r="CX13" s="250"/>
      <c r="CY13" s="250"/>
      <c r="CZ13" s="250"/>
      <c r="DA13" s="250"/>
      <c r="DB13" s="250"/>
      <c r="DC13" s="250"/>
      <c r="DD13" s="250"/>
      <c r="DE13" s="250"/>
      <c r="DF13" s="250"/>
      <c r="DG13" s="250"/>
      <c r="DH13" s="250"/>
      <c r="DI13" s="250"/>
      <c r="DJ13" s="250"/>
      <c r="DK13" s="250"/>
      <c r="DL13" s="250"/>
      <c r="DM13" s="250"/>
      <c r="DN13" s="250"/>
      <c r="DO13" s="250"/>
      <c r="DP13" s="250"/>
      <c r="DQ13" s="250"/>
      <c r="DR13" s="250"/>
      <c r="DS13" s="250"/>
      <c r="DT13" s="250"/>
      <c r="DU13" s="250"/>
      <c r="DV13" s="250"/>
      <c r="DW13" s="250"/>
      <c r="DX13" s="250"/>
      <c r="DY13" s="250"/>
      <c r="DZ13" s="250"/>
      <c r="EA13" s="250"/>
      <c r="EB13" s="250"/>
      <c r="EC13" s="250"/>
      <c r="ED13" s="250"/>
      <c r="EE13" s="250"/>
      <c r="EF13" s="250"/>
      <c r="EG13" s="250"/>
      <c r="EH13" s="250"/>
      <c r="EI13" s="250"/>
      <c r="EJ13" s="250"/>
      <c r="EK13" s="250"/>
      <c r="EL13" s="250"/>
      <c r="EM13" s="250"/>
      <c r="EN13" s="250"/>
      <c r="EO13" s="250"/>
      <c r="EP13" s="250"/>
      <c r="EQ13" s="250"/>
      <c r="ER13" s="250"/>
      <c r="ES13" s="250"/>
      <c r="ET13" s="250"/>
      <c r="EU13" s="250"/>
      <c r="EV13" s="250"/>
      <c r="EW13" s="250"/>
      <c r="EX13" s="250"/>
      <c r="EY13" s="250"/>
      <c r="EZ13" s="250"/>
      <c r="FA13" s="250"/>
      <c r="FB13" s="250"/>
      <c r="FC13" s="250"/>
      <c r="FD13" s="250"/>
      <c r="FE13" s="250"/>
      <c r="FF13" s="250"/>
      <c r="FG13" s="250"/>
      <c r="FH13" s="250"/>
      <c r="FI13" s="250"/>
      <c r="FJ13" s="250"/>
      <c r="FK13" s="250"/>
      <c r="FL13" s="250"/>
      <c r="FM13" s="250"/>
      <c r="FN13" s="250"/>
      <c r="FO13" s="250"/>
      <c r="FP13" s="250"/>
      <c r="FQ13" s="250"/>
      <c r="FR13" s="250"/>
      <c r="FS13" s="250"/>
      <c r="FT13" s="250"/>
      <c r="FU13" s="250"/>
      <c r="FV13" s="250"/>
      <c r="FW13" s="250"/>
      <c r="FX13" s="250"/>
      <c r="FY13" s="250"/>
      <c r="FZ13" s="250"/>
      <c r="GA13" s="250"/>
      <c r="GB13" s="250"/>
      <c r="GC13" s="250"/>
      <c r="GD13" s="250"/>
      <c r="GE13" s="250"/>
      <c r="GF13" s="250"/>
      <c r="GG13" s="250"/>
      <c r="GH13" s="250"/>
      <c r="GI13" s="250"/>
      <c r="GJ13" s="250"/>
      <c r="GK13" s="250"/>
      <c r="GL13" s="250"/>
      <c r="GM13" s="250"/>
      <c r="GN13" s="250"/>
      <c r="GO13" s="250"/>
      <c r="GP13" s="250"/>
      <c r="GQ13" s="250"/>
      <c r="GR13" s="250"/>
      <c r="GS13" s="250"/>
      <c r="GT13" s="250"/>
      <c r="GU13" s="250"/>
      <c r="GV13" s="250"/>
      <c r="GW13" s="250"/>
      <c r="GX13" s="250"/>
      <c r="GY13" s="250"/>
      <c r="GZ13" s="250"/>
      <c r="HA13" s="250"/>
      <c r="HB13" s="250"/>
      <c r="HC13" s="250"/>
      <c r="HD13" s="250"/>
      <c r="HE13" s="250"/>
      <c r="HF13" s="250"/>
      <c r="HG13" s="250"/>
      <c r="HH13" s="250"/>
      <c r="HI13" s="250"/>
      <c r="HJ13" s="250"/>
    </row>
    <row r="14" spans="1:218" s="219" customFormat="1">
      <c r="A14" s="259"/>
      <c r="B14" s="261" t="s">
        <v>862</v>
      </c>
      <c r="C14" s="253"/>
      <c r="D14" s="254"/>
      <c r="E14" s="255"/>
      <c r="F14" s="256"/>
      <c r="G14" s="257"/>
      <c r="H14" s="255"/>
      <c r="I14" s="258"/>
      <c r="J14" s="258"/>
      <c r="K14" s="258"/>
      <c r="L14" s="258"/>
      <c r="M14" s="258"/>
      <c r="N14" s="258"/>
      <c r="O14" s="258"/>
      <c r="P14" s="258"/>
      <c r="Q14" s="258"/>
      <c r="R14" s="258"/>
      <c r="S14" s="250"/>
      <c r="T14" s="250"/>
      <c r="U14" s="250"/>
      <c r="V14" s="250"/>
      <c r="W14" s="250"/>
      <c r="X14" s="250"/>
      <c r="Y14" s="250"/>
      <c r="Z14" s="250"/>
      <c r="AA14" s="250"/>
      <c r="AB14" s="250"/>
      <c r="AC14" s="250"/>
      <c r="AD14" s="250"/>
      <c r="AE14" s="250"/>
      <c r="AF14" s="250"/>
      <c r="AG14" s="250"/>
      <c r="AH14" s="250"/>
      <c r="AI14" s="250"/>
      <c r="AJ14" s="250"/>
      <c r="AK14" s="250"/>
      <c r="AL14" s="250"/>
      <c r="AM14" s="250"/>
      <c r="AN14" s="250"/>
      <c r="AO14" s="250"/>
      <c r="AP14" s="250"/>
      <c r="AQ14" s="250"/>
      <c r="AR14" s="250"/>
      <c r="AS14" s="250"/>
      <c r="AT14" s="250"/>
      <c r="AU14" s="250"/>
      <c r="AV14" s="250"/>
      <c r="AW14" s="250"/>
      <c r="AX14" s="250"/>
      <c r="AY14" s="250"/>
      <c r="AZ14" s="250"/>
      <c r="BA14" s="250"/>
      <c r="BB14" s="250"/>
      <c r="BC14" s="250"/>
      <c r="BD14" s="250"/>
      <c r="BE14" s="250"/>
      <c r="BF14" s="250"/>
      <c r="BG14" s="250"/>
      <c r="BH14" s="250"/>
      <c r="BI14" s="250"/>
      <c r="BJ14" s="250"/>
      <c r="BK14" s="250"/>
      <c r="BL14" s="250"/>
      <c r="BM14" s="250"/>
      <c r="BN14" s="250"/>
      <c r="BO14" s="250"/>
      <c r="BP14" s="250"/>
      <c r="BQ14" s="250"/>
      <c r="BR14" s="250"/>
      <c r="BS14" s="250"/>
      <c r="BT14" s="250"/>
      <c r="BU14" s="250"/>
      <c r="BV14" s="250"/>
      <c r="BW14" s="250"/>
      <c r="BX14" s="250"/>
      <c r="BY14" s="250"/>
      <c r="BZ14" s="250"/>
      <c r="CA14" s="250"/>
      <c r="CB14" s="250"/>
      <c r="CC14" s="250"/>
      <c r="CD14" s="250"/>
      <c r="CE14" s="250"/>
      <c r="CF14" s="250"/>
      <c r="CG14" s="250"/>
      <c r="CH14" s="250"/>
      <c r="CI14" s="250"/>
      <c r="CJ14" s="250"/>
      <c r="CK14" s="250"/>
      <c r="CL14" s="250"/>
      <c r="CM14" s="250"/>
      <c r="CN14" s="250"/>
      <c r="CO14" s="250"/>
      <c r="CP14" s="250"/>
      <c r="CQ14" s="250"/>
      <c r="CR14" s="250"/>
      <c r="CS14" s="250"/>
      <c r="CT14" s="250"/>
      <c r="CU14" s="250"/>
      <c r="CV14" s="250"/>
      <c r="CW14" s="250"/>
      <c r="CX14" s="250"/>
      <c r="CY14" s="250"/>
      <c r="CZ14" s="250"/>
      <c r="DA14" s="250"/>
      <c r="DB14" s="250"/>
      <c r="DC14" s="250"/>
      <c r="DD14" s="250"/>
      <c r="DE14" s="250"/>
      <c r="DF14" s="250"/>
      <c r="DG14" s="250"/>
      <c r="DH14" s="250"/>
      <c r="DI14" s="250"/>
      <c r="DJ14" s="250"/>
      <c r="DK14" s="250"/>
      <c r="DL14" s="250"/>
      <c r="DM14" s="250"/>
      <c r="DN14" s="250"/>
      <c r="DO14" s="250"/>
      <c r="DP14" s="250"/>
      <c r="DQ14" s="250"/>
      <c r="DR14" s="250"/>
      <c r="DS14" s="250"/>
      <c r="DT14" s="250"/>
      <c r="DU14" s="250"/>
      <c r="DV14" s="250"/>
      <c r="DW14" s="250"/>
      <c r="DX14" s="250"/>
      <c r="DY14" s="250"/>
      <c r="DZ14" s="250"/>
      <c r="EA14" s="250"/>
      <c r="EB14" s="250"/>
      <c r="EC14" s="250"/>
      <c r="ED14" s="250"/>
      <c r="EE14" s="250"/>
      <c r="EF14" s="250"/>
      <c r="EG14" s="250"/>
      <c r="EH14" s="250"/>
      <c r="EI14" s="250"/>
      <c r="EJ14" s="250"/>
      <c r="EK14" s="250"/>
      <c r="EL14" s="250"/>
      <c r="EM14" s="250"/>
      <c r="EN14" s="250"/>
      <c r="EO14" s="250"/>
      <c r="EP14" s="250"/>
      <c r="EQ14" s="250"/>
      <c r="ER14" s="250"/>
      <c r="ES14" s="250"/>
      <c r="ET14" s="250"/>
      <c r="EU14" s="250"/>
      <c r="EV14" s="250"/>
      <c r="EW14" s="250"/>
      <c r="EX14" s="250"/>
      <c r="EY14" s="250"/>
      <c r="EZ14" s="250"/>
      <c r="FA14" s="250"/>
      <c r="FB14" s="250"/>
      <c r="FC14" s="250"/>
      <c r="FD14" s="250"/>
      <c r="FE14" s="250"/>
      <c r="FF14" s="250"/>
      <c r="FG14" s="250"/>
      <c r="FH14" s="250"/>
      <c r="FI14" s="250"/>
      <c r="FJ14" s="250"/>
      <c r="FK14" s="250"/>
      <c r="FL14" s="250"/>
      <c r="FM14" s="250"/>
      <c r="FN14" s="250"/>
      <c r="FO14" s="250"/>
      <c r="FP14" s="250"/>
      <c r="FQ14" s="250"/>
      <c r="FR14" s="250"/>
      <c r="FS14" s="250"/>
      <c r="FT14" s="250"/>
      <c r="FU14" s="250"/>
      <c r="FV14" s="250"/>
      <c r="FW14" s="250"/>
      <c r="FX14" s="250"/>
      <c r="FY14" s="250"/>
      <c r="FZ14" s="250"/>
      <c r="GA14" s="250"/>
      <c r="GB14" s="250"/>
      <c r="GC14" s="250"/>
      <c r="GD14" s="250"/>
      <c r="GE14" s="250"/>
      <c r="GF14" s="250"/>
      <c r="GG14" s="250"/>
      <c r="GH14" s="250"/>
      <c r="GI14" s="250"/>
      <c r="GJ14" s="250"/>
      <c r="GK14" s="250"/>
      <c r="GL14" s="250"/>
      <c r="GM14" s="250"/>
      <c r="GN14" s="250"/>
      <c r="GO14" s="250"/>
      <c r="GP14" s="250"/>
      <c r="GQ14" s="250"/>
      <c r="GR14" s="250"/>
      <c r="GS14" s="250"/>
      <c r="GT14" s="250"/>
      <c r="GU14" s="250"/>
      <c r="GV14" s="250"/>
      <c r="GW14" s="250"/>
      <c r="GX14" s="250"/>
      <c r="GY14" s="250"/>
      <c r="GZ14" s="250"/>
      <c r="HA14" s="250"/>
      <c r="HB14" s="250"/>
      <c r="HC14" s="250"/>
      <c r="HD14" s="250"/>
      <c r="HE14" s="250"/>
      <c r="HF14" s="250"/>
      <c r="HG14" s="250"/>
      <c r="HH14" s="250"/>
      <c r="HI14" s="250"/>
      <c r="HJ14" s="250"/>
    </row>
    <row r="15" spans="1:218" s="219" customFormat="1">
      <c r="A15" s="259"/>
      <c r="B15" s="261" t="s">
        <v>863</v>
      </c>
      <c r="C15" s="253"/>
      <c r="D15" s="254"/>
      <c r="E15" s="255"/>
      <c r="F15" s="256"/>
      <c r="G15" s="257"/>
      <c r="H15" s="255"/>
      <c r="I15" s="258"/>
      <c r="J15" s="258"/>
      <c r="K15" s="258"/>
      <c r="L15" s="258"/>
      <c r="M15" s="258"/>
      <c r="N15" s="258"/>
      <c r="O15" s="258"/>
      <c r="P15" s="258"/>
      <c r="Q15" s="258"/>
      <c r="R15" s="258"/>
      <c r="S15" s="250"/>
      <c r="T15" s="250"/>
      <c r="U15" s="250"/>
      <c r="V15" s="250"/>
      <c r="W15" s="250"/>
      <c r="X15" s="250"/>
      <c r="Y15" s="250"/>
      <c r="Z15" s="250"/>
      <c r="AA15" s="250"/>
      <c r="AB15" s="250"/>
      <c r="AC15" s="250"/>
      <c r="AD15" s="250"/>
      <c r="AE15" s="250"/>
      <c r="AF15" s="250"/>
      <c r="AG15" s="250"/>
      <c r="AH15" s="250"/>
      <c r="AI15" s="250"/>
      <c r="AJ15" s="250"/>
      <c r="AK15" s="250"/>
      <c r="AL15" s="250"/>
      <c r="AM15" s="250"/>
      <c r="AN15" s="250"/>
      <c r="AO15" s="250"/>
      <c r="AP15" s="250"/>
      <c r="AQ15" s="250"/>
      <c r="AR15" s="250"/>
      <c r="AS15" s="250"/>
      <c r="AT15" s="250"/>
      <c r="AU15" s="250"/>
      <c r="AV15" s="250"/>
      <c r="AW15" s="250"/>
      <c r="AX15" s="250"/>
      <c r="AY15" s="250"/>
      <c r="AZ15" s="250"/>
      <c r="BA15" s="250"/>
      <c r="BB15" s="250"/>
      <c r="BC15" s="250"/>
      <c r="BD15" s="250"/>
      <c r="BE15" s="250"/>
      <c r="BF15" s="250"/>
      <c r="BG15" s="250"/>
      <c r="BH15" s="250"/>
      <c r="BI15" s="250"/>
      <c r="BJ15" s="250"/>
      <c r="BK15" s="250"/>
      <c r="BL15" s="250"/>
      <c r="BM15" s="250"/>
      <c r="BN15" s="250"/>
      <c r="BO15" s="250"/>
      <c r="BP15" s="250"/>
      <c r="BQ15" s="250"/>
      <c r="BR15" s="250"/>
      <c r="BS15" s="250"/>
      <c r="BT15" s="250"/>
      <c r="BU15" s="250"/>
      <c r="BV15" s="250"/>
      <c r="BW15" s="250"/>
      <c r="BX15" s="250"/>
      <c r="BY15" s="250"/>
      <c r="BZ15" s="250"/>
      <c r="CA15" s="250"/>
      <c r="CB15" s="250"/>
      <c r="CC15" s="250"/>
      <c r="CD15" s="250"/>
      <c r="CE15" s="250"/>
      <c r="CF15" s="250"/>
      <c r="CG15" s="250"/>
      <c r="CH15" s="250"/>
      <c r="CI15" s="250"/>
      <c r="CJ15" s="250"/>
      <c r="CK15" s="250"/>
      <c r="CL15" s="250"/>
      <c r="CM15" s="250"/>
      <c r="CN15" s="250"/>
      <c r="CO15" s="250"/>
      <c r="CP15" s="250"/>
      <c r="CQ15" s="250"/>
      <c r="CR15" s="250"/>
      <c r="CS15" s="250"/>
      <c r="CT15" s="250"/>
      <c r="CU15" s="250"/>
      <c r="CV15" s="250"/>
      <c r="CW15" s="250"/>
      <c r="CX15" s="250"/>
      <c r="CY15" s="250"/>
      <c r="CZ15" s="250"/>
      <c r="DA15" s="250"/>
      <c r="DB15" s="250"/>
      <c r="DC15" s="250"/>
      <c r="DD15" s="250"/>
      <c r="DE15" s="250"/>
      <c r="DF15" s="250"/>
      <c r="DG15" s="250"/>
      <c r="DH15" s="250"/>
      <c r="DI15" s="250"/>
      <c r="DJ15" s="250"/>
      <c r="DK15" s="250"/>
      <c r="DL15" s="250"/>
      <c r="DM15" s="250"/>
      <c r="DN15" s="250"/>
      <c r="DO15" s="250"/>
      <c r="DP15" s="250"/>
      <c r="DQ15" s="250"/>
      <c r="DR15" s="250"/>
      <c r="DS15" s="250"/>
      <c r="DT15" s="250"/>
      <c r="DU15" s="250"/>
      <c r="DV15" s="250"/>
      <c r="DW15" s="250"/>
      <c r="DX15" s="250"/>
      <c r="DY15" s="250"/>
      <c r="DZ15" s="250"/>
      <c r="EA15" s="250"/>
      <c r="EB15" s="250"/>
      <c r="EC15" s="250"/>
      <c r="ED15" s="250"/>
      <c r="EE15" s="250"/>
      <c r="EF15" s="250"/>
      <c r="EG15" s="250"/>
      <c r="EH15" s="250"/>
      <c r="EI15" s="250"/>
      <c r="EJ15" s="250"/>
      <c r="EK15" s="250"/>
      <c r="EL15" s="250"/>
      <c r="EM15" s="250"/>
      <c r="EN15" s="250"/>
      <c r="EO15" s="250"/>
      <c r="EP15" s="250"/>
      <c r="EQ15" s="250"/>
      <c r="ER15" s="250"/>
      <c r="ES15" s="250"/>
      <c r="ET15" s="250"/>
      <c r="EU15" s="250"/>
      <c r="EV15" s="250"/>
      <c r="EW15" s="250"/>
      <c r="EX15" s="250"/>
      <c r="EY15" s="250"/>
      <c r="EZ15" s="250"/>
      <c r="FA15" s="250"/>
      <c r="FB15" s="250"/>
      <c r="FC15" s="250"/>
      <c r="FD15" s="250"/>
      <c r="FE15" s="250"/>
      <c r="FF15" s="250"/>
      <c r="FG15" s="250"/>
      <c r="FH15" s="250"/>
      <c r="FI15" s="250"/>
      <c r="FJ15" s="250"/>
      <c r="FK15" s="250"/>
      <c r="FL15" s="250"/>
      <c r="FM15" s="250"/>
      <c r="FN15" s="250"/>
      <c r="FO15" s="250"/>
      <c r="FP15" s="250"/>
      <c r="FQ15" s="250"/>
      <c r="FR15" s="250"/>
      <c r="FS15" s="250"/>
      <c r="FT15" s="250"/>
      <c r="FU15" s="250"/>
      <c r="FV15" s="250"/>
      <c r="FW15" s="250"/>
      <c r="FX15" s="250"/>
      <c r="FY15" s="250"/>
      <c r="FZ15" s="250"/>
      <c r="GA15" s="250"/>
      <c r="GB15" s="250"/>
      <c r="GC15" s="250"/>
      <c r="GD15" s="250"/>
      <c r="GE15" s="250"/>
      <c r="GF15" s="250"/>
      <c r="GG15" s="250"/>
      <c r="GH15" s="250"/>
      <c r="GI15" s="250"/>
      <c r="GJ15" s="250"/>
      <c r="GK15" s="250"/>
      <c r="GL15" s="250"/>
      <c r="GM15" s="250"/>
      <c r="GN15" s="250"/>
      <c r="GO15" s="250"/>
      <c r="GP15" s="250"/>
      <c r="GQ15" s="250"/>
      <c r="GR15" s="250"/>
      <c r="GS15" s="250"/>
      <c r="GT15" s="250"/>
      <c r="GU15" s="250"/>
      <c r="GV15" s="250"/>
      <c r="GW15" s="250"/>
      <c r="GX15" s="250"/>
      <c r="GY15" s="250"/>
      <c r="GZ15" s="250"/>
      <c r="HA15" s="250"/>
      <c r="HB15" s="250"/>
      <c r="HC15" s="250"/>
      <c r="HD15" s="250"/>
      <c r="HE15" s="250"/>
      <c r="HF15" s="250"/>
      <c r="HG15" s="250"/>
      <c r="HH15" s="250"/>
      <c r="HI15" s="250"/>
      <c r="HJ15" s="250"/>
    </row>
    <row r="16" spans="1:218" s="219" customFormat="1">
      <c r="A16" s="259"/>
      <c r="B16" s="261" t="s">
        <v>864</v>
      </c>
      <c r="C16" s="253"/>
      <c r="D16" s="254"/>
      <c r="E16" s="255"/>
      <c r="F16" s="256"/>
      <c r="G16" s="257"/>
      <c r="H16" s="255"/>
      <c r="I16" s="258"/>
      <c r="J16" s="258"/>
      <c r="K16" s="258"/>
      <c r="L16" s="258"/>
      <c r="M16" s="258"/>
      <c r="N16" s="258"/>
      <c r="O16" s="258"/>
      <c r="P16" s="258"/>
      <c r="Q16" s="258"/>
      <c r="R16" s="258"/>
      <c r="S16" s="250"/>
      <c r="T16" s="250"/>
      <c r="U16" s="250"/>
      <c r="V16" s="250"/>
      <c r="W16" s="250"/>
      <c r="X16" s="250"/>
      <c r="Y16" s="250"/>
      <c r="Z16" s="250"/>
      <c r="AA16" s="250"/>
      <c r="AB16" s="250"/>
      <c r="AC16" s="250"/>
      <c r="AD16" s="250"/>
      <c r="AE16" s="250"/>
      <c r="AF16" s="250"/>
      <c r="AG16" s="250"/>
      <c r="AH16" s="250"/>
      <c r="AI16" s="250"/>
      <c r="AJ16" s="250"/>
      <c r="AK16" s="250"/>
      <c r="AL16" s="250"/>
      <c r="AM16" s="250"/>
      <c r="AN16" s="250"/>
      <c r="AO16" s="250"/>
      <c r="AP16" s="250"/>
      <c r="AQ16" s="250"/>
      <c r="AR16" s="250"/>
      <c r="AS16" s="250"/>
      <c r="AT16" s="250"/>
      <c r="AU16" s="250"/>
      <c r="AV16" s="250"/>
      <c r="AW16" s="250"/>
      <c r="AX16" s="250"/>
      <c r="AY16" s="250"/>
      <c r="AZ16" s="250"/>
      <c r="BA16" s="250"/>
      <c r="BB16" s="250"/>
      <c r="BC16" s="250"/>
      <c r="BD16" s="250"/>
      <c r="BE16" s="250"/>
      <c r="BF16" s="250"/>
      <c r="BG16" s="250"/>
      <c r="BH16" s="250"/>
      <c r="BI16" s="250"/>
      <c r="BJ16" s="250"/>
      <c r="BK16" s="250"/>
      <c r="BL16" s="250"/>
      <c r="BM16" s="250"/>
      <c r="BN16" s="250"/>
      <c r="BO16" s="250"/>
      <c r="BP16" s="250"/>
      <c r="BQ16" s="250"/>
      <c r="BR16" s="250"/>
      <c r="BS16" s="250"/>
      <c r="BT16" s="250"/>
      <c r="BU16" s="250"/>
      <c r="BV16" s="250"/>
      <c r="BW16" s="250"/>
      <c r="BX16" s="250"/>
      <c r="BY16" s="250"/>
      <c r="BZ16" s="250"/>
      <c r="CA16" s="250"/>
      <c r="CB16" s="250"/>
      <c r="CC16" s="250"/>
      <c r="CD16" s="250"/>
      <c r="CE16" s="250"/>
      <c r="CF16" s="250"/>
      <c r="CG16" s="250"/>
      <c r="CH16" s="250"/>
      <c r="CI16" s="250"/>
      <c r="CJ16" s="250"/>
      <c r="CK16" s="250"/>
      <c r="CL16" s="250"/>
      <c r="CM16" s="250"/>
      <c r="CN16" s="250"/>
      <c r="CO16" s="250"/>
      <c r="CP16" s="250"/>
      <c r="CQ16" s="250"/>
      <c r="CR16" s="250"/>
      <c r="CS16" s="250"/>
      <c r="CT16" s="250"/>
      <c r="CU16" s="250"/>
      <c r="CV16" s="250"/>
      <c r="CW16" s="250"/>
      <c r="CX16" s="250"/>
      <c r="CY16" s="250"/>
      <c r="CZ16" s="250"/>
      <c r="DA16" s="250"/>
      <c r="DB16" s="250"/>
      <c r="DC16" s="250"/>
      <c r="DD16" s="250"/>
      <c r="DE16" s="250"/>
      <c r="DF16" s="250"/>
      <c r="DG16" s="250"/>
      <c r="DH16" s="250"/>
      <c r="DI16" s="250"/>
      <c r="DJ16" s="250"/>
      <c r="DK16" s="250"/>
      <c r="DL16" s="250"/>
      <c r="DM16" s="250"/>
      <c r="DN16" s="250"/>
      <c r="DO16" s="250"/>
      <c r="DP16" s="250"/>
      <c r="DQ16" s="250"/>
      <c r="DR16" s="250"/>
      <c r="DS16" s="250"/>
      <c r="DT16" s="250"/>
      <c r="DU16" s="250"/>
      <c r="DV16" s="250"/>
      <c r="DW16" s="250"/>
      <c r="DX16" s="250"/>
      <c r="DY16" s="250"/>
      <c r="DZ16" s="250"/>
      <c r="EA16" s="250"/>
      <c r="EB16" s="250"/>
      <c r="EC16" s="250"/>
      <c r="ED16" s="250"/>
      <c r="EE16" s="250"/>
      <c r="EF16" s="250"/>
      <c r="EG16" s="250"/>
      <c r="EH16" s="250"/>
      <c r="EI16" s="250"/>
      <c r="EJ16" s="250"/>
      <c r="EK16" s="250"/>
      <c r="EL16" s="250"/>
      <c r="EM16" s="250"/>
      <c r="EN16" s="250"/>
      <c r="EO16" s="250"/>
      <c r="EP16" s="250"/>
      <c r="EQ16" s="250"/>
      <c r="ER16" s="250"/>
      <c r="ES16" s="250"/>
      <c r="ET16" s="250"/>
      <c r="EU16" s="250"/>
      <c r="EV16" s="250"/>
      <c r="EW16" s="250"/>
      <c r="EX16" s="250"/>
      <c r="EY16" s="250"/>
      <c r="EZ16" s="250"/>
      <c r="FA16" s="250"/>
      <c r="FB16" s="250"/>
      <c r="FC16" s="250"/>
      <c r="FD16" s="250"/>
      <c r="FE16" s="250"/>
      <c r="FF16" s="250"/>
      <c r="FG16" s="250"/>
      <c r="FH16" s="250"/>
      <c r="FI16" s="250"/>
      <c r="FJ16" s="250"/>
      <c r="FK16" s="250"/>
      <c r="FL16" s="250"/>
      <c r="FM16" s="250"/>
      <c r="FN16" s="250"/>
      <c r="FO16" s="250"/>
      <c r="FP16" s="250"/>
      <c r="FQ16" s="250"/>
      <c r="FR16" s="250"/>
      <c r="FS16" s="250"/>
      <c r="FT16" s="250"/>
      <c r="FU16" s="250"/>
      <c r="FV16" s="250"/>
      <c r="FW16" s="250"/>
      <c r="FX16" s="250"/>
      <c r="FY16" s="250"/>
      <c r="FZ16" s="250"/>
      <c r="GA16" s="250"/>
      <c r="GB16" s="250"/>
      <c r="GC16" s="250"/>
      <c r="GD16" s="250"/>
      <c r="GE16" s="250"/>
      <c r="GF16" s="250"/>
      <c r="GG16" s="250"/>
      <c r="GH16" s="250"/>
      <c r="GI16" s="250"/>
      <c r="GJ16" s="250"/>
      <c r="GK16" s="250"/>
      <c r="GL16" s="250"/>
      <c r="GM16" s="250"/>
      <c r="GN16" s="250"/>
      <c r="GO16" s="250"/>
      <c r="GP16" s="250"/>
      <c r="GQ16" s="250"/>
      <c r="GR16" s="250"/>
      <c r="GS16" s="250"/>
      <c r="GT16" s="250"/>
      <c r="GU16" s="250"/>
      <c r="GV16" s="250"/>
      <c r="GW16" s="250"/>
      <c r="GX16" s="250"/>
      <c r="GY16" s="250"/>
      <c r="GZ16" s="250"/>
      <c r="HA16" s="250"/>
      <c r="HB16" s="250"/>
      <c r="HC16" s="250"/>
      <c r="HD16" s="250"/>
      <c r="HE16" s="250"/>
      <c r="HF16" s="250"/>
      <c r="HG16" s="250"/>
      <c r="HH16" s="250"/>
      <c r="HI16" s="250"/>
      <c r="HJ16" s="250"/>
    </row>
    <row r="17" spans="1:218" s="219" customFormat="1">
      <c r="A17" s="259"/>
      <c r="B17" s="261"/>
      <c r="C17" s="253"/>
      <c r="D17" s="254"/>
      <c r="E17" s="255"/>
      <c r="F17" s="256"/>
      <c r="G17" s="257"/>
      <c r="H17" s="255"/>
      <c r="I17" s="258"/>
      <c r="J17" s="258"/>
      <c r="K17" s="258"/>
      <c r="L17" s="258"/>
      <c r="M17" s="258"/>
      <c r="N17" s="258"/>
      <c r="O17" s="258"/>
      <c r="P17" s="258"/>
      <c r="Q17" s="258"/>
      <c r="R17" s="258"/>
      <c r="S17" s="250"/>
      <c r="T17" s="250"/>
      <c r="U17" s="250"/>
      <c r="V17" s="250"/>
      <c r="W17" s="250"/>
      <c r="X17" s="250"/>
      <c r="Y17" s="250"/>
      <c r="Z17" s="250"/>
      <c r="AA17" s="250"/>
      <c r="AB17" s="250"/>
      <c r="AC17" s="250"/>
      <c r="AD17" s="250"/>
      <c r="AE17" s="250"/>
      <c r="AF17" s="250"/>
      <c r="AG17" s="250"/>
      <c r="AH17" s="250"/>
      <c r="AI17" s="250"/>
      <c r="AJ17" s="250"/>
      <c r="AK17" s="250"/>
      <c r="AL17" s="250"/>
      <c r="AM17" s="250"/>
      <c r="AN17" s="250"/>
      <c r="AO17" s="250"/>
      <c r="AP17" s="250"/>
      <c r="AQ17" s="250"/>
      <c r="AR17" s="250"/>
      <c r="AS17" s="250"/>
      <c r="AT17" s="250"/>
      <c r="AU17" s="250"/>
      <c r="AV17" s="250"/>
      <c r="AW17" s="250"/>
      <c r="AX17" s="250"/>
      <c r="AY17" s="250"/>
      <c r="AZ17" s="250"/>
      <c r="BA17" s="250"/>
      <c r="BB17" s="250"/>
      <c r="BC17" s="250"/>
      <c r="BD17" s="250"/>
      <c r="BE17" s="250"/>
      <c r="BF17" s="250"/>
      <c r="BG17" s="250"/>
      <c r="BH17" s="250"/>
      <c r="BI17" s="250"/>
      <c r="BJ17" s="250"/>
      <c r="BK17" s="250"/>
      <c r="BL17" s="250"/>
      <c r="BM17" s="250"/>
      <c r="BN17" s="250"/>
      <c r="BO17" s="250"/>
      <c r="BP17" s="250"/>
      <c r="BQ17" s="250"/>
      <c r="BR17" s="250"/>
      <c r="BS17" s="250"/>
      <c r="BT17" s="250"/>
      <c r="BU17" s="250"/>
      <c r="BV17" s="250"/>
      <c r="BW17" s="250"/>
      <c r="BX17" s="250"/>
      <c r="BY17" s="250"/>
      <c r="BZ17" s="250"/>
      <c r="CA17" s="250"/>
      <c r="CB17" s="250"/>
      <c r="CC17" s="250"/>
      <c r="CD17" s="250"/>
      <c r="CE17" s="250"/>
      <c r="CF17" s="250"/>
      <c r="CG17" s="250"/>
      <c r="CH17" s="250"/>
      <c r="CI17" s="250"/>
      <c r="CJ17" s="250"/>
      <c r="CK17" s="250"/>
      <c r="CL17" s="250"/>
      <c r="CM17" s="250"/>
      <c r="CN17" s="250"/>
      <c r="CO17" s="250"/>
      <c r="CP17" s="250"/>
      <c r="CQ17" s="250"/>
      <c r="CR17" s="250"/>
      <c r="CS17" s="250"/>
      <c r="CT17" s="250"/>
      <c r="CU17" s="250"/>
      <c r="CV17" s="250"/>
      <c r="CW17" s="250"/>
      <c r="CX17" s="250"/>
      <c r="CY17" s="250"/>
      <c r="CZ17" s="250"/>
      <c r="DA17" s="250"/>
      <c r="DB17" s="250"/>
      <c r="DC17" s="250"/>
      <c r="DD17" s="250"/>
      <c r="DE17" s="250"/>
      <c r="DF17" s="250"/>
      <c r="DG17" s="250"/>
      <c r="DH17" s="250"/>
      <c r="DI17" s="250"/>
      <c r="DJ17" s="250"/>
      <c r="DK17" s="250"/>
      <c r="DL17" s="250"/>
      <c r="DM17" s="250"/>
      <c r="DN17" s="250"/>
      <c r="DO17" s="250"/>
      <c r="DP17" s="250"/>
      <c r="DQ17" s="250"/>
      <c r="DR17" s="250"/>
      <c r="DS17" s="250"/>
      <c r="DT17" s="250"/>
      <c r="DU17" s="250"/>
      <c r="DV17" s="250"/>
      <c r="DW17" s="250"/>
      <c r="DX17" s="250"/>
      <c r="DY17" s="250"/>
      <c r="DZ17" s="250"/>
      <c r="EA17" s="250"/>
      <c r="EB17" s="250"/>
      <c r="EC17" s="250"/>
      <c r="ED17" s="250"/>
      <c r="EE17" s="250"/>
      <c r="EF17" s="250"/>
      <c r="EG17" s="250"/>
      <c r="EH17" s="250"/>
      <c r="EI17" s="250"/>
      <c r="EJ17" s="250"/>
      <c r="EK17" s="250"/>
      <c r="EL17" s="250"/>
      <c r="EM17" s="250"/>
      <c r="EN17" s="250"/>
      <c r="EO17" s="250"/>
      <c r="EP17" s="250"/>
      <c r="EQ17" s="250"/>
      <c r="ER17" s="250"/>
      <c r="ES17" s="250"/>
      <c r="ET17" s="250"/>
      <c r="EU17" s="250"/>
      <c r="EV17" s="250"/>
      <c r="EW17" s="250"/>
      <c r="EX17" s="250"/>
      <c r="EY17" s="250"/>
      <c r="EZ17" s="250"/>
      <c r="FA17" s="250"/>
      <c r="FB17" s="250"/>
      <c r="FC17" s="250"/>
      <c r="FD17" s="250"/>
      <c r="FE17" s="250"/>
      <c r="FF17" s="250"/>
      <c r="FG17" s="250"/>
      <c r="FH17" s="250"/>
      <c r="FI17" s="250"/>
      <c r="FJ17" s="250"/>
      <c r="FK17" s="250"/>
      <c r="FL17" s="250"/>
      <c r="FM17" s="250"/>
      <c r="FN17" s="250"/>
      <c r="FO17" s="250"/>
      <c r="FP17" s="250"/>
      <c r="FQ17" s="250"/>
      <c r="FR17" s="250"/>
      <c r="FS17" s="250"/>
      <c r="FT17" s="250"/>
      <c r="FU17" s="250"/>
      <c r="FV17" s="250"/>
      <c r="FW17" s="250"/>
      <c r="FX17" s="250"/>
      <c r="FY17" s="250"/>
      <c r="FZ17" s="250"/>
      <c r="GA17" s="250"/>
      <c r="GB17" s="250"/>
      <c r="GC17" s="250"/>
      <c r="GD17" s="250"/>
      <c r="GE17" s="250"/>
      <c r="GF17" s="250"/>
      <c r="GG17" s="250"/>
      <c r="GH17" s="250"/>
      <c r="GI17" s="250"/>
      <c r="GJ17" s="250"/>
      <c r="GK17" s="250"/>
      <c r="GL17" s="250"/>
      <c r="GM17" s="250"/>
      <c r="GN17" s="250"/>
      <c r="GO17" s="250"/>
      <c r="GP17" s="250"/>
      <c r="GQ17" s="250"/>
      <c r="GR17" s="250"/>
      <c r="GS17" s="250"/>
      <c r="GT17" s="250"/>
      <c r="GU17" s="250"/>
      <c r="GV17" s="250"/>
      <c r="GW17" s="250"/>
      <c r="GX17" s="250"/>
      <c r="GY17" s="250"/>
      <c r="GZ17" s="250"/>
      <c r="HA17" s="250"/>
      <c r="HB17" s="250"/>
      <c r="HC17" s="250"/>
      <c r="HD17" s="250"/>
      <c r="HE17" s="250"/>
      <c r="HF17" s="250"/>
      <c r="HG17" s="250"/>
      <c r="HH17" s="250"/>
      <c r="HI17" s="250"/>
      <c r="HJ17" s="250"/>
    </row>
    <row r="18" spans="1:218" s="219" customFormat="1">
      <c r="A18" s="259"/>
      <c r="B18" s="2062" t="s">
        <v>865</v>
      </c>
      <c r="C18" s="253"/>
      <c r="D18" s="254"/>
      <c r="E18" s="254"/>
      <c r="F18" s="256"/>
      <c r="G18" s="257"/>
      <c r="H18" s="255"/>
      <c r="I18" s="258"/>
      <c r="J18" s="258"/>
      <c r="K18" s="258"/>
      <c r="L18" s="258"/>
      <c r="M18" s="258"/>
      <c r="N18" s="258"/>
      <c r="O18" s="258"/>
      <c r="P18" s="258"/>
      <c r="Q18" s="258"/>
      <c r="R18" s="258"/>
      <c r="S18" s="250"/>
      <c r="T18" s="250"/>
      <c r="U18" s="250"/>
      <c r="V18" s="250"/>
      <c r="W18" s="250"/>
      <c r="X18" s="250"/>
      <c r="Y18" s="250"/>
      <c r="Z18" s="250"/>
      <c r="AA18" s="250"/>
      <c r="AB18" s="250"/>
      <c r="AC18" s="250"/>
      <c r="AD18" s="250"/>
      <c r="AE18" s="250"/>
      <c r="AF18" s="250"/>
      <c r="AG18" s="250"/>
      <c r="AH18" s="250"/>
      <c r="AI18" s="250"/>
      <c r="AJ18" s="250"/>
      <c r="AK18" s="250"/>
      <c r="AL18" s="250"/>
      <c r="AM18" s="250"/>
      <c r="AN18" s="250"/>
      <c r="AO18" s="250"/>
      <c r="AP18" s="250"/>
      <c r="AQ18" s="250"/>
      <c r="AR18" s="250"/>
      <c r="AS18" s="250"/>
      <c r="AT18" s="250"/>
      <c r="AU18" s="250"/>
      <c r="AV18" s="250"/>
      <c r="AW18" s="250"/>
      <c r="AX18" s="250"/>
      <c r="AY18" s="250"/>
      <c r="AZ18" s="250"/>
      <c r="BA18" s="250"/>
      <c r="BB18" s="250"/>
      <c r="BC18" s="250"/>
      <c r="BD18" s="250"/>
      <c r="BE18" s="250"/>
      <c r="BF18" s="250"/>
      <c r="BG18" s="250"/>
      <c r="BH18" s="250"/>
      <c r="BI18" s="250"/>
      <c r="BJ18" s="250"/>
      <c r="BK18" s="250"/>
      <c r="BL18" s="250"/>
      <c r="BM18" s="250"/>
      <c r="BN18" s="250"/>
      <c r="BO18" s="250"/>
      <c r="BP18" s="250"/>
      <c r="BQ18" s="250"/>
      <c r="BR18" s="250"/>
      <c r="BS18" s="250"/>
      <c r="BT18" s="250"/>
      <c r="BU18" s="250"/>
      <c r="BV18" s="250"/>
      <c r="BW18" s="250"/>
      <c r="BX18" s="250"/>
      <c r="BY18" s="250"/>
      <c r="BZ18" s="250"/>
      <c r="CA18" s="250"/>
      <c r="CB18" s="250"/>
      <c r="CC18" s="250"/>
      <c r="CD18" s="250"/>
      <c r="CE18" s="250"/>
      <c r="CF18" s="250"/>
      <c r="CG18" s="250"/>
      <c r="CH18" s="250"/>
      <c r="CI18" s="250"/>
      <c r="CJ18" s="250"/>
      <c r="CK18" s="250"/>
      <c r="CL18" s="250"/>
      <c r="CM18" s="250"/>
      <c r="CN18" s="250"/>
      <c r="CO18" s="250"/>
      <c r="CP18" s="250"/>
      <c r="CQ18" s="250"/>
      <c r="CR18" s="250"/>
      <c r="CS18" s="250"/>
      <c r="CT18" s="250"/>
      <c r="CU18" s="250"/>
      <c r="CV18" s="250"/>
      <c r="CW18" s="250"/>
      <c r="CX18" s="250"/>
      <c r="CY18" s="250"/>
      <c r="CZ18" s="250"/>
      <c r="DA18" s="250"/>
      <c r="DB18" s="250"/>
      <c r="DC18" s="250"/>
      <c r="DD18" s="250"/>
      <c r="DE18" s="250"/>
      <c r="DF18" s="250"/>
      <c r="DG18" s="250"/>
      <c r="DH18" s="250"/>
      <c r="DI18" s="250"/>
      <c r="DJ18" s="250"/>
      <c r="DK18" s="250"/>
      <c r="DL18" s="250"/>
      <c r="DM18" s="250"/>
      <c r="DN18" s="250"/>
      <c r="DO18" s="250"/>
      <c r="DP18" s="250"/>
      <c r="DQ18" s="250"/>
      <c r="DR18" s="250"/>
      <c r="DS18" s="250"/>
      <c r="DT18" s="250"/>
      <c r="DU18" s="250"/>
      <c r="DV18" s="250"/>
      <c r="DW18" s="250"/>
      <c r="DX18" s="250"/>
      <c r="DY18" s="250"/>
      <c r="DZ18" s="250"/>
      <c r="EA18" s="250"/>
      <c r="EB18" s="250"/>
      <c r="EC18" s="250"/>
      <c r="ED18" s="250"/>
      <c r="EE18" s="250"/>
      <c r="EF18" s="250"/>
      <c r="EG18" s="250"/>
      <c r="EH18" s="250"/>
      <c r="EI18" s="250"/>
      <c r="EJ18" s="250"/>
      <c r="EK18" s="250"/>
      <c r="EL18" s="250"/>
      <c r="EM18" s="250"/>
      <c r="EN18" s="250"/>
      <c r="EO18" s="250"/>
      <c r="EP18" s="250"/>
      <c r="EQ18" s="250"/>
      <c r="ER18" s="250"/>
      <c r="ES18" s="250"/>
      <c r="ET18" s="250"/>
      <c r="EU18" s="250"/>
      <c r="EV18" s="250"/>
      <c r="EW18" s="250"/>
      <c r="EX18" s="250"/>
      <c r="EY18" s="250"/>
      <c r="EZ18" s="250"/>
      <c r="FA18" s="250"/>
      <c r="FB18" s="250"/>
      <c r="FC18" s="250"/>
      <c r="FD18" s="250"/>
      <c r="FE18" s="250"/>
      <c r="FF18" s="250"/>
      <c r="FG18" s="250"/>
      <c r="FH18" s="250"/>
      <c r="FI18" s="250"/>
      <c r="FJ18" s="250"/>
      <c r="FK18" s="250"/>
      <c r="FL18" s="250"/>
      <c r="FM18" s="250"/>
      <c r="FN18" s="250"/>
      <c r="FO18" s="250"/>
      <c r="FP18" s="250"/>
      <c r="FQ18" s="250"/>
      <c r="FR18" s="250"/>
      <c r="FS18" s="250"/>
      <c r="FT18" s="250"/>
      <c r="FU18" s="250"/>
      <c r="FV18" s="250"/>
      <c r="FW18" s="250"/>
      <c r="FX18" s="250"/>
      <c r="FY18" s="250"/>
      <c r="FZ18" s="250"/>
      <c r="GA18" s="250"/>
      <c r="GB18" s="250"/>
      <c r="GC18" s="250"/>
      <c r="GD18" s="250"/>
      <c r="GE18" s="250"/>
      <c r="GF18" s="250"/>
      <c r="GG18" s="250"/>
      <c r="GH18" s="250"/>
      <c r="GI18" s="250"/>
      <c r="GJ18" s="250"/>
      <c r="GK18" s="250"/>
      <c r="GL18" s="250"/>
      <c r="GM18" s="250"/>
      <c r="GN18" s="250"/>
      <c r="GO18" s="250"/>
      <c r="GP18" s="250"/>
      <c r="GQ18" s="250"/>
      <c r="GR18" s="250"/>
      <c r="GS18" s="250"/>
      <c r="GT18" s="250"/>
      <c r="GU18" s="250"/>
      <c r="GV18" s="250"/>
      <c r="GW18" s="250"/>
      <c r="GX18" s="250"/>
      <c r="GY18" s="250"/>
      <c r="GZ18" s="250"/>
      <c r="HA18" s="250"/>
      <c r="HB18" s="250"/>
      <c r="HC18" s="250"/>
      <c r="HD18" s="250"/>
      <c r="HE18" s="250"/>
      <c r="HF18" s="250"/>
      <c r="HG18" s="250"/>
      <c r="HH18" s="250"/>
      <c r="HI18" s="250"/>
      <c r="HJ18" s="250"/>
    </row>
    <row r="19" spans="1:218" s="219" customFormat="1">
      <c r="A19" s="259"/>
      <c r="B19" s="2063" t="s">
        <v>866</v>
      </c>
      <c r="C19" s="253"/>
      <c r="D19" s="254"/>
      <c r="E19" s="254"/>
      <c r="F19" s="256"/>
      <c r="G19" s="257"/>
      <c r="H19" s="255"/>
      <c r="I19" s="258"/>
      <c r="J19" s="258"/>
      <c r="K19" s="258"/>
      <c r="L19" s="258"/>
      <c r="M19" s="258"/>
      <c r="N19" s="258"/>
      <c r="O19" s="258"/>
      <c r="P19" s="258"/>
      <c r="Q19" s="258"/>
      <c r="R19" s="258"/>
      <c r="S19" s="250"/>
      <c r="T19" s="250"/>
      <c r="U19" s="250"/>
      <c r="V19" s="250"/>
      <c r="W19" s="250"/>
      <c r="X19" s="250"/>
      <c r="Y19" s="250"/>
      <c r="Z19" s="250"/>
      <c r="AA19" s="250"/>
      <c r="AB19" s="250"/>
      <c r="AC19" s="250"/>
      <c r="AD19" s="250"/>
      <c r="AE19" s="250"/>
      <c r="AF19" s="250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250"/>
      <c r="AR19" s="250"/>
      <c r="AS19" s="250"/>
      <c r="AT19" s="250"/>
      <c r="AU19" s="250"/>
      <c r="AV19" s="250"/>
      <c r="AW19" s="250"/>
      <c r="AX19" s="250"/>
      <c r="AY19" s="250"/>
      <c r="AZ19" s="250"/>
      <c r="BA19" s="250"/>
      <c r="BB19" s="250"/>
      <c r="BC19" s="250"/>
      <c r="BD19" s="250"/>
      <c r="BE19" s="250"/>
      <c r="BF19" s="250"/>
      <c r="BG19" s="250"/>
      <c r="BH19" s="250"/>
      <c r="BI19" s="250"/>
      <c r="BJ19" s="250"/>
      <c r="BK19" s="250"/>
      <c r="BL19" s="250"/>
      <c r="BM19" s="250"/>
      <c r="BN19" s="250"/>
      <c r="BO19" s="250"/>
      <c r="BP19" s="250"/>
      <c r="BQ19" s="250"/>
      <c r="BR19" s="250"/>
      <c r="BS19" s="250"/>
      <c r="BT19" s="250"/>
      <c r="BU19" s="250"/>
      <c r="BV19" s="250"/>
      <c r="BW19" s="250"/>
      <c r="BX19" s="250"/>
      <c r="BY19" s="250"/>
      <c r="BZ19" s="250"/>
      <c r="CA19" s="250"/>
      <c r="CB19" s="250"/>
      <c r="CC19" s="250"/>
      <c r="CD19" s="250"/>
      <c r="CE19" s="250"/>
      <c r="CF19" s="250"/>
      <c r="CG19" s="250"/>
      <c r="CH19" s="250"/>
      <c r="CI19" s="250"/>
      <c r="CJ19" s="250"/>
      <c r="CK19" s="250"/>
      <c r="CL19" s="250"/>
      <c r="CM19" s="250"/>
      <c r="CN19" s="250"/>
      <c r="CO19" s="250"/>
      <c r="CP19" s="250"/>
      <c r="CQ19" s="250"/>
      <c r="CR19" s="250"/>
      <c r="CS19" s="250"/>
      <c r="CT19" s="250"/>
      <c r="CU19" s="250"/>
      <c r="CV19" s="250"/>
      <c r="CW19" s="250"/>
      <c r="CX19" s="250"/>
      <c r="CY19" s="250"/>
      <c r="CZ19" s="250"/>
      <c r="DA19" s="250"/>
      <c r="DB19" s="250"/>
      <c r="DC19" s="250"/>
      <c r="DD19" s="250"/>
      <c r="DE19" s="250"/>
      <c r="DF19" s="250"/>
      <c r="DG19" s="250"/>
      <c r="DH19" s="250"/>
      <c r="DI19" s="250"/>
      <c r="DJ19" s="250"/>
      <c r="DK19" s="250"/>
      <c r="DL19" s="250"/>
      <c r="DM19" s="250"/>
      <c r="DN19" s="250"/>
      <c r="DO19" s="250"/>
      <c r="DP19" s="250"/>
      <c r="DQ19" s="250"/>
      <c r="DR19" s="250"/>
      <c r="DS19" s="250"/>
      <c r="DT19" s="250"/>
      <c r="DU19" s="250"/>
      <c r="DV19" s="250"/>
      <c r="DW19" s="250"/>
      <c r="DX19" s="250"/>
      <c r="DY19" s="250"/>
      <c r="DZ19" s="250"/>
      <c r="EA19" s="250"/>
      <c r="EB19" s="250"/>
      <c r="EC19" s="250"/>
      <c r="ED19" s="250"/>
      <c r="EE19" s="250"/>
      <c r="EF19" s="250"/>
      <c r="EG19" s="250"/>
      <c r="EH19" s="250"/>
      <c r="EI19" s="250"/>
      <c r="EJ19" s="250"/>
      <c r="EK19" s="250"/>
      <c r="EL19" s="250"/>
      <c r="EM19" s="250"/>
      <c r="EN19" s="250"/>
      <c r="EO19" s="250"/>
      <c r="EP19" s="250"/>
      <c r="EQ19" s="250"/>
      <c r="ER19" s="250"/>
      <c r="ES19" s="250"/>
      <c r="ET19" s="250"/>
      <c r="EU19" s="250"/>
      <c r="EV19" s="250"/>
      <c r="EW19" s="250"/>
      <c r="EX19" s="250"/>
      <c r="EY19" s="250"/>
      <c r="EZ19" s="250"/>
      <c r="FA19" s="250"/>
      <c r="FB19" s="250"/>
      <c r="FC19" s="250"/>
      <c r="FD19" s="250"/>
      <c r="FE19" s="250"/>
      <c r="FF19" s="250"/>
      <c r="FG19" s="250"/>
      <c r="FH19" s="250"/>
      <c r="FI19" s="250"/>
      <c r="FJ19" s="250"/>
      <c r="FK19" s="250"/>
      <c r="FL19" s="250"/>
      <c r="FM19" s="250"/>
      <c r="FN19" s="250"/>
      <c r="FO19" s="250"/>
      <c r="FP19" s="250"/>
      <c r="FQ19" s="250"/>
      <c r="FR19" s="250"/>
      <c r="FS19" s="250"/>
      <c r="FT19" s="250"/>
      <c r="FU19" s="250"/>
      <c r="FV19" s="250"/>
      <c r="FW19" s="250"/>
      <c r="FX19" s="250"/>
      <c r="FY19" s="250"/>
      <c r="FZ19" s="250"/>
      <c r="GA19" s="250"/>
      <c r="GB19" s="250"/>
      <c r="GC19" s="250"/>
      <c r="GD19" s="250"/>
      <c r="GE19" s="250"/>
      <c r="GF19" s="250"/>
      <c r="GG19" s="250"/>
      <c r="GH19" s="250"/>
      <c r="GI19" s="250"/>
      <c r="GJ19" s="250"/>
      <c r="GK19" s="250"/>
      <c r="GL19" s="250"/>
      <c r="GM19" s="250"/>
      <c r="GN19" s="250"/>
      <c r="GO19" s="250"/>
      <c r="GP19" s="250"/>
      <c r="GQ19" s="250"/>
      <c r="GR19" s="250"/>
      <c r="GS19" s="250"/>
      <c r="GT19" s="250"/>
      <c r="GU19" s="250"/>
      <c r="GV19" s="250"/>
      <c r="GW19" s="250"/>
      <c r="GX19" s="250"/>
      <c r="GY19" s="250"/>
      <c r="GZ19" s="250"/>
      <c r="HA19" s="250"/>
      <c r="HB19" s="250"/>
      <c r="HC19" s="250"/>
      <c r="HD19" s="250"/>
      <c r="HE19" s="250"/>
      <c r="HF19" s="250"/>
      <c r="HG19" s="250"/>
      <c r="HH19" s="250"/>
      <c r="HI19" s="250"/>
      <c r="HJ19" s="250"/>
    </row>
    <row r="20" spans="1:218" s="219" customFormat="1">
      <c r="A20" s="259"/>
      <c r="B20" s="263"/>
      <c r="C20" s="253"/>
      <c r="D20" s="254"/>
      <c r="E20" s="254"/>
      <c r="F20" s="256"/>
      <c r="G20" s="257"/>
      <c r="H20" s="255"/>
      <c r="I20" s="258"/>
      <c r="J20" s="258"/>
      <c r="K20" s="258"/>
      <c r="L20" s="258"/>
      <c r="M20" s="258"/>
      <c r="N20" s="258"/>
      <c r="O20" s="258"/>
      <c r="P20" s="258"/>
      <c r="Q20" s="258"/>
      <c r="R20" s="258"/>
      <c r="S20" s="250"/>
      <c r="T20" s="250"/>
      <c r="U20" s="250"/>
      <c r="V20" s="250"/>
      <c r="W20" s="250"/>
      <c r="X20" s="250"/>
      <c r="Y20" s="250"/>
      <c r="Z20" s="250"/>
      <c r="AA20" s="250"/>
      <c r="AB20" s="250"/>
      <c r="AC20" s="250"/>
      <c r="AD20" s="250"/>
      <c r="AE20" s="250"/>
      <c r="AF20" s="250"/>
      <c r="AG20" s="250"/>
      <c r="AH20" s="250"/>
      <c r="AI20" s="250"/>
      <c r="AJ20" s="250"/>
      <c r="AK20" s="250"/>
      <c r="AL20" s="250"/>
      <c r="AM20" s="250"/>
      <c r="AN20" s="250"/>
      <c r="AO20" s="250"/>
      <c r="AP20" s="250"/>
      <c r="AQ20" s="250"/>
      <c r="AR20" s="250"/>
      <c r="AS20" s="250"/>
      <c r="AT20" s="250"/>
      <c r="AU20" s="250"/>
      <c r="AV20" s="250"/>
      <c r="AW20" s="250"/>
      <c r="AX20" s="250"/>
      <c r="AY20" s="250"/>
      <c r="AZ20" s="250"/>
      <c r="BA20" s="250"/>
      <c r="BB20" s="250"/>
      <c r="BC20" s="250"/>
      <c r="BD20" s="250"/>
      <c r="BE20" s="250"/>
      <c r="BF20" s="250"/>
      <c r="BG20" s="250"/>
      <c r="BH20" s="250"/>
      <c r="BI20" s="250"/>
      <c r="BJ20" s="250"/>
      <c r="BK20" s="250"/>
      <c r="BL20" s="250"/>
      <c r="BM20" s="250"/>
      <c r="BN20" s="250"/>
      <c r="BO20" s="250"/>
      <c r="BP20" s="250"/>
      <c r="BQ20" s="250"/>
      <c r="BR20" s="250"/>
      <c r="BS20" s="250"/>
      <c r="BT20" s="250"/>
      <c r="BU20" s="250"/>
      <c r="BV20" s="250"/>
      <c r="BW20" s="250"/>
      <c r="BX20" s="250"/>
      <c r="BY20" s="250"/>
      <c r="BZ20" s="250"/>
      <c r="CA20" s="250"/>
      <c r="CB20" s="250"/>
      <c r="CC20" s="250"/>
      <c r="CD20" s="250"/>
      <c r="CE20" s="250"/>
      <c r="CF20" s="250"/>
      <c r="CG20" s="250"/>
      <c r="CH20" s="250"/>
      <c r="CI20" s="250"/>
      <c r="CJ20" s="250"/>
      <c r="CK20" s="250"/>
      <c r="CL20" s="250"/>
      <c r="CM20" s="250"/>
      <c r="CN20" s="250"/>
      <c r="CO20" s="250"/>
      <c r="CP20" s="250"/>
      <c r="CQ20" s="250"/>
      <c r="CR20" s="250"/>
      <c r="CS20" s="250"/>
      <c r="CT20" s="250"/>
      <c r="CU20" s="250"/>
      <c r="CV20" s="250"/>
      <c r="CW20" s="250"/>
      <c r="CX20" s="250"/>
      <c r="CY20" s="250"/>
      <c r="CZ20" s="250"/>
      <c r="DA20" s="250"/>
      <c r="DB20" s="250"/>
      <c r="DC20" s="250"/>
      <c r="DD20" s="250"/>
      <c r="DE20" s="250"/>
      <c r="DF20" s="250"/>
      <c r="DG20" s="250"/>
      <c r="DH20" s="250"/>
      <c r="DI20" s="250"/>
      <c r="DJ20" s="250"/>
      <c r="DK20" s="250"/>
      <c r="DL20" s="250"/>
      <c r="DM20" s="250"/>
      <c r="DN20" s="250"/>
      <c r="DO20" s="250"/>
      <c r="DP20" s="250"/>
      <c r="DQ20" s="250"/>
      <c r="DR20" s="250"/>
      <c r="DS20" s="250"/>
      <c r="DT20" s="250"/>
      <c r="DU20" s="250"/>
      <c r="DV20" s="250"/>
      <c r="DW20" s="250"/>
      <c r="DX20" s="250"/>
      <c r="DY20" s="250"/>
      <c r="DZ20" s="250"/>
      <c r="EA20" s="250"/>
      <c r="EB20" s="250"/>
      <c r="EC20" s="250"/>
      <c r="ED20" s="250"/>
      <c r="EE20" s="250"/>
      <c r="EF20" s="250"/>
      <c r="EG20" s="250"/>
      <c r="EH20" s="250"/>
      <c r="EI20" s="250"/>
      <c r="EJ20" s="250"/>
      <c r="EK20" s="250"/>
      <c r="EL20" s="250"/>
      <c r="EM20" s="250"/>
      <c r="EN20" s="250"/>
      <c r="EO20" s="250"/>
      <c r="EP20" s="250"/>
      <c r="EQ20" s="250"/>
      <c r="ER20" s="250"/>
      <c r="ES20" s="250"/>
      <c r="ET20" s="250"/>
      <c r="EU20" s="250"/>
      <c r="EV20" s="250"/>
      <c r="EW20" s="250"/>
      <c r="EX20" s="250"/>
      <c r="EY20" s="250"/>
      <c r="EZ20" s="250"/>
      <c r="FA20" s="250"/>
      <c r="FB20" s="250"/>
      <c r="FC20" s="250"/>
      <c r="FD20" s="250"/>
      <c r="FE20" s="250"/>
      <c r="FF20" s="250"/>
      <c r="FG20" s="250"/>
      <c r="FH20" s="250"/>
      <c r="FI20" s="250"/>
      <c r="FJ20" s="250"/>
      <c r="FK20" s="250"/>
      <c r="FL20" s="250"/>
      <c r="FM20" s="250"/>
      <c r="FN20" s="250"/>
      <c r="FO20" s="250"/>
      <c r="FP20" s="250"/>
      <c r="FQ20" s="250"/>
      <c r="FR20" s="250"/>
      <c r="FS20" s="250"/>
      <c r="FT20" s="250"/>
      <c r="FU20" s="250"/>
      <c r="FV20" s="250"/>
      <c r="FW20" s="250"/>
      <c r="FX20" s="250"/>
      <c r="FY20" s="250"/>
      <c r="FZ20" s="250"/>
      <c r="GA20" s="250"/>
      <c r="GB20" s="250"/>
      <c r="GC20" s="250"/>
      <c r="GD20" s="250"/>
      <c r="GE20" s="250"/>
      <c r="GF20" s="250"/>
      <c r="GG20" s="250"/>
      <c r="GH20" s="250"/>
      <c r="GI20" s="250"/>
      <c r="GJ20" s="250"/>
      <c r="GK20" s="250"/>
      <c r="GL20" s="250"/>
      <c r="GM20" s="250"/>
      <c r="GN20" s="250"/>
      <c r="GO20" s="250"/>
      <c r="GP20" s="250"/>
      <c r="GQ20" s="250"/>
      <c r="GR20" s="250"/>
      <c r="GS20" s="250"/>
      <c r="GT20" s="250"/>
      <c r="GU20" s="250"/>
      <c r="GV20" s="250"/>
      <c r="GW20" s="250"/>
      <c r="GX20" s="250"/>
      <c r="GY20" s="250"/>
      <c r="GZ20" s="250"/>
      <c r="HA20" s="250"/>
      <c r="HB20" s="250"/>
      <c r="HC20" s="250"/>
      <c r="HD20" s="250"/>
      <c r="HE20" s="250"/>
      <c r="HF20" s="250"/>
      <c r="HG20" s="250"/>
      <c r="HH20" s="250"/>
      <c r="HI20" s="250"/>
      <c r="HJ20" s="250"/>
    </row>
    <row r="21" spans="1:218" s="219" customFormat="1">
      <c r="A21" s="264"/>
      <c r="B21" s="265">
        <v>1</v>
      </c>
      <c r="C21" s="266" t="s">
        <v>867</v>
      </c>
      <c r="D21" s="254" t="s">
        <v>262</v>
      </c>
      <c r="E21" s="254">
        <v>17</v>
      </c>
      <c r="F21" s="267">
        <v>198546.81</v>
      </c>
      <c r="G21" s="268">
        <f>E21*F21</f>
        <v>3375295.77</v>
      </c>
      <c r="H21" s="269">
        <f>G21/'REKAP TOTAL'!F44</f>
        <v>2.7759441750178627E-4</v>
      </c>
      <c r="I21" s="258"/>
      <c r="J21" s="258"/>
      <c r="K21" s="258"/>
      <c r="L21" s="258"/>
      <c r="M21" s="258"/>
      <c r="N21" s="258"/>
      <c r="O21" s="258"/>
      <c r="P21" s="258"/>
      <c r="Q21" s="258"/>
      <c r="R21" s="258"/>
      <c r="S21" s="250"/>
      <c r="T21" s="250"/>
      <c r="U21" s="250"/>
      <c r="V21" s="250"/>
      <c r="W21" s="250"/>
      <c r="X21" s="250"/>
      <c r="Y21" s="250"/>
      <c r="Z21" s="250"/>
      <c r="AA21" s="250"/>
      <c r="AB21" s="250"/>
      <c r="AC21" s="250"/>
      <c r="AD21" s="250"/>
      <c r="AE21" s="250"/>
      <c r="AF21" s="250"/>
      <c r="AG21" s="250"/>
      <c r="AH21" s="250"/>
      <c r="AI21" s="250"/>
      <c r="AJ21" s="250"/>
      <c r="AK21" s="250"/>
      <c r="AL21" s="250"/>
      <c r="AM21" s="250"/>
      <c r="AN21" s="250"/>
      <c r="AO21" s="250"/>
      <c r="AP21" s="250"/>
      <c r="AQ21" s="250"/>
      <c r="AR21" s="250"/>
      <c r="AS21" s="250"/>
      <c r="AT21" s="250"/>
      <c r="AU21" s="250"/>
      <c r="AV21" s="250"/>
      <c r="AW21" s="250"/>
      <c r="AX21" s="250"/>
      <c r="AY21" s="250"/>
      <c r="AZ21" s="250"/>
      <c r="BA21" s="250"/>
      <c r="BB21" s="250"/>
      <c r="BC21" s="250"/>
      <c r="BD21" s="250"/>
      <c r="BE21" s="250"/>
      <c r="BF21" s="250"/>
      <c r="BG21" s="250"/>
      <c r="BH21" s="250"/>
      <c r="BI21" s="250"/>
      <c r="BJ21" s="250"/>
      <c r="BK21" s="250"/>
      <c r="BL21" s="250"/>
      <c r="BM21" s="250"/>
      <c r="BN21" s="250"/>
      <c r="BO21" s="250"/>
      <c r="BP21" s="250"/>
      <c r="BQ21" s="250"/>
      <c r="BR21" s="250"/>
      <c r="BS21" s="250"/>
      <c r="BT21" s="250"/>
      <c r="BU21" s="250"/>
      <c r="BV21" s="250"/>
      <c r="BW21" s="250"/>
      <c r="BX21" s="250"/>
      <c r="BY21" s="250"/>
      <c r="BZ21" s="250"/>
      <c r="CA21" s="250"/>
      <c r="CB21" s="250"/>
      <c r="CC21" s="250"/>
      <c r="CD21" s="250"/>
      <c r="CE21" s="250"/>
      <c r="CF21" s="250"/>
      <c r="CG21" s="250"/>
      <c r="CH21" s="250"/>
      <c r="CI21" s="250"/>
      <c r="CJ21" s="250"/>
      <c r="CK21" s="250"/>
      <c r="CL21" s="250"/>
      <c r="CM21" s="250"/>
      <c r="CN21" s="250"/>
      <c r="CO21" s="250"/>
      <c r="CP21" s="250"/>
      <c r="CQ21" s="250"/>
      <c r="CR21" s="250"/>
      <c r="CS21" s="250"/>
      <c r="CT21" s="250"/>
      <c r="CU21" s="250"/>
      <c r="CV21" s="250"/>
      <c r="CW21" s="250"/>
      <c r="CX21" s="250"/>
      <c r="CY21" s="250"/>
      <c r="CZ21" s="250"/>
      <c r="DA21" s="250"/>
      <c r="DB21" s="250"/>
      <c r="DC21" s="250"/>
      <c r="DD21" s="250"/>
      <c r="DE21" s="250"/>
      <c r="DF21" s="250"/>
      <c r="DG21" s="250"/>
      <c r="DH21" s="250"/>
      <c r="DI21" s="250"/>
      <c r="DJ21" s="250"/>
      <c r="DK21" s="250"/>
      <c r="DL21" s="250"/>
      <c r="DM21" s="250"/>
      <c r="DN21" s="250"/>
      <c r="DO21" s="250"/>
      <c r="DP21" s="250"/>
      <c r="DQ21" s="250"/>
      <c r="DR21" s="250"/>
      <c r="DS21" s="250"/>
      <c r="DT21" s="250"/>
      <c r="DU21" s="250"/>
      <c r="DV21" s="250"/>
      <c r="DW21" s="250"/>
      <c r="DX21" s="250"/>
      <c r="DY21" s="250"/>
      <c r="DZ21" s="250"/>
      <c r="EA21" s="250"/>
      <c r="EB21" s="250"/>
      <c r="EC21" s="250"/>
      <c r="ED21" s="250"/>
      <c r="EE21" s="250"/>
      <c r="EF21" s="250"/>
      <c r="EG21" s="250"/>
      <c r="EH21" s="250"/>
      <c r="EI21" s="250"/>
      <c r="EJ21" s="250"/>
      <c r="EK21" s="250"/>
      <c r="EL21" s="250"/>
      <c r="EM21" s="250"/>
      <c r="EN21" s="250"/>
      <c r="EO21" s="250"/>
      <c r="EP21" s="250"/>
      <c r="EQ21" s="250"/>
      <c r="ER21" s="250"/>
      <c r="ES21" s="250"/>
      <c r="ET21" s="250"/>
      <c r="EU21" s="250"/>
      <c r="EV21" s="250"/>
      <c r="EW21" s="250"/>
      <c r="EX21" s="250"/>
      <c r="EY21" s="250"/>
      <c r="EZ21" s="250"/>
      <c r="FA21" s="250"/>
      <c r="FB21" s="250"/>
      <c r="FC21" s="250"/>
      <c r="FD21" s="250"/>
      <c r="FE21" s="250"/>
      <c r="FF21" s="250"/>
      <c r="FG21" s="250"/>
      <c r="FH21" s="250"/>
      <c r="FI21" s="250"/>
      <c r="FJ21" s="250"/>
      <c r="FK21" s="250"/>
      <c r="FL21" s="250"/>
      <c r="FM21" s="250"/>
      <c r="FN21" s="250"/>
      <c r="FO21" s="250"/>
      <c r="FP21" s="250"/>
      <c r="FQ21" s="250"/>
      <c r="FR21" s="250"/>
      <c r="FS21" s="250"/>
      <c r="FT21" s="250"/>
      <c r="FU21" s="250"/>
      <c r="FV21" s="250"/>
      <c r="FW21" s="250"/>
      <c r="FX21" s="250"/>
      <c r="FY21" s="250"/>
      <c r="FZ21" s="250"/>
      <c r="GA21" s="250"/>
      <c r="GB21" s="250"/>
      <c r="GC21" s="250"/>
      <c r="GD21" s="250"/>
      <c r="GE21" s="250"/>
      <c r="GF21" s="250"/>
      <c r="GG21" s="250"/>
      <c r="GH21" s="250"/>
      <c r="GI21" s="250"/>
      <c r="GJ21" s="250"/>
      <c r="GK21" s="250"/>
      <c r="GL21" s="250"/>
      <c r="GM21" s="250"/>
      <c r="GN21" s="250"/>
      <c r="GO21" s="250"/>
      <c r="GP21" s="250"/>
      <c r="GQ21" s="250"/>
      <c r="GR21" s="250"/>
      <c r="GS21" s="250"/>
      <c r="GT21" s="250"/>
      <c r="GU21" s="250"/>
      <c r="GV21" s="250"/>
      <c r="GW21" s="250"/>
      <c r="GX21" s="250"/>
      <c r="GY21" s="250"/>
      <c r="GZ21" s="250"/>
      <c r="HA21" s="250"/>
      <c r="HB21" s="250"/>
      <c r="HC21" s="250"/>
      <c r="HD21" s="250"/>
      <c r="HE21" s="250"/>
      <c r="HF21" s="250"/>
      <c r="HG21" s="250"/>
      <c r="HH21" s="250"/>
      <c r="HI21" s="250"/>
      <c r="HJ21" s="250"/>
    </row>
    <row r="22" spans="1:218" s="219" customFormat="1">
      <c r="A22" s="259"/>
      <c r="B22" s="270"/>
      <c r="C22" s="266" t="s">
        <v>868</v>
      </c>
      <c r="D22" s="254"/>
      <c r="E22" s="254"/>
      <c r="F22" s="267"/>
      <c r="G22" s="257"/>
      <c r="H22" s="255"/>
      <c r="I22" s="258"/>
      <c r="J22" s="258"/>
      <c r="K22" s="258"/>
      <c r="L22" s="258"/>
      <c r="M22" s="258"/>
      <c r="N22" s="258"/>
      <c r="O22" s="258"/>
      <c r="P22" s="258"/>
      <c r="Q22" s="258"/>
      <c r="R22" s="258"/>
      <c r="S22" s="250"/>
      <c r="T22" s="250"/>
      <c r="U22" s="250"/>
      <c r="V22" s="250"/>
      <c r="W22" s="250"/>
      <c r="X22" s="250"/>
      <c r="Y22" s="250"/>
      <c r="Z22" s="250"/>
      <c r="AA22" s="250"/>
      <c r="AB22" s="250"/>
      <c r="AC22" s="250"/>
      <c r="AD22" s="250"/>
      <c r="AE22" s="250"/>
      <c r="AF22" s="250"/>
      <c r="AG22" s="250"/>
      <c r="AH22" s="250"/>
      <c r="AI22" s="250"/>
      <c r="AJ22" s="250"/>
      <c r="AK22" s="250"/>
      <c r="AL22" s="250"/>
      <c r="AM22" s="250"/>
      <c r="AN22" s="250"/>
      <c r="AO22" s="250"/>
      <c r="AP22" s="250"/>
      <c r="AQ22" s="250"/>
      <c r="AR22" s="250"/>
      <c r="AS22" s="250"/>
      <c r="AT22" s="250"/>
      <c r="AU22" s="250"/>
      <c r="AV22" s="250"/>
      <c r="AW22" s="250"/>
      <c r="AX22" s="250"/>
      <c r="AY22" s="250"/>
      <c r="AZ22" s="250"/>
      <c r="BA22" s="250"/>
      <c r="BB22" s="250"/>
      <c r="BC22" s="250"/>
      <c r="BD22" s="250"/>
      <c r="BE22" s="250"/>
      <c r="BF22" s="250"/>
      <c r="BG22" s="250"/>
      <c r="BH22" s="250"/>
      <c r="BI22" s="250"/>
      <c r="BJ22" s="250"/>
      <c r="BK22" s="250"/>
      <c r="BL22" s="250"/>
      <c r="BM22" s="250"/>
      <c r="BN22" s="250"/>
      <c r="BO22" s="250"/>
      <c r="BP22" s="250"/>
      <c r="BQ22" s="250"/>
      <c r="BR22" s="250"/>
      <c r="BS22" s="250"/>
      <c r="BT22" s="250"/>
      <c r="BU22" s="250"/>
      <c r="BV22" s="250"/>
      <c r="BW22" s="250"/>
      <c r="BX22" s="250"/>
      <c r="BY22" s="250"/>
      <c r="BZ22" s="250"/>
      <c r="CA22" s="250"/>
      <c r="CB22" s="250"/>
      <c r="CC22" s="250"/>
      <c r="CD22" s="250"/>
      <c r="CE22" s="250"/>
      <c r="CF22" s="250"/>
      <c r="CG22" s="250"/>
      <c r="CH22" s="250"/>
      <c r="CI22" s="250"/>
      <c r="CJ22" s="250"/>
      <c r="CK22" s="250"/>
      <c r="CL22" s="250"/>
      <c r="CM22" s="250"/>
      <c r="CN22" s="250"/>
      <c r="CO22" s="250"/>
      <c r="CP22" s="250"/>
      <c r="CQ22" s="250"/>
      <c r="CR22" s="250"/>
      <c r="CS22" s="250"/>
      <c r="CT22" s="250"/>
      <c r="CU22" s="250"/>
      <c r="CV22" s="250"/>
      <c r="CW22" s="250"/>
      <c r="CX22" s="250"/>
      <c r="CY22" s="250"/>
      <c r="CZ22" s="250"/>
      <c r="DA22" s="250"/>
      <c r="DB22" s="250"/>
      <c r="DC22" s="250"/>
      <c r="DD22" s="250"/>
      <c r="DE22" s="250"/>
      <c r="DF22" s="250"/>
      <c r="DG22" s="250"/>
      <c r="DH22" s="250"/>
      <c r="DI22" s="250"/>
      <c r="DJ22" s="250"/>
      <c r="DK22" s="250"/>
      <c r="DL22" s="250"/>
      <c r="DM22" s="250"/>
      <c r="DN22" s="250"/>
      <c r="DO22" s="250"/>
      <c r="DP22" s="250"/>
      <c r="DQ22" s="250"/>
      <c r="DR22" s="250"/>
      <c r="DS22" s="250"/>
      <c r="DT22" s="250"/>
      <c r="DU22" s="250"/>
      <c r="DV22" s="250"/>
      <c r="DW22" s="250"/>
      <c r="DX22" s="250"/>
      <c r="DY22" s="250"/>
      <c r="DZ22" s="250"/>
      <c r="EA22" s="250"/>
      <c r="EB22" s="250"/>
      <c r="EC22" s="250"/>
      <c r="ED22" s="250"/>
      <c r="EE22" s="250"/>
      <c r="EF22" s="250"/>
      <c r="EG22" s="250"/>
      <c r="EH22" s="250"/>
      <c r="EI22" s="250"/>
      <c r="EJ22" s="250"/>
      <c r="EK22" s="250"/>
      <c r="EL22" s="250"/>
      <c r="EM22" s="250"/>
      <c r="EN22" s="250"/>
      <c r="EO22" s="250"/>
      <c r="EP22" s="250"/>
      <c r="EQ22" s="250"/>
      <c r="ER22" s="250"/>
      <c r="ES22" s="250"/>
      <c r="ET22" s="250"/>
      <c r="EU22" s="250"/>
      <c r="EV22" s="250"/>
      <c r="EW22" s="250"/>
      <c r="EX22" s="250"/>
      <c r="EY22" s="250"/>
      <c r="EZ22" s="250"/>
      <c r="FA22" s="250"/>
      <c r="FB22" s="250"/>
      <c r="FC22" s="250"/>
      <c r="FD22" s="250"/>
      <c r="FE22" s="250"/>
      <c r="FF22" s="250"/>
      <c r="FG22" s="250"/>
      <c r="FH22" s="250"/>
      <c r="FI22" s="250"/>
      <c r="FJ22" s="250"/>
      <c r="FK22" s="250"/>
      <c r="FL22" s="250"/>
      <c r="FM22" s="250"/>
      <c r="FN22" s="250"/>
      <c r="FO22" s="250"/>
      <c r="FP22" s="250"/>
      <c r="FQ22" s="250"/>
      <c r="FR22" s="250"/>
      <c r="FS22" s="250"/>
      <c r="FT22" s="250"/>
      <c r="FU22" s="250"/>
      <c r="FV22" s="250"/>
      <c r="FW22" s="250"/>
      <c r="FX22" s="250"/>
      <c r="FY22" s="250"/>
      <c r="FZ22" s="250"/>
      <c r="GA22" s="250"/>
      <c r="GB22" s="250"/>
      <c r="GC22" s="250"/>
      <c r="GD22" s="250"/>
      <c r="GE22" s="250"/>
      <c r="GF22" s="250"/>
      <c r="GG22" s="250"/>
      <c r="GH22" s="250"/>
      <c r="GI22" s="250"/>
      <c r="GJ22" s="250"/>
      <c r="GK22" s="250"/>
      <c r="GL22" s="250"/>
      <c r="GM22" s="250"/>
      <c r="GN22" s="250"/>
      <c r="GO22" s="250"/>
      <c r="GP22" s="250"/>
      <c r="GQ22" s="250"/>
      <c r="GR22" s="250"/>
      <c r="GS22" s="250"/>
      <c r="GT22" s="250"/>
      <c r="GU22" s="250"/>
      <c r="GV22" s="250"/>
      <c r="GW22" s="250"/>
      <c r="GX22" s="250"/>
      <c r="GY22" s="250"/>
      <c r="GZ22" s="250"/>
      <c r="HA22" s="250"/>
      <c r="HB22" s="250"/>
      <c r="HC22" s="250"/>
      <c r="HD22" s="250"/>
      <c r="HE22" s="250"/>
      <c r="HF22" s="250"/>
      <c r="HG22" s="250"/>
      <c r="HH22" s="250"/>
      <c r="HI22" s="250"/>
      <c r="HJ22" s="250"/>
    </row>
    <row r="23" spans="1:218" s="219" customFormat="1">
      <c r="A23" s="259"/>
      <c r="B23" s="270"/>
      <c r="C23" s="271"/>
      <c r="D23" s="254"/>
      <c r="E23" s="254"/>
      <c r="F23" s="267"/>
      <c r="G23" s="257"/>
      <c r="H23" s="255"/>
      <c r="I23" s="258"/>
      <c r="J23" s="258"/>
      <c r="K23" s="258"/>
      <c r="L23" s="258"/>
      <c r="M23" s="258"/>
      <c r="N23" s="258"/>
      <c r="O23" s="258"/>
      <c r="P23" s="258"/>
      <c r="Q23" s="258"/>
      <c r="R23" s="258"/>
      <c r="S23" s="250"/>
      <c r="T23" s="250"/>
      <c r="U23" s="250"/>
      <c r="V23" s="250"/>
      <c r="W23" s="250"/>
      <c r="X23" s="250"/>
      <c r="Y23" s="250"/>
      <c r="Z23" s="250"/>
      <c r="AA23" s="250"/>
      <c r="AB23" s="250"/>
      <c r="AC23" s="250"/>
      <c r="AD23" s="250"/>
      <c r="AE23" s="250"/>
      <c r="AF23" s="250"/>
      <c r="AG23" s="250"/>
      <c r="AH23" s="250"/>
      <c r="AI23" s="250"/>
      <c r="AJ23" s="250"/>
      <c r="AK23" s="250"/>
      <c r="AL23" s="250"/>
      <c r="AM23" s="250"/>
      <c r="AN23" s="250"/>
      <c r="AO23" s="250"/>
      <c r="AP23" s="250"/>
      <c r="AQ23" s="250"/>
      <c r="AR23" s="250"/>
      <c r="AS23" s="250"/>
      <c r="AT23" s="250"/>
      <c r="AU23" s="250"/>
      <c r="AV23" s="250"/>
      <c r="AW23" s="250"/>
      <c r="AX23" s="250"/>
      <c r="AY23" s="250"/>
      <c r="AZ23" s="250"/>
      <c r="BA23" s="250"/>
      <c r="BB23" s="250"/>
      <c r="BC23" s="250"/>
      <c r="BD23" s="250"/>
      <c r="BE23" s="250"/>
      <c r="BF23" s="250"/>
      <c r="BG23" s="250"/>
      <c r="BH23" s="250"/>
      <c r="BI23" s="250"/>
      <c r="BJ23" s="250"/>
      <c r="BK23" s="250"/>
      <c r="BL23" s="250"/>
      <c r="BM23" s="250"/>
      <c r="BN23" s="250"/>
      <c r="BO23" s="250"/>
      <c r="BP23" s="250"/>
      <c r="BQ23" s="250"/>
      <c r="BR23" s="250"/>
      <c r="BS23" s="250"/>
      <c r="BT23" s="250"/>
      <c r="BU23" s="250"/>
      <c r="BV23" s="250"/>
      <c r="BW23" s="250"/>
      <c r="BX23" s="250"/>
      <c r="BY23" s="250"/>
      <c r="BZ23" s="250"/>
      <c r="CA23" s="250"/>
      <c r="CB23" s="250"/>
      <c r="CC23" s="250"/>
      <c r="CD23" s="250"/>
      <c r="CE23" s="250"/>
      <c r="CF23" s="250"/>
      <c r="CG23" s="250"/>
      <c r="CH23" s="250"/>
      <c r="CI23" s="250"/>
      <c r="CJ23" s="250"/>
      <c r="CK23" s="250"/>
      <c r="CL23" s="250"/>
      <c r="CM23" s="250"/>
      <c r="CN23" s="250"/>
      <c r="CO23" s="250"/>
      <c r="CP23" s="250"/>
      <c r="CQ23" s="250"/>
      <c r="CR23" s="250"/>
      <c r="CS23" s="250"/>
      <c r="CT23" s="250"/>
      <c r="CU23" s="250"/>
      <c r="CV23" s="250"/>
      <c r="CW23" s="250"/>
      <c r="CX23" s="250"/>
      <c r="CY23" s="250"/>
      <c r="CZ23" s="250"/>
      <c r="DA23" s="250"/>
      <c r="DB23" s="250"/>
      <c r="DC23" s="250"/>
      <c r="DD23" s="250"/>
      <c r="DE23" s="250"/>
      <c r="DF23" s="250"/>
      <c r="DG23" s="250"/>
      <c r="DH23" s="250"/>
      <c r="DI23" s="250"/>
      <c r="DJ23" s="250"/>
      <c r="DK23" s="250"/>
      <c r="DL23" s="250"/>
      <c r="DM23" s="250"/>
      <c r="DN23" s="250"/>
      <c r="DO23" s="250"/>
      <c r="DP23" s="250"/>
      <c r="DQ23" s="250"/>
      <c r="DR23" s="250"/>
      <c r="DS23" s="250"/>
      <c r="DT23" s="250"/>
      <c r="DU23" s="250"/>
      <c r="DV23" s="250"/>
      <c r="DW23" s="250"/>
      <c r="DX23" s="250"/>
      <c r="DY23" s="250"/>
      <c r="DZ23" s="250"/>
      <c r="EA23" s="250"/>
      <c r="EB23" s="250"/>
      <c r="EC23" s="250"/>
      <c r="ED23" s="250"/>
      <c r="EE23" s="250"/>
      <c r="EF23" s="250"/>
      <c r="EG23" s="250"/>
      <c r="EH23" s="250"/>
      <c r="EI23" s="250"/>
      <c r="EJ23" s="250"/>
      <c r="EK23" s="250"/>
      <c r="EL23" s="250"/>
      <c r="EM23" s="250"/>
      <c r="EN23" s="250"/>
      <c r="EO23" s="250"/>
      <c r="EP23" s="250"/>
      <c r="EQ23" s="250"/>
      <c r="ER23" s="250"/>
      <c r="ES23" s="250"/>
      <c r="ET23" s="250"/>
      <c r="EU23" s="250"/>
      <c r="EV23" s="250"/>
      <c r="EW23" s="250"/>
      <c r="EX23" s="250"/>
      <c r="EY23" s="250"/>
      <c r="EZ23" s="250"/>
      <c r="FA23" s="250"/>
      <c r="FB23" s="250"/>
      <c r="FC23" s="250"/>
      <c r="FD23" s="250"/>
      <c r="FE23" s="250"/>
      <c r="FF23" s="250"/>
      <c r="FG23" s="250"/>
      <c r="FH23" s="250"/>
      <c r="FI23" s="250"/>
      <c r="FJ23" s="250"/>
      <c r="FK23" s="250"/>
      <c r="FL23" s="250"/>
      <c r="FM23" s="250"/>
      <c r="FN23" s="250"/>
      <c r="FO23" s="250"/>
      <c r="FP23" s="250"/>
      <c r="FQ23" s="250"/>
      <c r="FR23" s="250"/>
      <c r="FS23" s="250"/>
      <c r="FT23" s="250"/>
      <c r="FU23" s="250"/>
      <c r="FV23" s="250"/>
      <c r="FW23" s="250"/>
      <c r="FX23" s="250"/>
      <c r="FY23" s="250"/>
      <c r="FZ23" s="250"/>
      <c r="GA23" s="250"/>
      <c r="GB23" s="250"/>
      <c r="GC23" s="250"/>
      <c r="GD23" s="250"/>
      <c r="GE23" s="250"/>
      <c r="GF23" s="250"/>
      <c r="GG23" s="250"/>
      <c r="GH23" s="250"/>
      <c r="GI23" s="250"/>
      <c r="GJ23" s="250"/>
      <c r="GK23" s="250"/>
      <c r="GL23" s="250"/>
      <c r="GM23" s="250"/>
      <c r="GN23" s="250"/>
      <c r="GO23" s="250"/>
      <c r="GP23" s="250"/>
      <c r="GQ23" s="250"/>
      <c r="GR23" s="250"/>
      <c r="GS23" s="250"/>
      <c r="GT23" s="250"/>
      <c r="GU23" s="250"/>
      <c r="GV23" s="250"/>
      <c r="GW23" s="250"/>
      <c r="GX23" s="250"/>
      <c r="GY23" s="250"/>
      <c r="GZ23" s="250"/>
      <c r="HA23" s="250"/>
      <c r="HB23" s="250"/>
      <c r="HC23" s="250"/>
      <c r="HD23" s="250"/>
      <c r="HE23" s="250"/>
      <c r="HF23" s="250"/>
      <c r="HG23" s="250"/>
      <c r="HH23" s="250"/>
      <c r="HI23" s="250"/>
      <c r="HJ23" s="250"/>
    </row>
    <row r="24" spans="1:218" s="219" customFormat="1">
      <c r="A24" s="259"/>
      <c r="B24" s="270">
        <v>2</v>
      </c>
      <c r="C24" s="272" t="s">
        <v>869</v>
      </c>
      <c r="D24" s="254" t="s">
        <v>870</v>
      </c>
      <c r="E24" s="254">
        <f>SUM(E21:E23)</f>
        <v>17</v>
      </c>
      <c r="F24" s="267">
        <v>221352.86249999999</v>
      </c>
      <c r="G24" s="268">
        <f>E24*F24</f>
        <v>3762998.6625000001</v>
      </c>
      <c r="H24" s="269">
        <f>G24/'REKAP TOTAL'!F44</f>
        <v>3.0948026275536981E-4</v>
      </c>
      <c r="I24" s="258"/>
      <c r="J24" s="258"/>
      <c r="K24" s="258"/>
      <c r="L24" s="258"/>
      <c r="M24" s="258"/>
      <c r="N24" s="258"/>
      <c r="O24" s="258"/>
      <c r="P24" s="258"/>
      <c r="Q24" s="258"/>
      <c r="R24" s="258"/>
      <c r="S24" s="250"/>
      <c r="T24" s="250"/>
      <c r="U24" s="250"/>
      <c r="V24" s="250"/>
      <c r="W24" s="250"/>
      <c r="X24" s="250"/>
      <c r="Y24" s="250"/>
      <c r="Z24" s="250"/>
      <c r="AA24" s="250"/>
      <c r="AB24" s="250"/>
      <c r="AC24" s="250"/>
      <c r="AD24" s="250"/>
      <c r="AE24" s="250"/>
      <c r="AF24" s="250"/>
      <c r="AG24" s="250"/>
      <c r="AH24" s="250"/>
      <c r="AI24" s="250"/>
      <c r="AJ24" s="250"/>
      <c r="AK24" s="250"/>
      <c r="AL24" s="250"/>
      <c r="AM24" s="250"/>
      <c r="AN24" s="250"/>
      <c r="AO24" s="250"/>
      <c r="AP24" s="250"/>
      <c r="AQ24" s="250"/>
      <c r="AR24" s="250"/>
      <c r="AS24" s="250"/>
      <c r="AT24" s="250"/>
      <c r="AU24" s="250"/>
      <c r="AV24" s="250"/>
      <c r="AW24" s="250"/>
      <c r="AX24" s="250"/>
      <c r="AY24" s="250"/>
      <c r="AZ24" s="250"/>
      <c r="BA24" s="250"/>
      <c r="BB24" s="250"/>
      <c r="BC24" s="250"/>
      <c r="BD24" s="250"/>
      <c r="BE24" s="250"/>
      <c r="BF24" s="250"/>
      <c r="BG24" s="250"/>
      <c r="BH24" s="250"/>
      <c r="BI24" s="250"/>
      <c r="BJ24" s="250"/>
      <c r="BK24" s="250"/>
      <c r="BL24" s="250"/>
      <c r="BM24" s="250"/>
      <c r="BN24" s="250"/>
      <c r="BO24" s="250"/>
      <c r="BP24" s="250"/>
      <c r="BQ24" s="250"/>
      <c r="BR24" s="250"/>
      <c r="BS24" s="250"/>
      <c r="BT24" s="250"/>
      <c r="BU24" s="250"/>
      <c r="BV24" s="250"/>
      <c r="BW24" s="250"/>
      <c r="BX24" s="250"/>
      <c r="BY24" s="250"/>
      <c r="BZ24" s="250"/>
      <c r="CA24" s="250"/>
      <c r="CB24" s="250"/>
      <c r="CC24" s="250"/>
      <c r="CD24" s="250"/>
      <c r="CE24" s="250"/>
      <c r="CF24" s="250"/>
      <c r="CG24" s="250"/>
      <c r="CH24" s="250"/>
      <c r="CI24" s="250"/>
      <c r="CJ24" s="250"/>
      <c r="CK24" s="250"/>
      <c r="CL24" s="250"/>
      <c r="CM24" s="250"/>
      <c r="CN24" s="250"/>
      <c r="CO24" s="250"/>
      <c r="CP24" s="250"/>
      <c r="CQ24" s="250"/>
      <c r="CR24" s="250"/>
      <c r="CS24" s="250"/>
      <c r="CT24" s="250"/>
      <c r="CU24" s="250"/>
      <c r="CV24" s="250"/>
      <c r="CW24" s="250"/>
      <c r="CX24" s="250"/>
      <c r="CY24" s="250"/>
      <c r="CZ24" s="250"/>
      <c r="DA24" s="250"/>
      <c r="DB24" s="250"/>
      <c r="DC24" s="250"/>
      <c r="DD24" s="250"/>
      <c r="DE24" s="250"/>
      <c r="DF24" s="250"/>
      <c r="DG24" s="250"/>
      <c r="DH24" s="250"/>
      <c r="DI24" s="250"/>
      <c r="DJ24" s="250"/>
      <c r="DK24" s="250"/>
      <c r="DL24" s="250"/>
      <c r="DM24" s="250"/>
      <c r="DN24" s="250"/>
      <c r="DO24" s="250"/>
      <c r="DP24" s="250"/>
      <c r="DQ24" s="250"/>
      <c r="DR24" s="250"/>
      <c r="DS24" s="250"/>
      <c r="DT24" s="250"/>
      <c r="DU24" s="250"/>
      <c r="DV24" s="250"/>
      <c r="DW24" s="250"/>
      <c r="DX24" s="250"/>
      <c r="DY24" s="250"/>
      <c r="DZ24" s="250"/>
      <c r="EA24" s="250"/>
      <c r="EB24" s="250"/>
      <c r="EC24" s="250"/>
      <c r="ED24" s="250"/>
      <c r="EE24" s="250"/>
      <c r="EF24" s="250"/>
      <c r="EG24" s="250"/>
      <c r="EH24" s="250"/>
      <c r="EI24" s="250"/>
      <c r="EJ24" s="250"/>
      <c r="EK24" s="250"/>
      <c r="EL24" s="250"/>
      <c r="EM24" s="250"/>
      <c r="EN24" s="250"/>
      <c r="EO24" s="250"/>
      <c r="EP24" s="250"/>
      <c r="EQ24" s="250"/>
      <c r="ER24" s="250"/>
      <c r="ES24" s="250"/>
      <c r="ET24" s="250"/>
      <c r="EU24" s="250"/>
      <c r="EV24" s="250"/>
      <c r="EW24" s="250"/>
      <c r="EX24" s="250"/>
      <c r="EY24" s="250"/>
      <c r="EZ24" s="250"/>
      <c r="FA24" s="250"/>
      <c r="FB24" s="250"/>
      <c r="FC24" s="250"/>
      <c r="FD24" s="250"/>
      <c r="FE24" s="250"/>
      <c r="FF24" s="250"/>
      <c r="FG24" s="250"/>
      <c r="FH24" s="250"/>
      <c r="FI24" s="250"/>
      <c r="FJ24" s="250"/>
      <c r="FK24" s="250"/>
      <c r="FL24" s="250"/>
      <c r="FM24" s="250"/>
      <c r="FN24" s="250"/>
      <c r="FO24" s="250"/>
      <c r="FP24" s="250"/>
      <c r="FQ24" s="250"/>
      <c r="FR24" s="250"/>
      <c r="FS24" s="250"/>
      <c r="FT24" s="250"/>
      <c r="FU24" s="250"/>
      <c r="FV24" s="250"/>
      <c r="FW24" s="250"/>
      <c r="FX24" s="250"/>
      <c r="FY24" s="250"/>
      <c r="FZ24" s="250"/>
      <c r="GA24" s="250"/>
      <c r="GB24" s="250"/>
      <c r="GC24" s="250"/>
      <c r="GD24" s="250"/>
      <c r="GE24" s="250"/>
      <c r="GF24" s="250"/>
      <c r="GG24" s="250"/>
      <c r="GH24" s="250"/>
      <c r="GI24" s="250"/>
      <c r="GJ24" s="250"/>
      <c r="GK24" s="250"/>
      <c r="GL24" s="250"/>
      <c r="GM24" s="250"/>
      <c r="GN24" s="250"/>
      <c r="GO24" s="250"/>
      <c r="GP24" s="250"/>
      <c r="GQ24" s="250"/>
      <c r="GR24" s="250"/>
      <c r="GS24" s="250"/>
      <c r="GT24" s="250"/>
      <c r="GU24" s="250"/>
      <c r="GV24" s="250"/>
      <c r="GW24" s="250"/>
      <c r="GX24" s="250"/>
      <c r="GY24" s="250"/>
      <c r="GZ24" s="250"/>
      <c r="HA24" s="250"/>
      <c r="HB24" s="250"/>
      <c r="HC24" s="250"/>
      <c r="HD24" s="250"/>
      <c r="HE24" s="250"/>
      <c r="HF24" s="250"/>
      <c r="HG24" s="250"/>
      <c r="HH24" s="250"/>
      <c r="HI24" s="250"/>
      <c r="HJ24" s="250"/>
    </row>
    <row r="25" spans="1:218" s="219" customFormat="1">
      <c r="A25" s="259"/>
      <c r="B25" s="270"/>
      <c r="C25" s="272" t="s">
        <v>871</v>
      </c>
      <c r="D25" s="254"/>
      <c r="E25" s="254"/>
      <c r="F25" s="267"/>
      <c r="G25" s="257"/>
      <c r="H25" s="255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0"/>
      <c r="T25" s="250"/>
      <c r="U25" s="250"/>
      <c r="V25" s="250"/>
      <c r="W25" s="250"/>
      <c r="X25" s="250"/>
      <c r="Y25" s="250"/>
      <c r="Z25" s="250"/>
      <c r="AA25" s="250"/>
      <c r="AB25" s="250"/>
      <c r="AC25" s="250"/>
      <c r="AD25" s="250"/>
      <c r="AE25" s="250"/>
      <c r="AF25" s="250"/>
      <c r="AG25" s="250"/>
      <c r="AH25" s="250"/>
      <c r="AI25" s="250"/>
      <c r="AJ25" s="250"/>
      <c r="AK25" s="250"/>
      <c r="AL25" s="250"/>
      <c r="AM25" s="250"/>
      <c r="AN25" s="250"/>
      <c r="AO25" s="250"/>
      <c r="AP25" s="250"/>
      <c r="AQ25" s="250"/>
      <c r="AR25" s="250"/>
      <c r="AS25" s="250"/>
      <c r="AT25" s="250"/>
      <c r="AU25" s="250"/>
      <c r="AV25" s="250"/>
      <c r="AW25" s="250"/>
      <c r="AX25" s="250"/>
      <c r="AY25" s="250"/>
      <c r="AZ25" s="250"/>
      <c r="BA25" s="250"/>
      <c r="BB25" s="250"/>
      <c r="BC25" s="250"/>
      <c r="BD25" s="250"/>
      <c r="BE25" s="250"/>
      <c r="BF25" s="250"/>
      <c r="BG25" s="250"/>
      <c r="BH25" s="250"/>
      <c r="BI25" s="250"/>
      <c r="BJ25" s="250"/>
      <c r="BK25" s="250"/>
      <c r="BL25" s="250"/>
      <c r="BM25" s="250"/>
      <c r="BN25" s="250"/>
      <c r="BO25" s="250"/>
      <c r="BP25" s="250"/>
      <c r="BQ25" s="250"/>
      <c r="BR25" s="250"/>
      <c r="BS25" s="250"/>
      <c r="BT25" s="250"/>
      <c r="BU25" s="250"/>
      <c r="BV25" s="250"/>
      <c r="BW25" s="250"/>
      <c r="BX25" s="250"/>
      <c r="BY25" s="250"/>
      <c r="BZ25" s="250"/>
      <c r="CA25" s="250"/>
      <c r="CB25" s="250"/>
      <c r="CC25" s="250"/>
      <c r="CD25" s="250"/>
      <c r="CE25" s="250"/>
      <c r="CF25" s="250"/>
      <c r="CG25" s="250"/>
      <c r="CH25" s="250"/>
      <c r="CI25" s="250"/>
      <c r="CJ25" s="250"/>
      <c r="CK25" s="250"/>
      <c r="CL25" s="250"/>
      <c r="CM25" s="250"/>
      <c r="CN25" s="250"/>
      <c r="CO25" s="250"/>
      <c r="CP25" s="250"/>
      <c r="CQ25" s="250"/>
      <c r="CR25" s="250"/>
      <c r="CS25" s="250"/>
      <c r="CT25" s="250"/>
      <c r="CU25" s="250"/>
      <c r="CV25" s="250"/>
      <c r="CW25" s="250"/>
      <c r="CX25" s="250"/>
      <c r="CY25" s="250"/>
      <c r="CZ25" s="250"/>
      <c r="DA25" s="250"/>
      <c r="DB25" s="250"/>
      <c r="DC25" s="250"/>
      <c r="DD25" s="250"/>
      <c r="DE25" s="250"/>
      <c r="DF25" s="250"/>
      <c r="DG25" s="250"/>
      <c r="DH25" s="250"/>
      <c r="DI25" s="250"/>
      <c r="DJ25" s="250"/>
      <c r="DK25" s="250"/>
      <c r="DL25" s="250"/>
      <c r="DM25" s="250"/>
      <c r="DN25" s="250"/>
      <c r="DO25" s="250"/>
      <c r="DP25" s="250"/>
      <c r="DQ25" s="250"/>
      <c r="DR25" s="250"/>
      <c r="DS25" s="250"/>
      <c r="DT25" s="250"/>
      <c r="DU25" s="250"/>
      <c r="DV25" s="250"/>
      <c r="DW25" s="250"/>
      <c r="DX25" s="250"/>
      <c r="DY25" s="250"/>
      <c r="DZ25" s="250"/>
      <c r="EA25" s="250"/>
      <c r="EB25" s="250"/>
      <c r="EC25" s="250"/>
      <c r="ED25" s="250"/>
      <c r="EE25" s="250"/>
      <c r="EF25" s="250"/>
      <c r="EG25" s="250"/>
      <c r="EH25" s="250"/>
      <c r="EI25" s="250"/>
      <c r="EJ25" s="250"/>
      <c r="EK25" s="250"/>
      <c r="EL25" s="250"/>
      <c r="EM25" s="250"/>
      <c r="EN25" s="250"/>
      <c r="EO25" s="250"/>
      <c r="EP25" s="250"/>
      <c r="EQ25" s="250"/>
      <c r="ER25" s="250"/>
      <c r="ES25" s="250"/>
      <c r="ET25" s="250"/>
      <c r="EU25" s="250"/>
      <c r="EV25" s="250"/>
      <c r="EW25" s="250"/>
      <c r="EX25" s="250"/>
      <c r="EY25" s="250"/>
      <c r="EZ25" s="250"/>
      <c r="FA25" s="250"/>
      <c r="FB25" s="250"/>
      <c r="FC25" s="250"/>
      <c r="FD25" s="250"/>
      <c r="FE25" s="250"/>
      <c r="FF25" s="250"/>
      <c r="FG25" s="250"/>
      <c r="FH25" s="250"/>
      <c r="FI25" s="250"/>
      <c r="FJ25" s="250"/>
      <c r="FK25" s="250"/>
      <c r="FL25" s="250"/>
      <c r="FM25" s="250"/>
      <c r="FN25" s="250"/>
      <c r="FO25" s="250"/>
      <c r="FP25" s="250"/>
      <c r="FQ25" s="250"/>
      <c r="FR25" s="250"/>
      <c r="FS25" s="250"/>
      <c r="FT25" s="250"/>
      <c r="FU25" s="250"/>
      <c r="FV25" s="250"/>
      <c r="FW25" s="250"/>
      <c r="FX25" s="250"/>
      <c r="FY25" s="250"/>
      <c r="FZ25" s="250"/>
      <c r="GA25" s="250"/>
      <c r="GB25" s="250"/>
      <c r="GC25" s="250"/>
      <c r="GD25" s="250"/>
      <c r="GE25" s="250"/>
      <c r="GF25" s="250"/>
      <c r="GG25" s="250"/>
      <c r="GH25" s="250"/>
      <c r="GI25" s="250"/>
      <c r="GJ25" s="250"/>
      <c r="GK25" s="250"/>
      <c r="GL25" s="250"/>
      <c r="GM25" s="250"/>
      <c r="GN25" s="250"/>
      <c r="GO25" s="250"/>
      <c r="GP25" s="250"/>
      <c r="GQ25" s="250"/>
      <c r="GR25" s="250"/>
      <c r="GS25" s="250"/>
      <c r="GT25" s="250"/>
      <c r="GU25" s="250"/>
      <c r="GV25" s="250"/>
      <c r="GW25" s="250"/>
      <c r="GX25" s="250"/>
      <c r="GY25" s="250"/>
      <c r="GZ25" s="250"/>
      <c r="HA25" s="250"/>
      <c r="HB25" s="250"/>
      <c r="HC25" s="250"/>
      <c r="HD25" s="250"/>
      <c r="HE25" s="250"/>
      <c r="HF25" s="250"/>
      <c r="HG25" s="250"/>
      <c r="HH25" s="250"/>
      <c r="HI25" s="250"/>
      <c r="HJ25" s="250"/>
    </row>
    <row r="26" spans="1:218" s="219" customFormat="1">
      <c r="A26" s="259"/>
      <c r="B26" s="270"/>
      <c r="C26" s="253"/>
      <c r="D26" s="254"/>
      <c r="E26" s="254"/>
      <c r="F26" s="267"/>
      <c r="G26" s="257"/>
      <c r="H26" s="255"/>
      <c r="I26" s="258"/>
      <c r="J26" s="258"/>
      <c r="K26" s="258"/>
      <c r="L26" s="258"/>
      <c r="M26" s="258"/>
      <c r="N26" s="258"/>
      <c r="O26" s="258"/>
      <c r="P26" s="258"/>
      <c r="Q26" s="258"/>
      <c r="R26" s="258"/>
      <c r="S26" s="250"/>
      <c r="T26" s="250"/>
      <c r="U26" s="250"/>
      <c r="V26" s="250"/>
      <c r="W26" s="250"/>
      <c r="X26" s="250"/>
      <c r="Y26" s="250"/>
      <c r="Z26" s="250"/>
      <c r="AA26" s="250"/>
      <c r="AB26" s="250"/>
      <c r="AC26" s="250"/>
      <c r="AD26" s="250"/>
      <c r="AE26" s="250"/>
      <c r="AF26" s="250"/>
      <c r="AG26" s="250"/>
      <c r="AH26" s="250"/>
      <c r="AI26" s="250"/>
      <c r="AJ26" s="250"/>
      <c r="AK26" s="250"/>
      <c r="AL26" s="250"/>
      <c r="AM26" s="250"/>
      <c r="AN26" s="250"/>
      <c r="AO26" s="250"/>
      <c r="AP26" s="250"/>
      <c r="AQ26" s="250"/>
      <c r="AR26" s="250"/>
      <c r="AS26" s="250"/>
      <c r="AT26" s="250"/>
      <c r="AU26" s="250"/>
      <c r="AV26" s="250"/>
      <c r="AW26" s="250"/>
      <c r="AX26" s="250"/>
      <c r="AY26" s="250"/>
      <c r="AZ26" s="250"/>
      <c r="BA26" s="250"/>
      <c r="BB26" s="250"/>
      <c r="BC26" s="250"/>
      <c r="BD26" s="250"/>
      <c r="BE26" s="250"/>
      <c r="BF26" s="250"/>
      <c r="BG26" s="250"/>
      <c r="BH26" s="250"/>
      <c r="BI26" s="250"/>
      <c r="BJ26" s="250"/>
      <c r="BK26" s="250"/>
      <c r="BL26" s="250"/>
      <c r="BM26" s="250"/>
      <c r="BN26" s="250"/>
      <c r="BO26" s="250"/>
      <c r="BP26" s="250"/>
      <c r="BQ26" s="250"/>
      <c r="BR26" s="250"/>
      <c r="BS26" s="250"/>
      <c r="BT26" s="250"/>
      <c r="BU26" s="250"/>
      <c r="BV26" s="250"/>
      <c r="BW26" s="250"/>
      <c r="BX26" s="250"/>
      <c r="BY26" s="250"/>
      <c r="BZ26" s="250"/>
      <c r="CA26" s="250"/>
      <c r="CB26" s="250"/>
      <c r="CC26" s="250"/>
      <c r="CD26" s="250"/>
      <c r="CE26" s="250"/>
      <c r="CF26" s="250"/>
      <c r="CG26" s="250"/>
      <c r="CH26" s="250"/>
      <c r="CI26" s="250"/>
      <c r="CJ26" s="250"/>
      <c r="CK26" s="250"/>
      <c r="CL26" s="250"/>
      <c r="CM26" s="250"/>
      <c r="CN26" s="250"/>
      <c r="CO26" s="250"/>
      <c r="CP26" s="250"/>
      <c r="CQ26" s="250"/>
      <c r="CR26" s="250"/>
      <c r="CS26" s="250"/>
      <c r="CT26" s="250"/>
      <c r="CU26" s="250"/>
      <c r="CV26" s="250"/>
      <c r="CW26" s="250"/>
      <c r="CX26" s="250"/>
      <c r="CY26" s="250"/>
      <c r="CZ26" s="250"/>
      <c r="DA26" s="250"/>
      <c r="DB26" s="250"/>
      <c r="DC26" s="250"/>
      <c r="DD26" s="250"/>
      <c r="DE26" s="250"/>
      <c r="DF26" s="250"/>
      <c r="DG26" s="250"/>
      <c r="DH26" s="250"/>
      <c r="DI26" s="250"/>
      <c r="DJ26" s="250"/>
      <c r="DK26" s="250"/>
      <c r="DL26" s="250"/>
      <c r="DM26" s="250"/>
      <c r="DN26" s="250"/>
      <c r="DO26" s="250"/>
      <c r="DP26" s="250"/>
      <c r="DQ26" s="250"/>
      <c r="DR26" s="250"/>
      <c r="DS26" s="250"/>
      <c r="DT26" s="250"/>
      <c r="DU26" s="250"/>
      <c r="DV26" s="250"/>
      <c r="DW26" s="250"/>
      <c r="DX26" s="250"/>
      <c r="DY26" s="250"/>
      <c r="DZ26" s="250"/>
      <c r="EA26" s="250"/>
      <c r="EB26" s="250"/>
      <c r="EC26" s="250"/>
      <c r="ED26" s="250"/>
      <c r="EE26" s="250"/>
      <c r="EF26" s="250"/>
      <c r="EG26" s="250"/>
      <c r="EH26" s="250"/>
      <c r="EI26" s="250"/>
      <c r="EJ26" s="250"/>
      <c r="EK26" s="250"/>
      <c r="EL26" s="250"/>
      <c r="EM26" s="250"/>
      <c r="EN26" s="250"/>
      <c r="EO26" s="250"/>
      <c r="EP26" s="250"/>
      <c r="EQ26" s="250"/>
      <c r="ER26" s="250"/>
      <c r="ES26" s="250"/>
      <c r="ET26" s="250"/>
      <c r="EU26" s="250"/>
      <c r="EV26" s="250"/>
      <c r="EW26" s="250"/>
      <c r="EX26" s="250"/>
      <c r="EY26" s="250"/>
      <c r="EZ26" s="250"/>
      <c r="FA26" s="250"/>
      <c r="FB26" s="250"/>
      <c r="FC26" s="250"/>
      <c r="FD26" s="250"/>
      <c r="FE26" s="250"/>
      <c r="FF26" s="250"/>
      <c r="FG26" s="250"/>
      <c r="FH26" s="250"/>
      <c r="FI26" s="250"/>
      <c r="FJ26" s="250"/>
      <c r="FK26" s="250"/>
      <c r="FL26" s="250"/>
      <c r="FM26" s="250"/>
      <c r="FN26" s="250"/>
      <c r="FO26" s="250"/>
      <c r="FP26" s="250"/>
      <c r="FQ26" s="250"/>
      <c r="FR26" s="250"/>
      <c r="FS26" s="250"/>
      <c r="FT26" s="250"/>
      <c r="FU26" s="250"/>
      <c r="FV26" s="250"/>
      <c r="FW26" s="250"/>
      <c r="FX26" s="250"/>
      <c r="FY26" s="250"/>
      <c r="FZ26" s="250"/>
      <c r="GA26" s="250"/>
      <c r="GB26" s="250"/>
      <c r="GC26" s="250"/>
      <c r="GD26" s="250"/>
      <c r="GE26" s="250"/>
      <c r="GF26" s="250"/>
      <c r="GG26" s="250"/>
      <c r="GH26" s="250"/>
      <c r="GI26" s="250"/>
      <c r="GJ26" s="250"/>
      <c r="GK26" s="250"/>
      <c r="GL26" s="250"/>
      <c r="GM26" s="250"/>
      <c r="GN26" s="250"/>
      <c r="GO26" s="250"/>
      <c r="GP26" s="250"/>
      <c r="GQ26" s="250"/>
      <c r="GR26" s="250"/>
      <c r="GS26" s="250"/>
      <c r="GT26" s="250"/>
      <c r="GU26" s="250"/>
      <c r="GV26" s="250"/>
      <c r="GW26" s="250"/>
      <c r="GX26" s="250"/>
      <c r="GY26" s="250"/>
      <c r="GZ26" s="250"/>
      <c r="HA26" s="250"/>
      <c r="HB26" s="250"/>
      <c r="HC26" s="250"/>
      <c r="HD26" s="250"/>
      <c r="HE26" s="250"/>
      <c r="HF26" s="250"/>
      <c r="HG26" s="250"/>
      <c r="HH26" s="250"/>
      <c r="HI26" s="250"/>
      <c r="HJ26" s="250"/>
    </row>
    <row r="27" spans="1:218" s="219" customFormat="1">
      <c r="A27" s="259" t="s">
        <v>34</v>
      </c>
      <c r="B27" s="252" t="s">
        <v>872</v>
      </c>
      <c r="C27" s="253"/>
      <c r="D27" s="254"/>
      <c r="E27" s="254"/>
      <c r="F27" s="267"/>
      <c r="G27" s="257"/>
      <c r="H27" s="255"/>
      <c r="I27" s="258"/>
      <c r="J27" s="258"/>
      <c r="K27" s="258"/>
      <c r="L27" s="258"/>
      <c r="M27" s="258"/>
      <c r="N27" s="258"/>
      <c r="O27" s="258"/>
      <c r="P27" s="258"/>
      <c r="Q27" s="258"/>
      <c r="R27" s="258"/>
      <c r="S27" s="250"/>
      <c r="T27" s="250"/>
      <c r="U27" s="250"/>
      <c r="V27" s="250"/>
      <c r="W27" s="250"/>
      <c r="X27" s="250"/>
      <c r="Y27" s="250"/>
      <c r="Z27" s="250"/>
      <c r="AA27" s="250"/>
      <c r="AB27" s="250"/>
      <c r="AC27" s="250"/>
      <c r="AD27" s="250"/>
      <c r="AE27" s="250"/>
      <c r="AF27" s="250"/>
      <c r="AG27" s="250"/>
      <c r="AH27" s="250"/>
      <c r="AI27" s="250"/>
      <c r="AJ27" s="250"/>
      <c r="AK27" s="250"/>
      <c r="AL27" s="250"/>
      <c r="AM27" s="250"/>
      <c r="AN27" s="250"/>
      <c r="AO27" s="250"/>
      <c r="AP27" s="250"/>
      <c r="AQ27" s="250"/>
      <c r="AR27" s="250"/>
      <c r="AS27" s="250"/>
      <c r="AT27" s="250"/>
      <c r="AU27" s="250"/>
      <c r="AV27" s="250"/>
      <c r="AW27" s="250"/>
      <c r="AX27" s="250"/>
      <c r="AY27" s="250"/>
      <c r="AZ27" s="250"/>
      <c r="BA27" s="250"/>
      <c r="BB27" s="250"/>
      <c r="BC27" s="250"/>
      <c r="BD27" s="250"/>
      <c r="BE27" s="250"/>
      <c r="BF27" s="250"/>
      <c r="BG27" s="250"/>
      <c r="BH27" s="250"/>
      <c r="BI27" s="250"/>
      <c r="BJ27" s="250"/>
      <c r="BK27" s="250"/>
      <c r="BL27" s="250"/>
      <c r="BM27" s="250"/>
      <c r="BN27" s="250"/>
      <c r="BO27" s="250"/>
      <c r="BP27" s="250"/>
      <c r="BQ27" s="250"/>
      <c r="BR27" s="250"/>
      <c r="BS27" s="250"/>
      <c r="BT27" s="250"/>
      <c r="BU27" s="250"/>
      <c r="BV27" s="250"/>
      <c r="BW27" s="250"/>
      <c r="BX27" s="250"/>
      <c r="BY27" s="250"/>
      <c r="BZ27" s="250"/>
      <c r="CA27" s="250"/>
      <c r="CB27" s="250"/>
      <c r="CC27" s="250"/>
      <c r="CD27" s="250"/>
      <c r="CE27" s="250"/>
      <c r="CF27" s="250"/>
      <c r="CG27" s="250"/>
      <c r="CH27" s="250"/>
      <c r="CI27" s="250"/>
      <c r="CJ27" s="250"/>
      <c r="CK27" s="250"/>
      <c r="CL27" s="250"/>
      <c r="CM27" s="250"/>
      <c r="CN27" s="250"/>
      <c r="CO27" s="250"/>
      <c r="CP27" s="250"/>
      <c r="CQ27" s="250"/>
      <c r="CR27" s="250"/>
      <c r="CS27" s="250"/>
      <c r="CT27" s="250"/>
      <c r="CU27" s="250"/>
      <c r="CV27" s="250"/>
      <c r="CW27" s="250"/>
      <c r="CX27" s="250"/>
      <c r="CY27" s="250"/>
      <c r="CZ27" s="250"/>
      <c r="DA27" s="250"/>
      <c r="DB27" s="250"/>
      <c r="DC27" s="250"/>
      <c r="DD27" s="250"/>
      <c r="DE27" s="250"/>
      <c r="DF27" s="250"/>
      <c r="DG27" s="250"/>
      <c r="DH27" s="250"/>
      <c r="DI27" s="250"/>
      <c r="DJ27" s="250"/>
      <c r="DK27" s="250"/>
      <c r="DL27" s="250"/>
      <c r="DM27" s="250"/>
      <c r="DN27" s="250"/>
      <c r="DO27" s="250"/>
      <c r="DP27" s="250"/>
      <c r="DQ27" s="250"/>
      <c r="DR27" s="250"/>
      <c r="DS27" s="250"/>
      <c r="DT27" s="250"/>
      <c r="DU27" s="250"/>
      <c r="DV27" s="250"/>
      <c r="DW27" s="250"/>
      <c r="DX27" s="250"/>
      <c r="DY27" s="250"/>
      <c r="DZ27" s="250"/>
      <c r="EA27" s="250"/>
      <c r="EB27" s="250"/>
      <c r="EC27" s="250"/>
      <c r="ED27" s="250"/>
      <c r="EE27" s="250"/>
      <c r="EF27" s="250"/>
      <c r="EG27" s="250"/>
      <c r="EH27" s="250"/>
      <c r="EI27" s="250"/>
      <c r="EJ27" s="250"/>
      <c r="EK27" s="250"/>
      <c r="EL27" s="250"/>
      <c r="EM27" s="250"/>
      <c r="EN27" s="250"/>
      <c r="EO27" s="250"/>
      <c r="EP27" s="250"/>
      <c r="EQ27" s="250"/>
      <c r="ER27" s="250"/>
      <c r="ES27" s="250"/>
      <c r="ET27" s="250"/>
      <c r="EU27" s="250"/>
      <c r="EV27" s="250"/>
      <c r="EW27" s="250"/>
      <c r="EX27" s="250"/>
      <c r="EY27" s="250"/>
      <c r="EZ27" s="250"/>
      <c r="FA27" s="250"/>
      <c r="FB27" s="250"/>
      <c r="FC27" s="250"/>
      <c r="FD27" s="250"/>
      <c r="FE27" s="250"/>
      <c r="FF27" s="250"/>
      <c r="FG27" s="250"/>
      <c r="FH27" s="250"/>
      <c r="FI27" s="250"/>
      <c r="FJ27" s="250"/>
      <c r="FK27" s="250"/>
      <c r="FL27" s="250"/>
      <c r="FM27" s="250"/>
      <c r="FN27" s="250"/>
      <c r="FO27" s="250"/>
      <c r="FP27" s="250"/>
      <c r="FQ27" s="250"/>
      <c r="FR27" s="250"/>
      <c r="FS27" s="250"/>
      <c r="FT27" s="250"/>
      <c r="FU27" s="250"/>
      <c r="FV27" s="250"/>
      <c r="FW27" s="250"/>
      <c r="FX27" s="250"/>
      <c r="FY27" s="250"/>
      <c r="FZ27" s="250"/>
      <c r="GA27" s="250"/>
      <c r="GB27" s="250"/>
      <c r="GC27" s="250"/>
      <c r="GD27" s="250"/>
      <c r="GE27" s="250"/>
      <c r="GF27" s="250"/>
      <c r="GG27" s="250"/>
      <c r="GH27" s="250"/>
      <c r="GI27" s="250"/>
      <c r="GJ27" s="250"/>
      <c r="GK27" s="250"/>
      <c r="GL27" s="250"/>
      <c r="GM27" s="250"/>
      <c r="GN27" s="250"/>
      <c r="GO27" s="250"/>
      <c r="GP27" s="250"/>
      <c r="GQ27" s="250"/>
      <c r="GR27" s="250"/>
      <c r="GS27" s="250"/>
      <c r="GT27" s="250"/>
      <c r="GU27" s="250"/>
      <c r="GV27" s="250"/>
      <c r="GW27" s="250"/>
      <c r="GX27" s="250"/>
      <c r="GY27" s="250"/>
      <c r="GZ27" s="250"/>
      <c r="HA27" s="250"/>
      <c r="HB27" s="250"/>
      <c r="HC27" s="250"/>
      <c r="HD27" s="250"/>
      <c r="HE27" s="250"/>
      <c r="HF27" s="250"/>
      <c r="HG27" s="250"/>
      <c r="HH27" s="250"/>
      <c r="HI27" s="250"/>
      <c r="HJ27" s="250"/>
    </row>
    <row r="28" spans="1:218" s="219" customFormat="1">
      <c r="A28" s="259"/>
      <c r="B28" s="261" t="s">
        <v>873</v>
      </c>
      <c r="C28" s="253"/>
      <c r="D28" s="254"/>
      <c r="E28" s="254"/>
      <c r="F28" s="267"/>
      <c r="G28" s="257"/>
      <c r="H28" s="255"/>
      <c r="I28" s="258"/>
      <c r="J28" s="258"/>
      <c r="K28" s="258"/>
      <c r="L28" s="258"/>
      <c r="M28" s="258"/>
      <c r="N28" s="258"/>
      <c r="O28" s="258"/>
      <c r="P28" s="258"/>
      <c r="Q28" s="258"/>
      <c r="R28" s="258"/>
      <c r="S28" s="250"/>
      <c r="T28" s="250"/>
      <c r="U28" s="250"/>
      <c r="V28" s="250"/>
      <c r="W28" s="250"/>
      <c r="X28" s="250"/>
      <c r="Y28" s="250"/>
      <c r="Z28" s="250"/>
      <c r="AA28" s="250"/>
      <c r="AB28" s="250"/>
      <c r="AC28" s="250"/>
      <c r="AD28" s="250"/>
      <c r="AE28" s="250"/>
      <c r="AF28" s="250"/>
      <c r="AG28" s="250"/>
      <c r="AH28" s="250"/>
      <c r="AI28" s="250"/>
      <c r="AJ28" s="250"/>
      <c r="AK28" s="250"/>
      <c r="AL28" s="250"/>
      <c r="AM28" s="250"/>
      <c r="AN28" s="250"/>
      <c r="AO28" s="250"/>
      <c r="AP28" s="250"/>
      <c r="AQ28" s="250"/>
      <c r="AR28" s="250"/>
      <c r="AS28" s="250"/>
      <c r="AT28" s="250"/>
      <c r="AU28" s="250"/>
      <c r="AV28" s="250"/>
      <c r="AW28" s="250"/>
      <c r="AX28" s="250"/>
      <c r="AY28" s="250"/>
      <c r="AZ28" s="250"/>
      <c r="BA28" s="250"/>
      <c r="BB28" s="250"/>
      <c r="BC28" s="250"/>
      <c r="BD28" s="250"/>
      <c r="BE28" s="250"/>
      <c r="BF28" s="250"/>
      <c r="BG28" s="250"/>
      <c r="BH28" s="250"/>
      <c r="BI28" s="250"/>
      <c r="BJ28" s="250"/>
      <c r="BK28" s="250"/>
      <c r="BL28" s="250"/>
      <c r="BM28" s="250"/>
      <c r="BN28" s="250"/>
      <c r="BO28" s="250"/>
      <c r="BP28" s="250"/>
      <c r="BQ28" s="250"/>
      <c r="BR28" s="250"/>
      <c r="BS28" s="250"/>
      <c r="BT28" s="250"/>
      <c r="BU28" s="250"/>
      <c r="BV28" s="250"/>
      <c r="BW28" s="250"/>
      <c r="BX28" s="250"/>
      <c r="BY28" s="250"/>
      <c r="BZ28" s="250"/>
      <c r="CA28" s="250"/>
      <c r="CB28" s="250"/>
      <c r="CC28" s="250"/>
      <c r="CD28" s="250"/>
      <c r="CE28" s="250"/>
      <c r="CF28" s="250"/>
      <c r="CG28" s="250"/>
      <c r="CH28" s="250"/>
      <c r="CI28" s="250"/>
      <c r="CJ28" s="250"/>
      <c r="CK28" s="250"/>
      <c r="CL28" s="250"/>
      <c r="CM28" s="250"/>
      <c r="CN28" s="250"/>
      <c r="CO28" s="250"/>
      <c r="CP28" s="250"/>
      <c r="CQ28" s="250"/>
      <c r="CR28" s="250"/>
      <c r="CS28" s="250"/>
      <c r="CT28" s="250"/>
      <c r="CU28" s="250"/>
      <c r="CV28" s="250"/>
      <c r="CW28" s="250"/>
      <c r="CX28" s="250"/>
      <c r="CY28" s="250"/>
      <c r="CZ28" s="250"/>
      <c r="DA28" s="250"/>
      <c r="DB28" s="250"/>
      <c r="DC28" s="250"/>
      <c r="DD28" s="250"/>
      <c r="DE28" s="250"/>
      <c r="DF28" s="250"/>
      <c r="DG28" s="250"/>
      <c r="DH28" s="250"/>
      <c r="DI28" s="250"/>
      <c r="DJ28" s="250"/>
      <c r="DK28" s="250"/>
      <c r="DL28" s="250"/>
      <c r="DM28" s="250"/>
      <c r="DN28" s="250"/>
      <c r="DO28" s="250"/>
      <c r="DP28" s="250"/>
      <c r="DQ28" s="250"/>
      <c r="DR28" s="250"/>
      <c r="DS28" s="250"/>
      <c r="DT28" s="250"/>
      <c r="DU28" s="250"/>
      <c r="DV28" s="250"/>
      <c r="DW28" s="250"/>
      <c r="DX28" s="250"/>
      <c r="DY28" s="250"/>
      <c r="DZ28" s="250"/>
      <c r="EA28" s="250"/>
      <c r="EB28" s="250"/>
      <c r="EC28" s="250"/>
      <c r="ED28" s="250"/>
      <c r="EE28" s="250"/>
      <c r="EF28" s="250"/>
      <c r="EG28" s="250"/>
      <c r="EH28" s="250"/>
      <c r="EI28" s="250"/>
      <c r="EJ28" s="250"/>
      <c r="EK28" s="250"/>
      <c r="EL28" s="250"/>
      <c r="EM28" s="250"/>
      <c r="EN28" s="250"/>
      <c r="EO28" s="250"/>
      <c r="EP28" s="250"/>
      <c r="EQ28" s="250"/>
      <c r="ER28" s="250"/>
      <c r="ES28" s="250"/>
      <c r="ET28" s="250"/>
      <c r="EU28" s="250"/>
      <c r="EV28" s="250"/>
      <c r="EW28" s="250"/>
      <c r="EX28" s="250"/>
      <c r="EY28" s="250"/>
      <c r="EZ28" s="250"/>
      <c r="FA28" s="250"/>
      <c r="FB28" s="250"/>
      <c r="FC28" s="250"/>
      <c r="FD28" s="250"/>
      <c r="FE28" s="250"/>
      <c r="FF28" s="250"/>
      <c r="FG28" s="250"/>
      <c r="FH28" s="250"/>
      <c r="FI28" s="250"/>
      <c r="FJ28" s="250"/>
      <c r="FK28" s="250"/>
      <c r="FL28" s="250"/>
      <c r="FM28" s="250"/>
      <c r="FN28" s="250"/>
      <c r="FO28" s="250"/>
      <c r="FP28" s="250"/>
      <c r="FQ28" s="250"/>
      <c r="FR28" s="250"/>
      <c r="FS28" s="250"/>
      <c r="FT28" s="250"/>
      <c r="FU28" s="250"/>
      <c r="FV28" s="250"/>
      <c r="FW28" s="250"/>
      <c r="FX28" s="250"/>
      <c r="FY28" s="250"/>
      <c r="FZ28" s="250"/>
      <c r="GA28" s="250"/>
      <c r="GB28" s="250"/>
      <c r="GC28" s="250"/>
      <c r="GD28" s="250"/>
      <c r="GE28" s="250"/>
      <c r="GF28" s="250"/>
      <c r="GG28" s="250"/>
      <c r="GH28" s="250"/>
      <c r="GI28" s="250"/>
      <c r="GJ28" s="250"/>
      <c r="GK28" s="250"/>
      <c r="GL28" s="250"/>
      <c r="GM28" s="250"/>
      <c r="GN28" s="250"/>
      <c r="GO28" s="250"/>
      <c r="GP28" s="250"/>
      <c r="GQ28" s="250"/>
      <c r="GR28" s="250"/>
      <c r="GS28" s="250"/>
      <c r="GT28" s="250"/>
      <c r="GU28" s="250"/>
      <c r="GV28" s="250"/>
      <c r="GW28" s="250"/>
      <c r="GX28" s="250"/>
      <c r="GY28" s="250"/>
      <c r="GZ28" s="250"/>
      <c r="HA28" s="250"/>
      <c r="HB28" s="250"/>
      <c r="HC28" s="250"/>
      <c r="HD28" s="250"/>
      <c r="HE28" s="250"/>
      <c r="HF28" s="250"/>
      <c r="HG28" s="250"/>
      <c r="HH28" s="250"/>
      <c r="HI28" s="250"/>
      <c r="HJ28" s="250"/>
    </row>
    <row r="29" spans="1:218" s="219" customFormat="1">
      <c r="A29" s="259"/>
      <c r="B29" s="261" t="s">
        <v>874</v>
      </c>
      <c r="C29" s="253"/>
      <c r="D29" s="254"/>
      <c r="E29" s="254"/>
      <c r="F29" s="267"/>
      <c r="G29" s="257"/>
      <c r="H29" s="255"/>
      <c r="I29" s="258"/>
      <c r="J29" s="258"/>
      <c r="K29" s="258"/>
      <c r="L29" s="258"/>
      <c r="M29" s="258"/>
      <c r="N29" s="258"/>
      <c r="O29" s="258"/>
      <c r="P29" s="258"/>
      <c r="Q29" s="258"/>
      <c r="R29" s="258"/>
      <c r="S29" s="250"/>
      <c r="T29" s="250"/>
      <c r="U29" s="250"/>
      <c r="V29" s="250"/>
      <c r="W29" s="250"/>
      <c r="X29" s="250"/>
      <c r="Y29" s="250"/>
      <c r="Z29" s="250"/>
      <c r="AA29" s="250"/>
      <c r="AB29" s="250"/>
      <c r="AC29" s="250"/>
      <c r="AD29" s="250"/>
      <c r="AE29" s="250"/>
      <c r="AF29" s="250"/>
      <c r="AG29" s="250"/>
      <c r="AH29" s="250"/>
      <c r="AI29" s="250"/>
      <c r="AJ29" s="250"/>
      <c r="AK29" s="250"/>
      <c r="AL29" s="250"/>
      <c r="AM29" s="250"/>
      <c r="AN29" s="250"/>
      <c r="AO29" s="250"/>
      <c r="AP29" s="250"/>
      <c r="AQ29" s="250"/>
      <c r="AR29" s="250"/>
      <c r="AS29" s="250"/>
      <c r="AT29" s="250"/>
      <c r="AU29" s="250"/>
      <c r="AV29" s="250"/>
      <c r="AW29" s="250"/>
      <c r="AX29" s="250"/>
      <c r="AY29" s="250"/>
      <c r="AZ29" s="250"/>
      <c r="BA29" s="250"/>
      <c r="BB29" s="250"/>
      <c r="BC29" s="250"/>
      <c r="BD29" s="250"/>
      <c r="BE29" s="250"/>
      <c r="BF29" s="250"/>
      <c r="BG29" s="250"/>
      <c r="BH29" s="250"/>
      <c r="BI29" s="250"/>
      <c r="BJ29" s="250"/>
      <c r="BK29" s="250"/>
      <c r="BL29" s="250"/>
      <c r="BM29" s="250"/>
      <c r="BN29" s="250"/>
      <c r="BO29" s="250"/>
      <c r="BP29" s="250"/>
      <c r="BQ29" s="250"/>
      <c r="BR29" s="250"/>
      <c r="BS29" s="250"/>
      <c r="BT29" s="250"/>
      <c r="BU29" s="250"/>
      <c r="BV29" s="250"/>
      <c r="BW29" s="250"/>
      <c r="BX29" s="250"/>
      <c r="BY29" s="250"/>
      <c r="BZ29" s="250"/>
      <c r="CA29" s="250"/>
      <c r="CB29" s="250"/>
      <c r="CC29" s="250"/>
      <c r="CD29" s="250"/>
      <c r="CE29" s="250"/>
      <c r="CF29" s="250"/>
      <c r="CG29" s="250"/>
      <c r="CH29" s="250"/>
      <c r="CI29" s="250"/>
      <c r="CJ29" s="250"/>
      <c r="CK29" s="250"/>
      <c r="CL29" s="250"/>
      <c r="CM29" s="250"/>
      <c r="CN29" s="250"/>
      <c r="CO29" s="250"/>
      <c r="CP29" s="250"/>
      <c r="CQ29" s="250"/>
      <c r="CR29" s="250"/>
      <c r="CS29" s="250"/>
      <c r="CT29" s="250"/>
      <c r="CU29" s="250"/>
      <c r="CV29" s="250"/>
      <c r="CW29" s="250"/>
      <c r="CX29" s="250"/>
      <c r="CY29" s="250"/>
      <c r="CZ29" s="250"/>
      <c r="DA29" s="250"/>
      <c r="DB29" s="250"/>
      <c r="DC29" s="250"/>
      <c r="DD29" s="250"/>
      <c r="DE29" s="250"/>
      <c r="DF29" s="250"/>
      <c r="DG29" s="250"/>
      <c r="DH29" s="250"/>
      <c r="DI29" s="250"/>
      <c r="DJ29" s="250"/>
      <c r="DK29" s="250"/>
      <c r="DL29" s="250"/>
      <c r="DM29" s="250"/>
      <c r="DN29" s="250"/>
      <c r="DO29" s="250"/>
      <c r="DP29" s="250"/>
      <c r="DQ29" s="250"/>
      <c r="DR29" s="250"/>
      <c r="DS29" s="250"/>
      <c r="DT29" s="250"/>
      <c r="DU29" s="250"/>
      <c r="DV29" s="250"/>
      <c r="DW29" s="250"/>
      <c r="DX29" s="250"/>
      <c r="DY29" s="250"/>
      <c r="DZ29" s="250"/>
      <c r="EA29" s="250"/>
      <c r="EB29" s="250"/>
      <c r="EC29" s="250"/>
      <c r="ED29" s="250"/>
      <c r="EE29" s="250"/>
      <c r="EF29" s="250"/>
      <c r="EG29" s="250"/>
      <c r="EH29" s="250"/>
      <c r="EI29" s="250"/>
      <c r="EJ29" s="250"/>
      <c r="EK29" s="250"/>
      <c r="EL29" s="250"/>
      <c r="EM29" s="250"/>
      <c r="EN29" s="250"/>
      <c r="EO29" s="250"/>
      <c r="EP29" s="250"/>
      <c r="EQ29" s="250"/>
      <c r="ER29" s="250"/>
      <c r="ES29" s="250"/>
      <c r="ET29" s="250"/>
      <c r="EU29" s="250"/>
      <c r="EV29" s="250"/>
      <c r="EW29" s="250"/>
      <c r="EX29" s="250"/>
      <c r="EY29" s="250"/>
      <c r="EZ29" s="250"/>
      <c r="FA29" s="250"/>
      <c r="FB29" s="250"/>
      <c r="FC29" s="250"/>
      <c r="FD29" s="250"/>
      <c r="FE29" s="250"/>
      <c r="FF29" s="250"/>
      <c r="FG29" s="250"/>
      <c r="FH29" s="250"/>
      <c r="FI29" s="250"/>
      <c r="FJ29" s="250"/>
      <c r="FK29" s="250"/>
      <c r="FL29" s="250"/>
      <c r="FM29" s="250"/>
      <c r="FN29" s="250"/>
      <c r="FO29" s="250"/>
      <c r="FP29" s="250"/>
      <c r="FQ29" s="250"/>
      <c r="FR29" s="250"/>
      <c r="FS29" s="250"/>
      <c r="FT29" s="250"/>
      <c r="FU29" s="250"/>
      <c r="FV29" s="250"/>
      <c r="FW29" s="250"/>
      <c r="FX29" s="250"/>
      <c r="FY29" s="250"/>
      <c r="FZ29" s="250"/>
      <c r="GA29" s="250"/>
      <c r="GB29" s="250"/>
      <c r="GC29" s="250"/>
      <c r="GD29" s="250"/>
      <c r="GE29" s="250"/>
      <c r="GF29" s="250"/>
      <c r="GG29" s="250"/>
      <c r="GH29" s="250"/>
      <c r="GI29" s="250"/>
      <c r="GJ29" s="250"/>
      <c r="GK29" s="250"/>
      <c r="GL29" s="250"/>
      <c r="GM29" s="250"/>
      <c r="GN29" s="250"/>
      <c r="GO29" s="250"/>
      <c r="GP29" s="250"/>
      <c r="GQ29" s="250"/>
      <c r="GR29" s="250"/>
      <c r="GS29" s="250"/>
      <c r="GT29" s="250"/>
      <c r="GU29" s="250"/>
      <c r="GV29" s="250"/>
      <c r="GW29" s="250"/>
      <c r="GX29" s="250"/>
      <c r="GY29" s="250"/>
      <c r="GZ29" s="250"/>
      <c r="HA29" s="250"/>
      <c r="HB29" s="250"/>
      <c r="HC29" s="250"/>
      <c r="HD29" s="250"/>
      <c r="HE29" s="250"/>
      <c r="HF29" s="250"/>
      <c r="HG29" s="250"/>
      <c r="HH29" s="250"/>
      <c r="HI29" s="250"/>
      <c r="HJ29" s="250"/>
    </row>
    <row r="30" spans="1:218" s="219" customFormat="1">
      <c r="A30" s="259"/>
      <c r="B30" s="261" t="s">
        <v>875</v>
      </c>
      <c r="C30" s="253"/>
      <c r="D30" s="254"/>
      <c r="E30" s="254"/>
      <c r="F30" s="267"/>
      <c r="G30" s="257"/>
      <c r="H30" s="255"/>
      <c r="I30" s="258"/>
      <c r="J30" s="258"/>
      <c r="K30" s="258"/>
      <c r="L30" s="258"/>
      <c r="M30" s="258"/>
      <c r="N30" s="258"/>
      <c r="O30" s="258"/>
      <c r="P30" s="258"/>
      <c r="Q30" s="258"/>
      <c r="R30" s="258"/>
      <c r="S30" s="250"/>
      <c r="T30" s="250"/>
      <c r="U30" s="250"/>
      <c r="V30" s="250"/>
      <c r="W30" s="250"/>
      <c r="X30" s="250"/>
      <c r="Y30" s="250"/>
      <c r="Z30" s="250"/>
      <c r="AA30" s="250"/>
      <c r="AB30" s="250"/>
      <c r="AC30" s="250"/>
      <c r="AD30" s="250"/>
      <c r="AE30" s="250"/>
      <c r="AF30" s="250"/>
      <c r="AG30" s="250"/>
      <c r="AH30" s="250"/>
      <c r="AI30" s="250"/>
      <c r="AJ30" s="250"/>
      <c r="AK30" s="250"/>
      <c r="AL30" s="250"/>
      <c r="AM30" s="250"/>
      <c r="AN30" s="250"/>
      <c r="AO30" s="250"/>
      <c r="AP30" s="250"/>
      <c r="AQ30" s="250"/>
      <c r="AR30" s="250"/>
      <c r="AS30" s="250"/>
      <c r="AT30" s="250"/>
      <c r="AU30" s="250"/>
      <c r="AV30" s="250"/>
      <c r="AW30" s="250"/>
      <c r="AX30" s="250"/>
      <c r="AY30" s="250"/>
      <c r="AZ30" s="250"/>
      <c r="BA30" s="250"/>
      <c r="BB30" s="250"/>
      <c r="BC30" s="250"/>
      <c r="BD30" s="250"/>
      <c r="BE30" s="250"/>
      <c r="BF30" s="250"/>
      <c r="BG30" s="250"/>
      <c r="BH30" s="250"/>
      <c r="BI30" s="250"/>
      <c r="BJ30" s="250"/>
      <c r="BK30" s="250"/>
      <c r="BL30" s="250"/>
      <c r="BM30" s="250"/>
      <c r="BN30" s="250"/>
      <c r="BO30" s="250"/>
      <c r="BP30" s="250"/>
      <c r="BQ30" s="250"/>
      <c r="BR30" s="250"/>
      <c r="BS30" s="250"/>
      <c r="BT30" s="250"/>
      <c r="BU30" s="250"/>
      <c r="BV30" s="250"/>
      <c r="BW30" s="250"/>
      <c r="BX30" s="250"/>
      <c r="BY30" s="250"/>
      <c r="BZ30" s="250"/>
      <c r="CA30" s="250"/>
      <c r="CB30" s="250"/>
      <c r="CC30" s="250"/>
      <c r="CD30" s="250"/>
      <c r="CE30" s="250"/>
      <c r="CF30" s="250"/>
      <c r="CG30" s="250"/>
      <c r="CH30" s="250"/>
      <c r="CI30" s="250"/>
      <c r="CJ30" s="250"/>
      <c r="CK30" s="250"/>
      <c r="CL30" s="250"/>
      <c r="CM30" s="250"/>
      <c r="CN30" s="250"/>
      <c r="CO30" s="250"/>
      <c r="CP30" s="250"/>
      <c r="CQ30" s="250"/>
      <c r="CR30" s="250"/>
      <c r="CS30" s="250"/>
      <c r="CT30" s="250"/>
      <c r="CU30" s="250"/>
      <c r="CV30" s="250"/>
      <c r="CW30" s="250"/>
      <c r="CX30" s="250"/>
      <c r="CY30" s="250"/>
      <c r="CZ30" s="250"/>
      <c r="DA30" s="250"/>
      <c r="DB30" s="250"/>
      <c r="DC30" s="250"/>
      <c r="DD30" s="250"/>
      <c r="DE30" s="250"/>
      <c r="DF30" s="250"/>
      <c r="DG30" s="250"/>
      <c r="DH30" s="250"/>
      <c r="DI30" s="250"/>
      <c r="DJ30" s="250"/>
      <c r="DK30" s="250"/>
      <c r="DL30" s="250"/>
      <c r="DM30" s="250"/>
      <c r="DN30" s="250"/>
      <c r="DO30" s="250"/>
      <c r="DP30" s="250"/>
      <c r="DQ30" s="250"/>
      <c r="DR30" s="250"/>
      <c r="DS30" s="250"/>
      <c r="DT30" s="250"/>
      <c r="DU30" s="250"/>
      <c r="DV30" s="250"/>
      <c r="DW30" s="250"/>
      <c r="DX30" s="250"/>
      <c r="DY30" s="250"/>
      <c r="DZ30" s="250"/>
      <c r="EA30" s="250"/>
      <c r="EB30" s="250"/>
      <c r="EC30" s="250"/>
      <c r="ED30" s="250"/>
      <c r="EE30" s="250"/>
      <c r="EF30" s="250"/>
      <c r="EG30" s="250"/>
      <c r="EH30" s="250"/>
      <c r="EI30" s="250"/>
      <c r="EJ30" s="250"/>
      <c r="EK30" s="250"/>
      <c r="EL30" s="250"/>
      <c r="EM30" s="250"/>
      <c r="EN30" s="250"/>
      <c r="EO30" s="250"/>
      <c r="EP30" s="250"/>
      <c r="EQ30" s="250"/>
      <c r="ER30" s="250"/>
      <c r="ES30" s="250"/>
      <c r="ET30" s="250"/>
      <c r="EU30" s="250"/>
      <c r="EV30" s="250"/>
      <c r="EW30" s="250"/>
      <c r="EX30" s="250"/>
      <c r="EY30" s="250"/>
      <c r="EZ30" s="250"/>
      <c r="FA30" s="250"/>
      <c r="FB30" s="250"/>
      <c r="FC30" s="250"/>
      <c r="FD30" s="250"/>
      <c r="FE30" s="250"/>
      <c r="FF30" s="250"/>
      <c r="FG30" s="250"/>
      <c r="FH30" s="250"/>
      <c r="FI30" s="250"/>
      <c r="FJ30" s="250"/>
      <c r="FK30" s="250"/>
      <c r="FL30" s="250"/>
      <c r="FM30" s="250"/>
      <c r="FN30" s="250"/>
      <c r="FO30" s="250"/>
      <c r="FP30" s="250"/>
      <c r="FQ30" s="250"/>
      <c r="FR30" s="250"/>
      <c r="FS30" s="250"/>
      <c r="FT30" s="250"/>
      <c r="FU30" s="250"/>
      <c r="FV30" s="250"/>
      <c r="FW30" s="250"/>
      <c r="FX30" s="250"/>
      <c r="FY30" s="250"/>
      <c r="FZ30" s="250"/>
      <c r="GA30" s="250"/>
      <c r="GB30" s="250"/>
      <c r="GC30" s="250"/>
      <c r="GD30" s="250"/>
      <c r="GE30" s="250"/>
      <c r="GF30" s="250"/>
      <c r="GG30" s="250"/>
      <c r="GH30" s="250"/>
      <c r="GI30" s="250"/>
      <c r="GJ30" s="250"/>
      <c r="GK30" s="250"/>
      <c r="GL30" s="250"/>
      <c r="GM30" s="250"/>
      <c r="GN30" s="250"/>
      <c r="GO30" s="250"/>
      <c r="GP30" s="250"/>
      <c r="GQ30" s="250"/>
      <c r="GR30" s="250"/>
      <c r="GS30" s="250"/>
      <c r="GT30" s="250"/>
      <c r="GU30" s="250"/>
      <c r="GV30" s="250"/>
      <c r="GW30" s="250"/>
      <c r="GX30" s="250"/>
      <c r="GY30" s="250"/>
      <c r="GZ30" s="250"/>
      <c r="HA30" s="250"/>
      <c r="HB30" s="250"/>
      <c r="HC30" s="250"/>
      <c r="HD30" s="250"/>
      <c r="HE30" s="250"/>
      <c r="HF30" s="250"/>
      <c r="HG30" s="250"/>
      <c r="HH30" s="250"/>
      <c r="HI30" s="250"/>
      <c r="HJ30" s="250"/>
    </row>
    <row r="31" spans="1:218" s="219" customFormat="1">
      <c r="A31" s="259"/>
      <c r="B31" s="261"/>
      <c r="C31" s="253"/>
      <c r="D31" s="254"/>
      <c r="E31" s="254"/>
      <c r="F31" s="267"/>
      <c r="G31" s="273"/>
      <c r="H31" s="255"/>
      <c r="I31" s="258"/>
      <c r="J31" s="258"/>
      <c r="K31" s="258"/>
      <c r="L31" s="258"/>
      <c r="M31" s="258"/>
      <c r="N31" s="258"/>
      <c r="O31" s="258"/>
      <c r="P31" s="258"/>
      <c r="Q31" s="258"/>
      <c r="R31" s="258"/>
      <c r="S31" s="250"/>
      <c r="T31" s="250"/>
      <c r="U31" s="250"/>
      <c r="V31" s="250"/>
      <c r="W31" s="250"/>
      <c r="X31" s="250"/>
      <c r="Y31" s="250"/>
      <c r="Z31" s="250"/>
      <c r="AA31" s="250"/>
      <c r="AB31" s="250"/>
      <c r="AC31" s="250"/>
      <c r="AD31" s="250"/>
      <c r="AE31" s="250"/>
      <c r="AF31" s="250"/>
      <c r="AG31" s="250"/>
      <c r="AH31" s="250"/>
      <c r="AI31" s="250"/>
      <c r="AJ31" s="250"/>
      <c r="AK31" s="250"/>
      <c r="AL31" s="250"/>
      <c r="AM31" s="250"/>
      <c r="AN31" s="250"/>
      <c r="AO31" s="250"/>
      <c r="AP31" s="250"/>
      <c r="AQ31" s="250"/>
      <c r="AR31" s="250"/>
      <c r="AS31" s="250"/>
      <c r="AT31" s="250"/>
      <c r="AU31" s="250"/>
      <c r="AV31" s="250"/>
      <c r="AW31" s="250"/>
      <c r="AX31" s="250"/>
      <c r="AY31" s="250"/>
      <c r="AZ31" s="250"/>
      <c r="BA31" s="250"/>
      <c r="BB31" s="250"/>
      <c r="BC31" s="250"/>
      <c r="BD31" s="250"/>
      <c r="BE31" s="250"/>
      <c r="BF31" s="250"/>
      <c r="BG31" s="250"/>
      <c r="BH31" s="250"/>
      <c r="BI31" s="250"/>
      <c r="BJ31" s="250"/>
      <c r="BK31" s="250"/>
      <c r="BL31" s="250"/>
      <c r="BM31" s="250"/>
      <c r="BN31" s="250"/>
      <c r="BO31" s="250"/>
      <c r="BP31" s="250"/>
      <c r="BQ31" s="250"/>
      <c r="BR31" s="250"/>
      <c r="BS31" s="250"/>
      <c r="BT31" s="250"/>
      <c r="BU31" s="250"/>
      <c r="BV31" s="250"/>
      <c r="BW31" s="250"/>
      <c r="BX31" s="250"/>
      <c r="BY31" s="250"/>
      <c r="BZ31" s="250"/>
      <c r="CA31" s="250"/>
      <c r="CB31" s="250"/>
      <c r="CC31" s="250"/>
      <c r="CD31" s="250"/>
      <c r="CE31" s="250"/>
      <c r="CF31" s="250"/>
      <c r="CG31" s="250"/>
      <c r="CH31" s="250"/>
      <c r="CI31" s="250"/>
      <c r="CJ31" s="250"/>
      <c r="CK31" s="250"/>
      <c r="CL31" s="250"/>
      <c r="CM31" s="250"/>
      <c r="CN31" s="250"/>
      <c r="CO31" s="250"/>
      <c r="CP31" s="250"/>
      <c r="CQ31" s="250"/>
      <c r="CR31" s="250"/>
      <c r="CS31" s="250"/>
      <c r="CT31" s="250"/>
      <c r="CU31" s="250"/>
      <c r="CV31" s="250"/>
      <c r="CW31" s="250"/>
      <c r="CX31" s="250"/>
      <c r="CY31" s="250"/>
      <c r="CZ31" s="250"/>
      <c r="DA31" s="250"/>
      <c r="DB31" s="250"/>
      <c r="DC31" s="250"/>
      <c r="DD31" s="250"/>
      <c r="DE31" s="250"/>
      <c r="DF31" s="250"/>
      <c r="DG31" s="250"/>
      <c r="DH31" s="250"/>
      <c r="DI31" s="250"/>
      <c r="DJ31" s="250"/>
      <c r="DK31" s="250"/>
      <c r="DL31" s="250"/>
      <c r="DM31" s="250"/>
      <c r="DN31" s="250"/>
      <c r="DO31" s="250"/>
      <c r="DP31" s="250"/>
      <c r="DQ31" s="250"/>
      <c r="DR31" s="250"/>
      <c r="DS31" s="250"/>
      <c r="DT31" s="250"/>
      <c r="DU31" s="250"/>
      <c r="DV31" s="250"/>
      <c r="DW31" s="250"/>
      <c r="DX31" s="250"/>
      <c r="DY31" s="250"/>
      <c r="DZ31" s="250"/>
      <c r="EA31" s="250"/>
      <c r="EB31" s="250"/>
      <c r="EC31" s="250"/>
      <c r="ED31" s="250"/>
      <c r="EE31" s="250"/>
      <c r="EF31" s="250"/>
      <c r="EG31" s="250"/>
      <c r="EH31" s="250"/>
      <c r="EI31" s="250"/>
      <c r="EJ31" s="250"/>
      <c r="EK31" s="250"/>
      <c r="EL31" s="250"/>
      <c r="EM31" s="250"/>
      <c r="EN31" s="250"/>
      <c r="EO31" s="250"/>
      <c r="EP31" s="250"/>
      <c r="EQ31" s="250"/>
      <c r="ER31" s="250"/>
      <c r="ES31" s="250"/>
      <c r="ET31" s="250"/>
      <c r="EU31" s="250"/>
      <c r="EV31" s="250"/>
      <c r="EW31" s="250"/>
      <c r="EX31" s="250"/>
      <c r="EY31" s="250"/>
      <c r="EZ31" s="250"/>
      <c r="FA31" s="250"/>
      <c r="FB31" s="250"/>
      <c r="FC31" s="250"/>
      <c r="FD31" s="250"/>
      <c r="FE31" s="250"/>
      <c r="FF31" s="250"/>
      <c r="FG31" s="250"/>
      <c r="FH31" s="250"/>
      <c r="FI31" s="250"/>
      <c r="FJ31" s="250"/>
      <c r="FK31" s="250"/>
      <c r="FL31" s="250"/>
      <c r="FM31" s="250"/>
      <c r="FN31" s="250"/>
      <c r="FO31" s="250"/>
      <c r="FP31" s="250"/>
      <c r="FQ31" s="250"/>
      <c r="FR31" s="250"/>
      <c r="FS31" s="250"/>
      <c r="FT31" s="250"/>
      <c r="FU31" s="250"/>
      <c r="FV31" s="250"/>
      <c r="FW31" s="250"/>
      <c r="FX31" s="250"/>
      <c r="FY31" s="250"/>
      <c r="FZ31" s="250"/>
      <c r="GA31" s="250"/>
      <c r="GB31" s="250"/>
      <c r="GC31" s="250"/>
      <c r="GD31" s="250"/>
      <c r="GE31" s="250"/>
      <c r="GF31" s="250"/>
      <c r="GG31" s="250"/>
      <c r="GH31" s="250"/>
      <c r="GI31" s="250"/>
      <c r="GJ31" s="250"/>
      <c r="GK31" s="250"/>
      <c r="GL31" s="250"/>
      <c r="GM31" s="250"/>
      <c r="GN31" s="250"/>
      <c r="GO31" s="250"/>
      <c r="GP31" s="250"/>
      <c r="GQ31" s="250"/>
      <c r="GR31" s="250"/>
      <c r="GS31" s="250"/>
      <c r="GT31" s="250"/>
      <c r="GU31" s="250"/>
      <c r="GV31" s="250"/>
      <c r="GW31" s="250"/>
      <c r="GX31" s="250"/>
      <c r="GY31" s="250"/>
      <c r="GZ31" s="250"/>
      <c r="HA31" s="250"/>
      <c r="HB31" s="250"/>
      <c r="HC31" s="250"/>
      <c r="HD31" s="250"/>
      <c r="HE31" s="250"/>
      <c r="HF31" s="250"/>
      <c r="HG31" s="250"/>
      <c r="HH31" s="250"/>
      <c r="HI31" s="250"/>
      <c r="HJ31" s="250"/>
    </row>
    <row r="32" spans="1:218" s="219" customFormat="1">
      <c r="A32" s="259"/>
      <c r="B32" s="262" t="s">
        <v>876</v>
      </c>
      <c r="C32" s="253"/>
      <c r="D32" s="254"/>
      <c r="E32" s="254"/>
      <c r="F32" s="274"/>
      <c r="G32" s="257"/>
      <c r="H32" s="255"/>
      <c r="I32" s="258"/>
      <c r="J32" s="258"/>
      <c r="K32" s="258"/>
      <c r="L32" s="258"/>
      <c r="M32" s="258"/>
      <c r="N32" s="258"/>
      <c r="O32" s="258"/>
      <c r="P32" s="258"/>
      <c r="Q32" s="258"/>
      <c r="R32" s="258"/>
      <c r="S32" s="250"/>
      <c r="T32" s="250"/>
      <c r="U32" s="250"/>
      <c r="V32" s="250"/>
      <c r="W32" s="250"/>
      <c r="X32" s="250"/>
      <c r="Y32" s="250"/>
      <c r="Z32" s="250"/>
      <c r="AA32" s="250"/>
      <c r="AB32" s="250"/>
      <c r="AC32" s="250"/>
      <c r="AD32" s="250"/>
      <c r="AE32" s="250"/>
      <c r="AF32" s="250"/>
      <c r="AG32" s="250"/>
      <c r="AH32" s="250"/>
      <c r="AI32" s="250"/>
      <c r="AJ32" s="250"/>
      <c r="AK32" s="250"/>
      <c r="AL32" s="250"/>
      <c r="AM32" s="250"/>
      <c r="AN32" s="250"/>
      <c r="AO32" s="250"/>
      <c r="AP32" s="250"/>
      <c r="AQ32" s="250"/>
      <c r="AR32" s="250"/>
      <c r="AS32" s="250"/>
      <c r="AT32" s="250"/>
      <c r="AU32" s="250"/>
      <c r="AV32" s="250"/>
      <c r="AW32" s="250"/>
      <c r="AX32" s="250"/>
      <c r="AY32" s="250"/>
      <c r="AZ32" s="250"/>
      <c r="BA32" s="250"/>
      <c r="BB32" s="250"/>
      <c r="BC32" s="250"/>
      <c r="BD32" s="250"/>
      <c r="BE32" s="250"/>
      <c r="BF32" s="250"/>
      <c r="BG32" s="250"/>
      <c r="BH32" s="250"/>
      <c r="BI32" s="250"/>
      <c r="BJ32" s="250"/>
      <c r="BK32" s="250"/>
      <c r="BL32" s="250"/>
      <c r="BM32" s="250"/>
      <c r="BN32" s="250"/>
      <c r="BO32" s="250"/>
      <c r="BP32" s="250"/>
      <c r="BQ32" s="250"/>
      <c r="BR32" s="250"/>
      <c r="BS32" s="250"/>
      <c r="BT32" s="250"/>
      <c r="BU32" s="250"/>
      <c r="BV32" s="250"/>
      <c r="BW32" s="250"/>
      <c r="BX32" s="250"/>
      <c r="BY32" s="250"/>
      <c r="BZ32" s="250"/>
      <c r="CA32" s="250"/>
      <c r="CB32" s="250"/>
      <c r="CC32" s="250"/>
      <c r="CD32" s="250"/>
      <c r="CE32" s="250"/>
      <c r="CF32" s="250"/>
      <c r="CG32" s="250"/>
      <c r="CH32" s="250"/>
      <c r="CI32" s="250"/>
      <c r="CJ32" s="250"/>
      <c r="CK32" s="250"/>
      <c r="CL32" s="250"/>
      <c r="CM32" s="250"/>
      <c r="CN32" s="250"/>
      <c r="CO32" s="250"/>
      <c r="CP32" s="250"/>
      <c r="CQ32" s="250"/>
      <c r="CR32" s="250"/>
      <c r="CS32" s="250"/>
      <c r="CT32" s="250"/>
      <c r="CU32" s="250"/>
      <c r="CV32" s="250"/>
      <c r="CW32" s="250"/>
      <c r="CX32" s="250"/>
      <c r="CY32" s="250"/>
      <c r="CZ32" s="250"/>
      <c r="DA32" s="250"/>
      <c r="DB32" s="250"/>
      <c r="DC32" s="250"/>
      <c r="DD32" s="250"/>
      <c r="DE32" s="250"/>
      <c r="DF32" s="250"/>
      <c r="DG32" s="250"/>
      <c r="DH32" s="250"/>
      <c r="DI32" s="250"/>
      <c r="DJ32" s="250"/>
      <c r="DK32" s="250"/>
      <c r="DL32" s="250"/>
      <c r="DM32" s="250"/>
      <c r="DN32" s="250"/>
      <c r="DO32" s="250"/>
      <c r="DP32" s="250"/>
      <c r="DQ32" s="250"/>
      <c r="DR32" s="250"/>
      <c r="DS32" s="250"/>
      <c r="DT32" s="250"/>
      <c r="DU32" s="250"/>
      <c r="DV32" s="250"/>
      <c r="DW32" s="250"/>
      <c r="DX32" s="250"/>
      <c r="DY32" s="250"/>
      <c r="DZ32" s="250"/>
      <c r="EA32" s="250"/>
      <c r="EB32" s="250"/>
      <c r="EC32" s="250"/>
      <c r="ED32" s="250"/>
      <c r="EE32" s="250"/>
      <c r="EF32" s="250"/>
      <c r="EG32" s="250"/>
      <c r="EH32" s="250"/>
      <c r="EI32" s="250"/>
      <c r="EJ32" s="250"/>
      <c r="EK32" s="250"/>
      <c r="EL32" s="250"/>
      <c r="EM32" s="250"/>
      <c r="EN32" s="250"/>
      <c r="EO32" s="250"/>
      <c r="EP32" s="250"/>
      <c r="EQ32" s="250"/>
      <c r="ER32" s="250"/>
      <c r="ES32" s="250"/>
      <c r="ET32" s="250"/>
      <c r="EU32" s="250"/>
      <c r="EV32" s="250"/>
      <c r="EW32" s="250"/>
      <c r="EX32" s="250"/>
      <c r="EY32" s="250"/>
      <c r="EZ32" s="250"/>
      <c r="FA32" s="250"/>
      <c r="FB32" s="250"/>
      <c r="FC32" s="250"/>
      <c r="FD32" s="250"/>
      <c r="FE32" s="250"/>
      <c r="FF32" s="250"/>
      <c r="FG32" s="250"/>
      <c r="FH32" s="250"/>
      <c r="FI32" s="250"/>
      <c r="FJ32" s="250"/>
      <c r="FK32" s="250"/>
      <c r="FL32" s="250"/>
      <c r="FM32" s="250"/>
      <c r="FN32" s="250"/>
      <c r="FO32" s="250"/>
      <c r="FP32" s="250"/>
      <c r="FQ32" s="250"/>
      <c r="FR32" s="250"/>
      <c r="FS32" s="250"/>
      <c r="FT32" s="250"/>
      <c r="FU32" s="250"/>
      <c r="FV32" s="250"/>
      <c r="FW32" s="250"/>
      <c r="FX32" s="250"/>
      <c r="FY32" s="250"/>
      <c r="FZ32" s="250"/>
      <c r="GA32" s="250"/>
      <c r="GB32" s="250"/>
      <c r="GC32" s="250"/>
      <c r="GD32" s="250"/>
      <c r="GE32" s="250"/>
      <c r="GF32" s="250"/>
      <c r="GG32" s="250"/>
      <c r="GH32" s="250"/>
      <c r="GI32" s="250"/>
      <c r="GJ32" s="250"/>
      <c r="GK32" s="250"/>
      <c r="GL32" s="250"/>
      <c r="GM32" s="250"/>
      <c r="GN32" s="250"/>
      <c r="GO32" s="250"/>
      <c r="GP32" s="250"/>
      <c r="GQ32" s="250"/>
      <c r="GR32" s="250"/>
      <c r="GS32" s="250"/>
      <c r="GT32" s="250"/>
      <c r="GU32" s="250"/>
      <c r="GV32" s="250"/>
      <c r="GW32" s="250"/>
      <c r="GX32" s="250"/>
      <c r="GY32" s="250"/>
      <c r="GZ32" s="250"/>
      <c r="HA32" s="250"/>
      <c r="HB32" s="250"/>
      <c r="HC32" s="250"/>
      <c r="HD32" s="250"/>
      <c r="HE32" s="250"/>
      <c r="HF32" s="250"/>
      <c r="HG32" s="250"/>
      <c r="HH32" s="250"/>
      <c r="HI32" s="250"/>
      <c r="HJ32" s="250"/>
    </row>
    <row r="33" spans="1:218" s="219" customFormat="1">
      <c r="A33" s="259"/>
      <c r="B33" s="262"/>
      <c r="C33" s="253"/>
      <c r="D33" s="254"/>
      <c r="E33" s="254"/>
      <c r="F33" s="274"/>
      <c r="G33" s="257"/>
      <c r="H33" s="255"/>
      <c r="I33" s="258"/>
      <c r="J33" s="258"/>
      <c r="K33" s="258"/>
      <c r="L33" s="258"/>
      <c r="M33" s="258"/>
      <c r="N33" s="258"/>
      <c r="O33" s="258"/>
      <c r="P33" s="258"/>
      <c r="Q33" s="258"/>
      <c r="R33" s="258"/>
      <c r="S33" s="250"/>
      <c r="T33" s="250"/>
      <c r="U33" s="250"/>
      <c r="V33" s="250"/>
      <c r="W33" s="250"/>
      <c r="X33" s="250"/>
      <c r="Y33" s="250"/>
      <c r="Z33" s="250"/>
      <c r="AA33" s="250"/>
      <c r="AB33" s="250"/>
      <c r="AC33" s="250"/>
      <c r="AD33" s="250"/>
      <c r="AE33" s="250"/>
      <c r="AF33" s="250"/>
      <c r="AG33" s="250"/>
      <c r="AH33" s="250"/>
      <c r="AI33" s="250"/>
      <c r="AJ33" s="250"/>
      <c r="AK33" s="250"/>
      <c r="AL33" s="250"/>
      <c r="AM33" s="250"/>
      <c r="AN33" s="250"/>
      <c r="AO33" s="250"/>
      <c r="AP33" s="250"/>
      <c r="AQ33" s="250"/>
      <c r="AR33" s="250"/>
      <c r="AS33" s="250"/>
      <c r="AT33" s="250"/>
      <c r="AU33" s="250"/>
      <c r="AV33" s="250"/>
      <c r="AW33" s="250"/>
      <c r="AX33" s="250"/>
      <c r="AY33" s="250"/>
      <c r="AZ33" s="250"/>
      <c r="BA33" s="250"/>
      <c r="BB33" s="250"/>
      <c r="BC33" s="250"/>
      <c r="BD33" s="250"/>
      <c r="BE33" s="250"/>
      <c r="BF33" s="250"/>
      <c r="BG33" s="250"/>
      <c r="BH33" s="250"/>
      <c r="BI33" s="250"/>
      <c r="BJ33" s="250"/>
      <c r="BK33" s="250"/>
      <c r="BL33" s="250"/>
      <c r="BM33" s="250"/>
      <c r="BN33" s="250"/>
      <c r="BO33" s="250"/>
      <c r="BP33" s="250"/>
      <c r="BQ33" s="250"/>
      <c r="BR33" s="250"/>
      <c r="BS33" s="250"/>
      <c r="BT33" s="250"/>
      <c r="BU33" s="250"/>
      <c r="BV33" s="250"/>
      <c r="BW33" s="250"/>
      <c r="BX33" s="250"/>
      <c r="BY33" s="250"/>
      <c r="BZ33" s="250"/>
      <c r="CA33" s="250"/>
      <c r="CB33" s="250"/>
      <c r="CC33" s="250"/>
      <c r="CD33" s="250"/>
      <c r="CE33" s="250"/>
      <c r="CF33" s="250"/>
      <c r="CG33" s="250"/>
      <c r="CH33" s="250"/>
      <c r="CI33" s="250"/>
      <c r="CJ33" s="250"/>
      <c r="CK33" s="250"/>
      <c r="CL33" s="250"/>
      <c r="CM33" s="250"/>
      <c r="CN33" s="250"/>
      <c r="CO33" s="250"/>
      <c r="CP33" s="250"/>
      <c r="CQ33" s="250"/>
      <c r="CR33" s="250"/>
      <c r="CS33" s="250"/>
      <c r="CT33" s="250"/>
      <c r="CU33" s="250"/>
      <c r="CV33" s="250"/>
      <c r="CW33" s="250"/>
      <c r="CX33" s="250"/>
      <c r="CY33" s="250"/>
      <c r="CZ33" s="250"/>
      <c r="DA33" s="250"/>
      <c r="DB33" s="250"/>
      <c r="DC33" s="250"/>
      <c r="DD33" s="250"/>
      <c r="DE33" s="250"/>
      <c r="DF33" s="250"/>
      <c r="DG33" s="250"/>
      <c r="DH33" s="250"/>
      <c r="DI33" s="250"/>
      <c r="DJ33" s="250"/>
      <c r="DK33" s="250"/>
      <c r="DL33" s="250"/>
      <c r="DM33" s="250"/>
      <c r="DN33" s="250"/>
      <c r="DO33" s="250"/>
      <c r="DP33" s="250"/>
      <c r="DQ33" s="250"/>
      <c r="DR33" s="250"/>
      <c r="DS33" s="250"/>
      <c r="DT33" s="250"/>
      <c r="DU33" s="250"/>
      <c r="DV33" s="250"/>
      <c r="DW33" s="250"/>
      <c r="DX33" s="250"/>
      <c r="DY33" s="250"/>
      <c r="DZ33" s="250"/>
      <c r="EA33" s="250"/>
      <c r="EB33" s="250"/>
      <c r="EC33" s="250"/>
      <c r="ED33" s="250"/>
      <c r="EE33" s="250"/>
      <c r="EF33" s="250"/>
      <c r="EG33" s="250"/>
      <c r="EH33" s="250"/>
      <c r="EI33" s="250"/>
      <c r="EJ33" s="250"/>
      <c r="EK33" s="250"/>
      <c r="EL33" s="250"/>
      <c r="EM33" s="250"/>
      <c r="EN33" s="250"/>
      <c r="EO33" s="250"/>
      <c r="EP33" s="250"/>
      <c r="EQ33" s="250"/>
      <c r="ER33" s="250"/>
      <c r="ES33" s="250"/>
      <c r="ET33" s="250"/>
      <c r="EU33" s="250"/>
      <c r="EV33" s="250"/>
      <c r="EW33" s="250"/>
      <c r="EX33" s="250"/>
      <c r="EY33" s="250"/>
      <c r="EZ33" s="250"/>
      <c r="FA33" s="250"/>
      <c r="FB33" s="250"/>
      <c r="FC33" s="250"/>
      <c r="FD33" s="250"/>
      <c r="FE33" s="250"/>
      <c r="FF33" s="250"/>
      <c r="FG33" s="250"/>
      <c r="FH33" s="250"/>
      <c r="FI33" s="250"/>
      <c r="FJ33" s="250"/>
      <c r="FK33" s="250"/>
      <c r="FL33" s="250"/>
      <c r="FM33" s="250"/>
      <c r="FN33" s="250"/>
      <c r="FO33" s="250"/>
      <c r="FP33" s="250"/>
      <c r="FQ33" s="250"/>
      <c r="FR33" s="250"/>
      <c r="FS33" s="250"/>
      <c r="FT33" s="250"/>
      <c r="FU33" s="250"/>
      <c r="FV33" s="250"/>
      <c r="FW33" s="250"/>
      <c r="FX33" s="250"/>
      <c r="FY33" s="250"/>
      <c r="FZ33" s="250"/>
      <c r="GA33" s="250"/>
      <c r="GB33" s="250"/>
      <c r="GC33" s="250"/>
      <c r="GD33" s="250"/>
      <c r="GE33" s="250"/>
      <c r="GF33" s="250"/>
      <c r="GG33" s="250"/>
      <c r="GH33" s="250"/>
      <c r="GI33" s="250"/>
      <c r="GJ33" s="250"/>
      <c r="GK33" s="250"/>
      <c r="GL33" s="250"/>
      <c r="GM33" s="250"/>
      <c r="GN33" s="250"/>
      <c r="GO33" s="250"/>
      <c r="GP33" s="250"/>
      <c r="GQ33" s="250"/>
      <c r="GR33" s="250"/>
      <c r="GS33" s="250"/>
      <c r="GT33" s="250"/>
      <c r="GU33" s="250"/>
      <c r="GV33" s="250"/>
      <c r="GW33" s="250"/>
      <c r="GX33" s="250"/>
      <c r="GY33" s="250"/>
      <c r="GZ33" s="250"/>
      <c r="HA33" s="250"/>
      <c r="HB33" s="250"/>
      <c r="HC33" s="250"/>
      <c r="HD33" s="250"/>
      <c r="HE33" s="250"/>
      <c r="HF33" s="250"/>
      <c r="HG33" s="250"/>
      <c r="HH33" s="250"/>
      <c r="HI33" s="250"/>
      <c r="HJ33" s="250"/>
    </row>
    <row r="34" spans="1:218" s="219" customFormat="1">
      <c r="A34" s="275"/>
      <c r="B34" s="276" t="s">
        <v>877</v>
      </c>
      <c r="C34" s="253"/>
      <c r="D34" s="254"/>
      <c r="E34" s="254"/>
      <c r="F34" s="274"/>
      <c r="G34" s="257"/>
      <c r="H34" s="255"/>
      <c r="I34" s="258"/>
      <c r="J34" s="258"/>
      <c r="K34" s="258"/>
      <c r="L34" s="258"/>
      <c r="M34" s="258"/>
      <c r="N34" s="258"/>
      <c r="O34" s="258"/>
      <c r="P34" s="258"/>
      <c r="Q34" s="258"/>
      <c r="R34" s="258"/>
      <c r="S34" s="250"/>
      <c r="T34" s="250"/>
      <c r="U34" s="250"/>
      <c r="V34" s="250"/>
      <c r="W34" s="250"/>
      <c r="X34" s="250"/>
      <c r="Y34" s="250"/>
      <c r="Z34" s="250"/>
      <c r="AA34" s="250"/>
      <c r="AB34" s="250"/>
      <c r="AC34" s="250"/>
      <c r="AD34" s="250"/>
      <c r="AE34" s="250"/>
      <c r="AF34" s="250"/>
      <c r="AG34" s="250"/>
      <c r="AH34" s="250"/>
      <c r="AI34" s="250"/>
      <c r="AJ34" s="250"/>
      <c r="AK34" s="250"/>
      <c r="AL34" s="250"/>
      <c r="AM34" s="250"/>
      <c r="AN34" s="250"/>
      <c r="AO34" s="250"/>
      <c r="AP34" s="250"/>
      <c r="AQ34" s="250"/>
      <c r="AR34" s="250"/>
      <c r="AS34" s="250"/>
      <c r="AT34" s="250"/>
      <c r="AU34" s="250"/>
      <c r="AV34" s="250"/>
      <c r="AW34" s="250"/>
      <c r="AX34" s="250"/>
      <c r="AY34" s="250"/>
      <c r="AZ34" s="250"/>
      <c r="BA34" s="250"/>
      <c r="BB34" s="250"/>
      <c r="BC34" s="250"/>
      <c r="BD34" s="250"/>
      <c r="BE34" s="250"/>
      <c r="BF34" s="250"/>
      <c r="BG34" s="250"/>
      <c r="BH34" s="250"/>
      <c r="BI34" s="250"/>
      <c r="BJ34" s="250"/>
      <c r="BK34" s="250"/>
      <c r="BL34" s="250"/>
      <c r="BM34" s="250"/>
      <c r="BN34" s="250"/>
      <c r="BO34" s="250"/>
      <c r="BP34" s="250"/>
      <c r="BQ34" s="250"/>
      <c r="BR34" s="250"/>
      <c r="BS34" s="250"/>
      <c r="BT34" s="250"/>
      <c r="BU34" s="250"/>
      <c r="BV34" s="250"/>
      <c r="BW34" s="250"/>
      <c r="BX34" s="250"/>
      <c r="BY34" s="250"/>
      <c r="BZ34" s="250"/>
      <c r="CA34" s="250"/>
      <c r="CB34" s="250"/>
      <c r="CC34" s="250"/>
      <c r="CD34" s="250"/>
      <c r="CE34" s="250"/>
      <c r="CF34" s="250"/>
      <c r="CG34" s="250"/>
      <c r="CH34" s="250"/>
      <c r="CI34" s="250"/>
      <c r="CJ34" s="250"/>
      <c r="CK34" s="250"/>
      <c r="CL34" s="250"/>
      <c r="CM34" s="250"/>
      <c r="CN34" s="250"/>
      <c r="CO34" s="250"/>
      <c r="CP34" s="250"/>
      <c r="CQ34" s="250"/>
      <c r="CR34" s="250"/>
      <c r="CS34" s="250"/>
      <c r="CT34" s="250"/>
      <c r="CU34" s="250"/>
      <c r="CV34" s="250"/>
      <c r="CW34" s="250"/>
      <c r="CX34" s="250"/>
      <c r="CY34" s="250"/>
      <c r="CZ34" s="250"/>
      <c r="DA34" s="250"/>
      <c r="DB34" s="250"/>
      <c r="DC34" s="250"/>
      <c r="DD34" s="250"/>
      <c r="DE34" s="250"/>
      <c r="DF34" s="250"/>
      <c r="DG34" s="250"/>
      <c r="DH34" s="250"/>
      <c r="DI34" s="250"/>
      <c r="DJ34" s="250"/>
      <c r="DK34" s="250"/>
      <c r="DL34" s="250"/>
      <c r="DM34" s="250"/>
      <c r="DN34" s="250"/>
      <c r="DO34" s="250"/>
      <c r="DP34" s="250"/>
      <c r="DQ34" s="250"/>
      <c r="DR34" s="250"/>
      <c r="DS34" s="250"/>
      <c r="DT34" s="250"/>
      <c r="DU34" s="250"/>
      <c r="DV34" s="250"/>
      <c r="DW34" s="250"/>
      <c r="DX34" s="250"/>
      <c r="DY34" s="250"/>
      <c r="DZ34" s="250"/>
      <c r="EA34" s="250"/>
      <c r="EB34" s="250"/>
      <c r="EC34" s="250"/>
      <c r="ED34" s="250"/>
      <c r="EE34" s="250"/>
      <c r="EF34" s="250"/>
      <c r="EG34" s="250"/>
      <c r="EH34" s="250"/>
      <c r="EI34" s="250"/>
      <c r="EJ34" s="250"/>
      <c r="EK34" s="250"/>
      <c r="EL34" s="250"/>
      <c r="EM34" s="250"/>
      <c r="EN34" s="250"/>
      <c r="EO34" s="250"/>
      <c r="EP34" s="250"/>
      <c r="EQ34" s="250"/>
      <c r="ER34" s="250"/>
      <c r="ES34" s="250"/>
      <c r="ET34" s="250"/>
      <c r="EU34" s="250"/>
      <c r="EV34" s="250"/>
      <c r="EW34" s="250"/>
      <c r="EX34" s="250"/>
      <c r="EY34" s="250"/>
      <c r="EZ34" s="250"/>
      <c r="FA34" s="250"/>
      <c r="FB34" s="250"/>
      <c r="FC34" s="250"/>
      <c r="FD34" s="250"/>
      <c r="FE34" s="250"/>
      <c r="FF34" s="250"/>
      <c r="FG34" s="250"/>
      <c r="FH34" s="250"/>
      <c r="FI34" s="250"/>
      <c r="FJ34" s="250"/>
      <c r="FK34" s="250"/>
      <c r="FL34" s="250"/>
      <c r="FM34" s="250"/>
      <c r="FN34" s="250"/>
      <c r="FO34" s="250"/>
      <c r="FP34" s="250"/>
      <c r="FQ34" s="250"/>
      <c r="FR34" s="250"/>
      <c r="FS34" s="250"/>
      <c r="FT34" s="250"/>
      <c r="FU34" s="250"/>
      <c r="FV34" s="250"/>
      <c r="FW34" s="250"/>
      <c r="FX34" s="250"/>
      <c r="FY34" s="250"/>
      <c r="FZ34" s="250"/>
      <c r="GA34" s="250"/>
      <c r="GB34" s="250"/>
      <c r="GC34" s="250"/>
      <c r="GD34" s="250"/>
      <c r="GE34" s="250"/>
      <c r="GF34" s="250"/>
      <c r="GG34" s="250"/>
      <c r="GH34" s="250"/>
      <c r="GI34" s="250"/>
      <c r="GJ34" s="250"/>
      <c r="GK34" s="250"/>
      <c r="GL34" s="250"/>
      <c r="GM34" s="250"/>
      <c r="GN34" s="250"/>
      <c r="GO34" s="250"/>
      <c r="GP34" s="250"/>
      <c r="GQ34" s="250"/>
      <c r="GR34" s="250"/>
      <c r="GS34" s="250"/>
      <c r="GT34" s="250"/>
      <c r="GU34" s="250"/>
      <c r="GV34" s="250"/>
      <c r="GW34" s="250"/>
      <c r="GX34" s="250"/>
      <c r="GY34" s="250"/>
      <c r="GZ34" s="250"/>
      <c r="HA34" s="250"/>
      <c r="HB34" s="250"/>
      <c r="HC34" s="250"/>
      <c r="HD34" s="250"/>
      <c r="HE34" s="250"/>
      <c r="HF34" s="250"/>
      <c r="HG34" s="250"/>
      <c r="HH34" s="250"/>
      <c r="HI34" s="250"/>
      <c r="HJ34" s="250"/>
    </row>
    <row r="35" spans="1:218" s="220" customFormat="1">
      <c r="A35" s="277"/>
      <c r="B35" s="278">
        <v>1</v>
      </c>
      <c r="C35" s="279" t="s">
        <v>878</v>
      </c>
      <c r="D35" s="280" t="s">
        <v>262</v>
      </c>
      <c r="E35" s="280">
        <v>3</v>
      </c>
      <c r="F35" s="281">
        <v>686193.87375000003</v>
      </c>
      <c r="G35" s="268">
        <f>E35*F35</f>
        <v>2058581.6212500001</v>
      </c>
      <c r="H35" s="269">
        <f>G35/'REKAP TOTAL'!F44</f>
        <v>1.6930390844852587E-4</v>
      </c>
      <c r="I35" s="282"/>
      <c r="J35" s="282"/>
      <c r="K35" s="282"/>
      <c r="L35" s="282"/>
      <c r="M35" s="282"/>
      <c r="N35" s="282"/>
      <c r="O35" s="282"/>
      <c r="P35" s="282"/>
      <c r="Q35" s="282"/>
      <c r="R35" s="282"/>
    </row>
    <row r="36" spans="1:218" s="220" customFormat="1">
      <c r="A36" s="277"/>
      <c r="B36" s="283"/>
      <c r="C36" s="284"/>
      <c r="D36" s="280"/>
      <c r="E36" s="280"/>
      <c r="F36" s="285"/>
      <c r="G36" s="286"/>
      <c r="H36" s="282"/>
      <c r="I36" s="282"/>
      <c r="J36" s="282"/>
      <c r="K36" s="282"/>
      <c r="L36" s="282"/>
      <c r="M36" s="282"/>
      <c r="N36" s="282"/>
      <c r="O36" s="282"/>
      <c r="P36" s="282"/>
      <c r="Q36" s="282"/>
      <c r="R36" s="282"/>
    </row>
    <row r="37" spans="1:218" s="220" customFormat="1">
      <c r="A37" s="277"/>
      <c r="B37" s="287">
        <v>2</v>
      </c>
      <c r="C37" s="279" t="s">
        <v>879</v>
      </c>
      <c r="D37" s="280" t="s">
        <v>870</v>
      </c>
      <c r="E37" s="280">
        <f>SUM(E35:E36)</f>
        <v>3</v>
      </c>
      <c r="F37" s="281">
        <v>486976.29749999999</v>
      </c>
      <c r="G37" s="268">
        <f>E37*F37</f>
        <v>1460928.8925000001</v>
      </c>
      <c r="H37" s="269">
        <f>G37/'REKAP TOTAL'!F44</f>
        <v>1.2015116083443771E-4</v>
      </c>
      <c r="I37" s="282"/>
      <c r="J37" s="282"/>
      <c r="K37" s="282"/>
      <c r="L37" s="282"/>
      <c r="M37" s="282"/>
      <c r="N37" s="282"/>
      <c r="O37" s="282"/>
      <c r="P37" s="282"/>
      <c r="Q37" s="282"/>
      <c r="R37" s="282"/>
    </row>
    <row r="38" spans="1:218" s="220" customFormat="1">
      <c r="A38" s="277"/>
      <c r="B38" s="283"/>
      <c r="C38" s="279" t="s">
        <v>880</v>
      </c>
      <c r="D38" s="280"/>
      <c r="E38" s="280"/>
      <c r="F38" s="285"/>
      <c r="G38" s="286"/>
      <c r="H38" s="282"/>
      <c r="I38" s="282"/>
      <c r="J38" s="282"/>
      <c r="K38" s="282"/>
      <c r="L38" s="282"/>
      <c r="M38" s="282"/>
      <c r="N38" s="282"/>
      <c r="O38" s="282"/>
      <c r="P38" s="282"/>
      <c r="Q38" s="282"/>
      <c r="R38" s="282"/>
    </row>
    <row r="39" spans="1:218" s="220" customFormat="1">
      <c r="A39" s="277"/>
      <c r="B39" s="283"/>
      <c r="C39" s="279"/>
      <c r="D39" s="288"/>
      <c r="E39" s="280"/>
      <c r="F39" s="285"/>
      <c r="G39" s="286"/>
      <c r="H39" s="282"/>
      <c r="I39" s="282"/>
      <c r="J39" s="282"/>
      <c r="K39" s="282"/>
      <c r="L39" s="282"/>
      <c r="M39" s="282"/>
      <c r="N39" s="282"/>
      <c r="O39" s="282"/>
      <c r="P39" s="282"/>
      <c r="Q39" s="282"/>
      <c r="R39" s="282"/>
    </row>
    <row r="40" spans="1:218" s="220" customFormat="1" ht="15.75" customHeight="1">
      <c r="A40" s="289" t="s">
        <v>24</v>
      </c>
      <c r="B40" s="290" t="s">
        <v>881</v>
      </c>
      <c r="C40" s="279"/>
      <c r="D40" s="288"/>
      <c r="E40" s="280"/>
      <c r="F40" s="285"/>
      <c r="G40" s="286"/>
      <c r="H40" s="282"/>
      <c r="I40" s="282"/>
      <c r="J40" s="282"/>
      <c r="K40" s="282"/>
      <c r="L40" s="282"/>
      <c r="M40" s="282"/>
      <c r="N40" s="282"/>
      <c r="O40" s="282"/>
      <c r="P40" s="282"/>
      <c r="Q40" s="282"/>
      <c r="R40" s="282"/>
    </row>
    <row r="41" spans="1:218" s="220" customFormat="1" ht="15.75" customHeight="1">
      <c r="A41" s="277"/>
      <c r="B41" s="291" t="s">
        <v>882</v>
      </c>
      <c r="C41" s="279"/>
      <c r="D41" s="288"/>
      <c r="E41" s="280"/>
      <c r="F41" s="285"/>
      <c r="G41" s="286"/>
      <c r="H41" s="282"/>
      <c r="I41" s="282"/>
      <c r="J41" s="282"/>
      <c r="K41" s="282"/>
      <c r="L41" s="282"/>
      <c r="M41" s="282"/>
      <c r="N41" s="282"/>
      <c r="O41" s="282"/>
      <c r="P41" s="282"/>
      <c r="Q41" s="282"/>
      <c r="R41" s="282"/>
    </row>
    <row r="42" spans="1:218" s="220" customFormat="1" ht="15.75" customHeight="1">
      <c r="A42" s="277"/>
      <c r="B42" s="291" t="s">
        <v>883</v>
      </c>
      <c r="C42" s="279"/>
      <c r="D42" s="288"/>
      <c r="E42" s="280"/>
      <c r="F42" s="285"/>
      <c r="G42" s="286"/>
      <c r="H42" s="282"/>
      <c r="I42" s="282"/>
      <c r="J42" s="282"/>
      <c r="K42" s="282"/>
      <c r="L42" s="282"/>
      <c r="M42" s="282"/>
      <c r="N42" s="282"/>
      <c r="O42" s="282"/>
      <c r="P42" s="282"/>
      <c r="Q42" s="282"/>
      <c r="R42" s="282"/>
    </row>
    <row r="43" spans="1:218" s="220" customFormat="1" ht="15.75" customHeight="1">
      <c r="A43" s="277"/>
      <c r="B43" s="291" t="s">
        <v>884</v>
      </c>
      <c r="C43" s="279"/>
      <c r="D43" s="288"/>
      <c r="E43" s="280"/>
      <c r="F43" s="285"/>
      <c r="G43" s="286"/>
      <c r="H43" s="282"/>
      <c r="I43" s="282"/>
      <c r="J43" s="282"/>
      <c r="K43" s="282"/>
      <c r="L43" s="282"/>
      <c r="M43" s="282"/>
      <c r="N43" s="282"/>
      <c r="O43" s="282"/>
      <c r="P43" s="282"/>
      <c r="Q43" s="282"/>
      <c r="R43" s="282"/>
    </row>
    <row r="44" spans="1:218" s="220" customFormat="1">
      <c r="A44" s="292"/>
      <c r="B44" s="293"/>
      <c r="C44" s="279"/>
      <c r="D44" s="288"/>
      <c r="E44" s="280"/>
      <c r="F44" s="285"/>
      <c r="G44" s="286"/>
      <c r="H44" s="282"/>
      <c r="I44" s="282"/>
      <c r="J44" s="282"/>
      <c r="K44" s="282"/>
      <c r="L44" s="282"/>
      <c r="M44" s="282"/>
      <c r="N44" s="282"/>
      <c r="O44" s="282"/>
      <c r="P44" s="282"/>
      <c r="Q44" s="282"/>
      <c r="R44" s="282"/>
    </row>
    <row r="45" spans="1:218" s="221" customFormat="1" ht="16.5" customHeight="1">
      <c r="A45" s="259"/>
      <c r="B45" s="294" t="s">
        <v>885</v>
      </c>
      <c r="C45" s="253"/>
      <c r="D45" s="254"/>
      <c r="E45" s="254"/>
      <c r="F45" s="256"/>
      <c r="G45" s="295"/>
      <c r="H45" s="296"/>
      <c r="I45" s="296"/>
      <c r="J45" s="296"/>
      <c r="K45" s="296"/>
      <c r="L45" s="296"/>
      <c r="M45" s="296"/>
      <c r="N45" s="296"/>
      <c r="O45" s="296"/>
      <c r="P45" s="296"/>
      <c r="Q45" s="296"/>
      <c r="R45" s="296"/>
    </row>
    <row r="46" spans="1:218" s="221" customFormat="1" ht="16.5" customHeight="1">
      <c r="A46" s="259"/>
      <c r="B46" s="297"/>
      <c r="C46" s="298" t="s">
        <v>886</v>
      </c>
      <c r="D46" s="299" t="s">
        <v>135</v>
      </c>
      <c r="E46" s="254">
        <v>1</v>
      </c>
      <c r="F46" s="300">
        <v>3888500</v>
      </c>
      <c r="G46" s="268">
        <f>E46*F46</f>
        <v>3888500</v>
      </c>
      <c r="H46" s="269">
        <f>G46/'REKAP TOTAL'!F44</f>
        <v>3.1980186804657297E-4</v>
      </c>
      <c r="I46" s="296"/>
      <c r="J46" s="296"/>
      <c r="K46" s="296"/>
      <c r="L46" s="296"/>
      <c r="M46" s="296"/>
      <c r="N46" s="296"/>
      <c r="O46" s="296"/>
      <c r="P46" s="296"/>
      <c r="Q46" s="296"/>
      <c r="R46" s="296"/>
    </row>
    <row r="47" spans="1:218" s="221" customFormat="1" ht="16.5" customHeight="1">
      <c r="A47" s="259"/>
      <c r="B47" s="297"/>
      <c r="C47" s="301" t="s">
        <v>887</v>
      </c>
      <c r="D47" s="299"/>
      <c r="E47" s="254"/>
      <c r="F47" s="256"/>
      <c r="G47" s="295"/>
      <c r="H47" s="296"/>
      <c r="I47" s="296"/>
      <c r="J47" s="296"/>
      <c r="K47" s="296"/>
      <c r="L47" s="296"/>
      <c r="M47" s="296"/>
      <c r="N47" s="296"/>
      <c r="O47" s="296"/>
      <c r="P47" s="296"/>
      <c r="Q47" s="296"/>
      <c r="R47" s="296"/>
    </row>
    <row r="48" spans="1:218" s="221" customFormat="1" ht="16.5" customHeight="1">
      <c r="A48" s="259"/>
      <c r="B48" s="297"/>
      <c r="C48" s="301" t="s">
        <v>888</v>
      </c>
      <c r="D48" s="299"/>
      <c r="E48" s="254"/>
      <c r="F48" s="256"/>
      <c r="G48" s="295"/>
      <c r="H48" s="296"/>
      <c r="I48" s="296"/>
      <c r="J48" s="296"/>
      <c r="K48" s="296"/>
      <c r="L48" s="296"/>
      <c r="M48" s="296"/>
      <c r="N48" s="296"/>
      <c r="O48" s="296"/>
      <c r="P48" s="296"/>
      <c r="Q48" s="296"/>
      <c r="R48" s="296"/>
    </row>
    <row r="49" spans="1:218" s="221" customFormat="1" ht="16.5" customHeight="1">
      <c r="A49" s="259"/>
      <c r="B49" s="297"/>
      <c r="C49" s="301" t="s">
        <v>889</v>
      </c>
      <c r="D49" s="299"/>
      <c r="E49" s="254"/>
      <c r="F49" s="256"/>
      <c r="G49" s="295"/>
      <c r="H49" s="296"/>
      <c r="I49" s="296"/>
      <c r="J49" s="296"/>
      <c r="K49" s="296"/>
      <c r="L49" s="296"/>
      <c r="M49" s="296"/>
      <c r="N49" s="296"/>
      <c r="O49" s="296"/>
      <c r="P49" s="296"/>
      <c r="Q49" s="296"/>
      <c r="R49" s="296"/>
    </row>
    <row r="50" spans="1:218" s="222" customFormat="1">
      <c r="A50" s="259"/>
      <c r="B50" s="297"/>
      <c r="C50" s="302"/>
      <c r="D50" s="299"/>
      <c r="E50" s="254"/>
      <c r="F50" s="256"/>
      <c r="G50" s="295"/>
      <c r="H50" s="303"/>
      <c r="I50" s="303"/>
      <c r="J50" s="303"/>
      <c r="K50" s="303"/>
      <c r="L50" s="303"/>
      <c r="M50" s="303"/>
      <c r="N50" s="303"/>
      <c r="O50" s="303"/>
      <c r="P50" s="303"/>
      <c r="Q50" s="303"/>
      <c r="R50" s="303"/>
    </row>
    <row r="51" spans="1:218" s="222" customFormat="1">
      <c r="A51" s="259"/>
      <c r="B51" s="297"/>
      <c r="C51" s="298" t="s">
        <v>890</v>
      </c>
      <c r="D51" s="299" t="s">
        <v>135</v>
      </c>
      <c r="E51" s="254">
        <v>1</v>
      </c>
      <c r="F51" s="300">
        <v>3208012.5</v>
      </c>
      <c r="G51" s="268">
        <f>E51*F51</f>
        <v>3208012.5</v>
      </c>
      <c r="H51" s="269">
        <f>G51/'REKAP TOTAL'!F44</f>
        <v>2.6383654113842269E-4</v>
      </c>
      <c r="I51" s="303"/>
      <c r="J51" s="303"/>
      <c r="K51" s="303"/>
      <c r="L51" s="303"/>
      <c r="M51" s="303"/>
      <c r="N51" s="303"/>
      <c r="O51" s="303"/>
      <c r="P51" s="303"/>
      <c r="Q51" s="303"/>
      <c r="R51" s="303"/>
    </row>
    <row r="52" spans="1:218" s="222" customFormat="1">
      <c r="A52" s="259"/>
      <c r="B52" s="297"/>
      <c r="C52" s="302"/>
      <c r="D52" s="299"/>
      <c r="E52" s="254"/>
      <c r="F52" s="256"/>
      <c r="G52" s="295"/>
      <c r="H52" s="303"/>
      <c r="I52" s="303"/>
      <c r="J52" s="303"/>
      <c r="K52" s="303"/>
      <c r="L52" s="303"/>
      <c r="M52" s="303"/>
      <c r="N52" s="303"/>
      <c r="O52" s="303"/>
      <c r="P52" s="303"/>
      <c r="Q52" s="303"/>
      <c r="R52" s="303"/>
    </row>
    <row r="53" spans="1:218" s="220" customFormat="1" ht="16.5" customHeight="1">
      <c r="A53" s="292"/>
      <c r="B53" s="304" t="s">
        <v>891</v>
      </c>
      <c r="C53" s="284"/>
      <c r="D53" s="305"/>
      <c r="E53" s="280"/>
      <c r="F53" s="285"/>
      <c r="G53" s="286"/>
      <c r="H53" s="282"/>
      <c r="I53" s="282"/>
      <c r="J53" s="282"/>
      <c r="K53" s="282"/>
      <c r="L53" s="282"/>
      <c r="M53" s="282"/>
      <c r="N53" s="282"/>
      <c r="O53" s="282"/>
      <c r="P53" s="282"/>
      <c r="Q53" s="282"/>
      <c r="R53" s="282"/>
    </row>
    <row r="54" spans="1:218" s="220" customFormat="1" ht="16.5" customHeight="1">
      <c r="A54" s="292"/>
      <c r="B54" s="306"/>
      <c r="C54" s="307" t="s">
        <v>892</v>
      </c>
      <c r="D54" s="305" t="s">
        <v>135</v>
      </c>
      <c r="E54" s="280">
        <v>2</v>
      </c>
      <c r="F54" s="308">
        <v>868600</v>
      </c>
      <c r="G54" s="268">
        <f>E54*F54</f>
        <v>1737200</v>
      </c>
      <c r="H54" s="269">
        <f>G54/'REKAP TOTAL'!F44</f>
        <v>1.4287252286755987E-4</v>
      </c>
      <c r="I54" s="282"/>
      <c r="J54" s="282"/>
      <c r="K54" s="282"/>
      <c r="L54" s="282"/>
      <c r="M54" s="282"/>
      <c r="N54" s="282"/>
      <c r="O54" s="282"/>
      <c r="P54" s="282"/>
      <c r="Q54" s="282"/>
      <c r="R54" s="282"/>
    </row>
    <row r="55" spans="1:218" s="220" customFormat="1" ht="16.5" customHeight="1">
      <c r="A55" s="292"/>
      <c r="B55" s="306"/>
      <c r="C55" s="309" t="s">
        <v>893</v>
      </c>
      <c r="D55" s="305"/>
      <c r="E55" s="280"/>
      <c r="F55" s="285"/>
      <c r="G55" s="286"/>
      <c r="H55" s="282"/>
      <c r="I55" s="282"/>
      <c r="J55" s="282"/>
      <c r="K55" s="282"/>
      <c r="L55" s="282"/>
      <c r="M55" s="282"/>
      <c r="N55" s="282"/>
      <c r="O55" s="282"/>
      <c r="P55" s="282"/>
      <c r="Q55" s="282"/>
      <c r="R55" s="282"/>
    </row>
    <row r="56" spans="1:218" s="220" customFormat="1" ht="16.5" customHeight="1">
      <c r="A56" s="292"/>
      <c r="B56" s="306"/>
      <c r="C56" s="309" t="s">
        <v>894</v>
      </c>
      <c r="D56" s="305"/>
      <c r="E56" s="280"/>
      <c r="F56" s="285"/>
      <c r="G56" s="286"/>
      <c r="H56" s="282"/>
      <c r="I56" s="282"/>
      <c r="J56" s="282"/>
      <c r="K56" s="282"/>
      <c r="L56" s="282"/>
      <c r="M56" s="282"/>
      <c r="N56" s="282"/>
      <c r="O56" s="282"/>
      <c r="P56" s="282"/>
      <c r="Q56" s="282"/>
      <c r="R56" s="282"/>
    </row>
    <row r="57" spans="1:218" s="220" customFormat="1" ht="16.5" customHeight="1">
      <c r="A57" s="292"/>
      <c r="B57" s="306"/>
      <c r="C57" s="284"/>
      <c r="D57" s="305"/>
      <c r="E57" s="280"/>
      <c r="F57" s="285"/>
      <c r="G57" s="286"/>
      <c r="H57" s="282"/>
      <c r="I57" s="282"/>
      <c r="J57" s="282"/>
      <c r="K57" s="282"/>
      <c r="L57" s="282"/>
      <c r="M57" s="282"/>
      <c r="N57" s="282"/>
      <c r="O57" s="282"/>
      <c r="P57" s="282"/>
      <c r="Q57" s="282"/>
      <c r="R57" s="282"/>
    </row>
    <row r="58" spans="1:218" s="220" customFormat="1" ht="16.5" customHeight="1">
      <c r="A58" s="292"/>
      <c r="B58" s="306"/>
      <c r="C58" s="310" t="s">
        <v>895</v>
      </c>
      <c r="D58" s="305" t="s">
        <v>179</v>
      </c>
      <c r="E58" s="280">
        <f>SUM(E54:E57)</f>
        <v>2</v>
      </c>
      <c r="F58" s="308">
        <v>439350</v>
      </c>
      <c r="G58" s="268">
        <f>E58*F58</f>
        <v>878700</v>
      </c>
      <c r="H58" s="269">
        <f>G58/'REKAP TOTAL'!F44</f>
        <v>7.2266915636498306E-5</v>
      </c>
      <c r="I58" s="282"/>
      <c r="J58" s="282"/>
      <c r="K58" s="282"/>
      <c r="L58" s="282"/>
      <c r="M58" s="282"/>
      <c r="N58" s="282"/>
      <c r="O58" s="282"/>
      <c r="P58" s="282"/>
      <c r="Q58" s="282"/>
      <c r="R58" s="282"/>
    </row>
    <row r="59" spans="1:218" s="220" customFormat="1" ht="16.5" customHeight="1">
      <c r="A59" s="292"/>
      <c r="B59" s="306"/>
      <c r="C59" s="284"/>
      <c r="D59" s="305"/>
      <c r="E59" s="280"/>
      <c r="F59" s="285"/>
      <c r="G59" s="286"/>
      <c r="H59" s="282"/>
      <c r="I59" s="282"/>
      <c r="J59" s="282"/>
      <c r="K59" s="282"/>
      <c r="L59" s="282"/>
      <c r="M59" s="282"/>
      <c r="N59" s="282"/>
      <c r="O59" s="282"/>
      <c r="P59" s="282"/>
      <c r="Q59" s="282"/>
      <c r="R59" s="282"/>
    </row>
    <row r="60" spans="1:218" s="219" customFormat="1">
      <c r="A60" s="264"/>
      <c r="B60" s="311"/>
      <c r="C60" s="312"/>
      <c r="D60" s="313"/>
      <c r="E60" s="314"/>
      <c r="F60" s="315"/>
      <c r="G60" s="316"/>
      <c r="H60" s="314"/>
      <c r="I60" s="317"/>
      <c r="J60" s="317"/>
      <c r="K60" s="317"/>
      <c r="L60" s="317"/>
      <c r="M60" s="317"/>
      <c r="N60" s="317"/>
      <c r="O60" s="317"/>
      <c r="P60" s="317"/>
      <c r="Q60" s="317"/>
      <c r="R60" s="317"/>
      <c r="S60" s="250"/>
      <c r="T60" s="250"/>
      <c r="U60" s="250"/>
      <c r="V60" s="250"/>
      <c r="W60" s="250"/>
      <c r="X60" s="250"/>
      <c r="Y60" s="250"/>
      <c r="Z60" s="250"/>
      <c r="AA60" s="250"/>
      <c r="AB60" s="250"/>
      <c r="AC60" s="250"/>
      <c r="AD60" s="250"/>
      <c r="AE60" s="250"/>
      <c r="AF60" s="250"/>
      <c r="AG60" s="250"/>
      <c r="AH60" s="250"/>
      <c r="AI60" s="250"/>
      <c r="AJ60" s="250"/>
      <c r="AK60" s="250"/>
      <c r="AL60" s="250"/>
      <c r="AM60" s="250"/>
      <c r="AN60" s="250"/>
      <c r="AO60" s="250"/>
      <c r="AP60" s="250"/>
      <c r="AQ60" s="250"/>
      <c r="AR60" s="250"/>
      <c r="AS60" s="250"/>
      <c r="AT60" s="250"/>
      <c r="AU60" s="250"/>
      <c r="AV60" s="250"/>
      <c r="AW60" s="250"/>
      <c r="AX60" s="250"/>
      <c r="AY60" s="250"/>
      <c r="AZ60" s="250"/>
      <c r="BA60" s="250"/>
      <c r="BB60" s="250"/>
      <c r="BC60" s="250"/>
      <c r="BD60" s="250"/>
      <c r="BE60" s="250"/>
      <c r="BF60" s="250"/>
      <c r="BG60" s="250"/>
      <c r="BH60" s="250"/>
      <c r="BI60" s="250"/>
      <c r="BJ60" s="250"/>
      <c r="BK60" s="250"/>
      <c r="BL60" s="250"/>
      <c r="BM60" s="250"/>
      <c r="BN60" s="250"/>
      <c r="BO60" s="250"/>
      <c r="BP60" s="250"/>
      <c r="BQ60" s="250"/>
      <c r="BR60" s="250"/>
      <c r="BS60" s="250"/>
      <c r="BT60" s="250"/>
      <c r="BU60" s="250"/>
      <c r="BV60" s="250"/>
      <c r="BW60" s="250"/>
      <c r="BX60" s="250"/>
      <c r="BY60" s="250"/>
      <c r="BZ60" s="250"/>
      <c r="CA60" s="250"/>
      <c r="CB60" s="250"/>
      <c r="CC60" s="250"/>
      <c r="CD60" s="250"/>
      <c r="CE60" s="250"/>
      <c r="CF60" s="250"/>
      <c r="CG60" s="250"/>
      <c r="CH60" s="250"/>
      <c r="CI60" s="250"/>
      <c r="CJ60" s="250"/>
      <c r="CK60" s="250"/>
      <c r="CL60" s="250"/>
      <c r="CM60" s="250"/>
      <c r="CN60" s="250"/>
      <c r="CO60" s="250"/>
      <c r="CP60" s="250"/>
      <c r="CQ60" s="250"/>
      <c r="CR60" s="250"/>
      <c r="CS60" s="250"/>
      <c r="CT60" s="250"/>
      <c r="CU60" s="250"/>
      <c r="CV60" s="250"/>
      <c r="CW60" s="250"/>
      <c r="CX60" s="250"/>
      <c r="CY60" s="250"/>
      <c r="CZ60" s="250"/>
      <c r="DA60" s="250"/>
      <c r="DB60" s="250"/>
      <c r="DC60" s="250"/>
      <c r="DD60" s="250"/>
      <c r="DE60" s="250"/>
      <c r="DF60" s="250"/>
      <c r="DG60" s="250"/>
      <c r="DH60" s="250"/>
      <c r="DI60" s="250"/>
      <c r="DJ60" s="250"/>
      <c r="DK60" s="250"/>
      <c r="DL60" s="250"/>
      <c r="DM60" s="250"/>
      <c r="DN60" s="250"/>
      <c r="DO60" s="250"/>
      <c r="DP60" s="250"/>
      <c r="DQ60" s="250"/>
      <c r="DR60" s="250"/>
      <c r="DS60" s="250"/>
      <c r="DT60" s="250"/>
      <c r="DU60" s="250"/>
      <c r="DV60" s="250"/>
      <c r="DW60" s="250"/>
      <c r="DX60" s="250"/>
      <c r="DY60" s="250"/>
      <c r="DZ60" s="250"/>
      <c r="EA60" s="250"/>
      <c r="EB60" s="250"/>
      <c r="EC60" s="250"/>
      <c r="ED60" s="250"/>
      <c r="EE60" s="250"/>
      <c r="EF60" s="250"/>
      <c r="EG60" s="250"/>
      <c r="EH60" s="250"/>
      <c r="EI60" s="250"/>
      <c r="EJ60" s="250"/>
      <c r="EK60" s="250"/>
      <c r="EL60" s="250"/>
      <c r="EM60" s="250"/>
      <c r="EN60" s="250"/>
      <c r="EO60" s="250"/>
      <c r="EP60" s="250"/>
      <c r="EQ60" s="250"/>
      <c r="ER60" s="250"/>
      <c r="ES60" s="250"/>
      <c r="ET60" s="250"/>
      <c r="EU60" s="250"/>
      <c r="EV60" s="250"/>
      <c r="EW60" s="250"/>
      <c r="EX60" s="250"/>
      <c r="EY60" s="250"/>
      <c r="EZ60" s="250"/>
      <c r="FA60" s="250"/>
      <c r="FB60" s="250"/>
      <c r="FC60" s="250"/>
      <c r="FD60" s="250"/>
      <c r="FE60" s="250"/>
      <c r="FF60" s="250"/>
      <c r="FG60" s="250"/>
      <c r="FH60" s="250"/>
      <c r="FI60" s="250"/>
      <c r="FJ60" s="250"/>
      <c r="FK60" s="250"/>
      <c r="FL60" s="250"/>
      <c r="FM60" s="250"/>
      <c r="FN60" s="250"/>
      <c r="FO60" s="250"/>
      <c r="FP60" s="250"/>
      <c r="FQ60" s="250"/>
      <c r="FR60" s="250"/>
      <c r="FS60" s="250"/>
      <c r="FT60" s="250"/>
      <c r="FU60" s="250"/>
      <c r="FV60" s="250"/>
      <c r="FW60" s="250"/>
      <c r="FX60" s="250"/>
      <c r="FY60" s="250"/>
      <c r="FZ60" s="250"/>
      <c r="GA60" s="250"/>
      <c r="GB60" s="250"/>
      <c r="GC60" s="250"/>
      <c r="GD60" s="250"/>
      <c r="GE60" s="250"/>
      <c r="GF60" s="250"/>
      <c r="GG60" s="250"/>
      <c r="GH60" s="250"/>
      <c r="GI60" s="250"/>
      <c r="GJ60" s="250"/>
      <c r="GK60" s="250"/>
      <c r="GL60" s="250"/>
      <c r="GM60" s="250"/>
      <c r="GN60" s="250"/>
      <c r="GO60" s="250"/>
      <c r="GP60" s="250"/>
      <c r="GQ60" s="250"/>
      <c r="GR60" s="250"/>
      <c r="GS60" s="250"/>
      <c r="GT60" s="250"/>
      <c r="GU60" s="250"/>
      <c r="GV60" s="250"/>
      <c r="GW60" s="250"/>
      <c r="GX60" s="250"/>
      <c r="GY60" s="250"/>
      <c r="GZ60" s="250"/>
      <c r="HA60" s="250"/>
      <c r="HB60" s="250"/>
      <c r="HC60" s="250"/>
      <c r="HD60" s="250"/>
      <c r="HE60" s="250"/>
      <c r="HF60" s="250"/>
      <c r="HG60" s="250"/>
      <c r="HH60" s="250"/>
      <c r="HI60" s="250"/>
      <c r="HJ60" s="250"/>
    </row>
    <row r="61" spans="1:218" s="219" customFormat="1">
      <c r="A61" s="318"/>
      <c r="B61" s="319"/>
      <c r="C61" s="320" t="s">
        <v>896</v>
      </c>
      <c r="D61" s="321"/>
      <c r="E61" s="322"/>
      <c r="F61" s="323"/>
      <c r="G61" s="324">
        <f>SUM(G11:G60)</f>
        <v>20370217.446249999</v>
      </c>
      <c r="H61" s="325">
        <f>G61/'REKAP TOTAL'!F44</f>
        <v>1.6753075972291735E-3</v>
      </c>
      <c r="I61" s="326"/>
      <c r="J61" s="326"/>
      <c r="K61" s="326"/>
      <c r="L61" s="326"/>
      <c r="M61" s="326"/>
      <c r="N61" s="326"/>
      <c r="O61" s="326"/>
      <c r="P61" s="326"/>
      <c r="Q61" s="326"/>
      <c r="R61" s="327"/>
      <c r="S61" s="250"/>
      <c r="T61" s="250"/>
      <c r="U61" s="250"/>
      <c r="V61" s="250"/>
      <c r="W61" s="250"/>
      <c r="X61" s="250"/>
      <c r="Y61" s="250"/>
      <c r="Z61" s="250"/>
      <c r="AA61" s="250"/>
      <c r="AB61" s="250"/>
      <c r="AC61" s="250"/>
      <c r="AD61" s="250"/>
      <c r="AE61" s="250"/>
      <c r="AF61" s="250"/>
      <c r="AG61" s="250"/>
      <c r="AH61" s="250"/>
      <c r="AI61" s="250"/>
      <c r="AJ61" s="250"/>
      <c r="AK61" s="250"/>
      <c r="AL61" s="250"/>
      <c r="AM61" s="250"/>
      <c r="AN61" s="250"/>
      <c r="AO61" s="250"/>
      <c r="AP61" s="250"/>
      <c r="AQ61" s="250"/>
      <c r="AR61" s="250"/>
      <c r="AS61" s="250"/>
      <c r="AT61" s="250"/>
      <c r="AU61" s="250"/>
      <c r="AV61" s="250"/>
      <c r="AW61" s="250"/>
      <c r="AX61" s="250"/>
      <c r="AY61" s="250"/>
      <c r="AZ61" s="250"/>
      <c r="BA61" s="250"/>
      <c r="BB61" s="250"/>
      <c r="BC61" s="250"/>
      <c r="BD61" s="250"/>
      <c r="BE61" s="250"/>
      <c r="BF61" s="250"/>
      <c r="BG61" s="250"/>
      <c r="BH61" s="250"/>
      <c r="BI61" s="250"/>
      <c r="BJ61" s="250"/>
      <c r="BK61" s="250"/>
      <c r="BL61" s="250"/>
      <c r="BM61" s="250"/>
      <c r="BN61" s="250"/>
      <c r="BO61" s="250"/>
      <c r="BP61" s="250"/>
      <c r="BQ61" s="250"/>
      <c r="BR61" s="250"/>
      <c r="BS61" s="250"/>
      <c r="BT61" s="250"/>
      <c r="BU61" s="250"/>
      <c r="BV61" s="250"/>
      <c r="BW61" s="250"/>
      <c r="BX61" s="250"/>
      <c r="BY61" s="250"/>
      <c r="BZ61" s="250"/>
      <c r="CA61" s="250"/>
      <c r="CB61" s="250"/>
      <c r="CC61" s="250"/>
      <c r="CD61" s="250"/>
      <c r="CE61" s="250"/>
      <c r="CF61" s="250"/>
      <c r="CG61" s="250"/>
      <c r="CH61" s="250"/>
      <c r="CI61" s="250"/>
      <c r="CJ61" s="250"/>
      <c r="CK61" s="250"/>
      <c r="CL61" s="250"/>
      <c r="CM61" s="250"/>
      <c r="CN61" s="250"/>
      <c r="CO61" s="250"/>
      <c r="CP61" s="250"/>
      <c r="CQ61" s="250"/>
      <c r="CR61" s="250"/>
      <c r="CS61" s="250"/>
      <c r="CT61" s="250"/>
      <c r="CU61" s="250"/>
      <c r="CV61" s="250"/>
      <c r="CW61" s="250"/>
      <c r="CX61" s="250"/>
      <c r="CY61" s="250"/>
      <c r="CZ61" s="250"/>
      <c r="DA61" s="250"/>
      <c r="DB61" s="250"/>
      <c r="DC61" s="250"/>
      <c r="DD61" s="250"/>
      <c r="DE61" s="250"/>
      <c r="DF61" s="250"/>
      <c r="DG61" s="250"/>
      <c r="DH61" s="250"/>
      <c r="DI61" s="250"/>
      <c r="DJ61" s="250"/>
      <c r="DK61" s="250"/>
      <c r="DL61" s="250"/>
      <c r="DM61" s="250"/>
      <c r="DN61" s="250"/>
      <c r="DO61" s="250"/>
      <c r="DP61" s="250"/>
      <c r="DQ61" s="250"/>
      <c r="DR61" s="250"/>
      <c r="DS61" s="250"/>
      <c r="DT61" s="250"/>
      <c r="DU61" s="250"/>
      <c r="DV61" s="250"/>
      <c r="DW61" s="250"/>
      <c r="DX61" s="250"/>
      <c r="DY61" s="250"/>
      <c r="DZ61" s="250"/>
      <c r="EA61" s="250"/>
      <c r="EB61" s="250"/>
      <c r="EC61" s="250"/>
      <c r="ED61" s="250"/>
      <c r="EE61" s="250"/>
      <c r="EF61" s="250"/>
      <c r="EG61" s="250"/>
      <c r="EH61" s="250"/>
      <c r="EI61" s="250"/>
      <c r="EJ61" s="250"/>
      <c r="EK61" s="250"/>
      <c r="EL61" s="250"/>
      <c r="EM61" s="250"/>
      <c r="EN61" s="250"/>
      <c r="EO61" s="250"/>
      <c r="EP61" s="250"/>
      <c r="EQ61" s="250"/>
      <c r="ER61" s="250"/>
      <c r="ES61" s="250"/>
      <c r="ET61" s="250"/>
      <c r="EU61" s="250"/>
      <c r="EV61" s="250"/>
      <c r="EW61" s="250"/>
      <c r="EX61" s="250"/>
      <c r="EY61" s="250"/>
      <c r="EZ61" s="250"/>
      <c r="FA61" s="250"/>
      <c r="FB61" s="250"/>
      <c r="FC61" s="250"/>
      <c r="FD61" s="250"/>
      <c r="FE61" s="250"/>
      <c r="FF61" s="250"/>
      <c r="FG61" s="250"/>
      <c r="FH61" s="250"/>
      <c r="FI61" s="250"/>
      <c r="FJ61" s="250"/>
      <c r="FK61" s="250"/>
      <c r="FL61" s="250"/>
      <c r="FM61" s="250"/>
      <c r="FN61" s="250"/>
      <c r="FO61" s="250"/>
      <c r="FP61" s="250"/>
      <c r="FQ61" s="250"/>
      <c r="FR61" s="250"/>
      <c r="FS61" s="250"/>
      <c r="FT61" s="250"/>
      <c r="FU61" s="250"/>
      <c r="FV61" s="250"/>
      <c r="FW61" s="250"/>
      <c r="FX61" s="250"/>
      <c r="FY61" s="250"/>
      <c r="FZ61" s="250"/>
      <c r="GA61" s="250"/>
      <c r="GB61" s="250"/>
      <c r="GC61" s="250"/>
      <c r="GD61" s="250"/>
      <c r="GE61" s="250"/>
      <c r="GF61" s="250"/>
      <c r="GG61" s="250"/>
      <c r="GH61" s="250"/>
      <c r="GI61" s="250"/>
      <c r="GJ61" s="250"/>
      <c r="GK61" s="250"/>
      <c r="GL61" s="250"/>
      <c r="GM61" s="250"/>
      <c r="GN61" s="250"/>
      <c r="GO61" s="250"/>
      <c r="GP61" s="250"/>
      <c r="GQ61" s="250"/>
      <c r="GR61" s="250"/>
      <c r="GS61" s="250"/>
      <c r="GT61" s="250"/>
      <c r="GU61" s="250"/>
      <c r="GV61" s="250"/>
      <c r="GW61" s="250"/>
      <c r="GX61" s="250"/>
      <c r="GY61" s="250"/>
      <c r="GZ61" s="250"/>
      <c r="HA61" s="250"/>
      <c r="HB61" s="250"/>
      <c r="HC61" s="250"/>
      <c r="HD61" s="250"/>
      <c r="HE61" s="250"/>
      <c r="HF61" s="250"/>
      <c r="HG61" s="250"/>
      <c r="HH61" s="250"/>
      <c r="HI61" s="250"/>
      <c r="HJ61" s="250"/>
    </row>
  </sheetData>
  <mergeCells count="8">
    <mergeCell ref="R8:R9"/>
    <mergeCell ref="B8:C9"/>
    <mergeCell ref="I8:K8"/>
    <mergeCell ref="L8:N8"/>
    <mergeCell ref="A8:A9"/>
    <mergeCell ref="D8:D9"/>
    <mergeCell ref="E8:E9"/>
    <mergeCell ref="H8:H9"/>
  </mergeCells>
  <printOptions horizontalCentered="1"/>
  <pageMargins left="0.47244094488188998" right="0.39370078740157499" top="0.90551181102362199" bottom="1.1811023622047201" header="0.511811023622047" footer="0.39370078740157499"/>
  <pageSetup paperSize="9" scale="41" orientation="portrait" useFirstPageNumber="1" r:id="rId1"/>
  <headerFooter alignWithMargins="0">
    <oddFooter>&amp;C&amp;A&amp;RPage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AD46"/>
  <sheetViews>
    <sheetView zoomScale="140" zoomScaleNormal="140" workbookViewId="0">
      <selection activeCell="D51" sqref="D51"/>
    </sheetView>
  </sheetViews>
  <sheetFormatPr defaultColWidth="9" defaultRowHeight="14.4"/>
  <cols>
    <col min="2" max="2" width="4.109375" customWidth="1"/>
    <col min="4" max="4" width="43.77734375" customWidth="1"/>
    <col min="6" max="29" width="6.77734375" customWidth="1"/>
    <col min="30" max="30" width="18" customWidth="1"/>
  </cols>
  <sheetData>
    <row r="1" spans="1:30" ht="46.2">
      <c r="A1" s="194" t="s">
        <v>897</v>
      </c>
      <c r="B1" s="195"/>
      <c r="C1" s="195"/>
    </row>
    <row r="4" spans="1:30" ht="23.4">
      <c r="A4" s="2225" t="s">
        <v>1</v>
      </c>
      <c r="B4" s="2225"/>
      <c r="C4" s="2225"/>
      <c r="D4" s="2225"/>
      <c r="E4" s="2225"/>
      <c r="F4" s="2225"/>
      <c r="G4" s="2225"/>
      <c r="H4" s="2225"/>
      <c r="I4" s="2225"/>
      <c r="J4" s="2225"/>
      <c r="K4" s="2225"/>
      <c r="L4" s="2225"/>
      <c r="M4" s="2225"/>
      <c r="N4" s="2225"/>
      <c r="O4" s="2225"/>
      <c r="P4" s="2225"/>
      <c r="Q4" s="2225"/>
      <c r="R4" s="2225"/>
      <c r="S4" s="2225"/>
      <c r="T4" s="2225"/>
      <c r="U4" s="2225"/>
      <c r="V4" s="2225"/>
      <c r="W4" s="2225"/>
      <c r="X4" s="2225"/>
      <c r="Y4" s="2225"/>
      <c r="Z4" s="2225"/>
      <c r="AA4" s="2225"/>
      <c r="AB4" s="2225"/>
      <c r="AC4" s="2225"/>
      <c r="AD4" s="2225"/>
    </row>
    <row r="5" spans="1:30" ht="23.4">
      <c r="A5" s="2225" t="s">
        <v>898</v>
      </c>
      <c r="B5" s="2225"/>
      <c r="C5" s="2225"/>
      <c r="D5" s="2225"/>
      <c r="E5" s="2225"/>
      <c r="F5" s="2225"/>
      <c r="G5" s="2225"/>
      <c r="H5" s="2225"/>
      <c r="I5" s="2225"/>
      <c r="J5" s="2225"/>
      <c r="K5" s="2225"/>
      <c r="L5" s="2225"/>
      <c r="M5" s="2225"/>
      <c r="N5" s="2225"/>
      <c r="O5" s="2225"/>
      <c r="P5" s="2225"/>
      <c r="Q5" s="2225"/>
      <c r="R5" s="2225"/>
      <c r="S5" s="2225"/>
      <c r="T5" s="2225"/>
      <c r="U5" s="2225"/>
      <c r="V5" s="2225"/>
      <c r="W5" s="2225"/>
      <c r="X5" s="2225"/>
      <c r="Y5" s="2225"/>
      <c r="Z5" s="2225"/>
      <c r="AA5" s="2225"/>
      <c r="AB5" s="2225"/>
      <c r="AC5" s="2225"/>
      <c r="AD5" s="2225"/>
    </row>
    <row r="7" spans="1:30">
      <c r="A7" s="2230" t="s">
        <v>58</v>
      </c>
      <c r="B7" s="2233" t="s">
        <v>547</v>
      </c>
      <c r="C7" s="2234"/>
      <c r="D7" s="2235"/>
      <c r="E7" s="196" t="s">
        <v>899</v>
      </c>
      <c r="F7" s="2226" t="s">
        <v>900</v>
      </c>
      <c r="G7" s="2226"/>
      <c r="H7" s="2226"/>
      <c r="I7" s="2226"/>
      <c r="J7" s="2226"/>
      <c r="K7" s="2226"/>
      <c r="L7" s="2226"/>
      <c r="M7" s="2226"/>
      <c r="N7" s="2226"/>
      <c r="O7" s="2226"/>
      <c r="P7" s="2226"/>
      <c r="Q7" s="2226"/>
      <c r="R7" s="2226"/>
      <c r="S7" s="2226"/>
      <c r="T7" s="2226"/>
      <c r="U7" s="2226"/>
      <c r="V7" s="2226"/>
      <c r="W7" s="2226"/>
      <c r="X7" s="2226"/>
      <c r="Y7" s="2226"/>
      <c r="Z7" s="2226"/>
      <c r="AA7" s="2226"/>
      <c r="AB7" s="2226"/>
      <c r="AC7" s="2226"/>
      <c r="AD7" s="2230" t="s">
        <v>901</v>
      </c>
    </row>
    <row r="8" spans="1:30">
      <c r="A8" s="2231"/>
      <c r="B8" s="2236"/>
      <c r="C8" s="2237"/>
      <c r="D8" s="2238"/>
      <c r="E8" s="197" t="s">
        <v>902</v>
      </c>
      <c r="F8" s="2226" t="s">
        <v>903</v>
      </c>
      <c r="G8" s="2226"/>
      <c r="H8" s="2226"/>
      <c r="I8" s="2226" t="s">
        <v>904</v>
      </c>
      <c r="J8" s="2226"/>
      <c r="K8" s="2226"/>
      <c r="L8" s="2226"/>
      <c r="M8" s="2226" t="s">
        <v>905</v>
      </c>
      <c r="N8" s="2226"/>
      <c r="O8" s="2226"/>
      <c r="P8" s="2226"/>
      <c r="Q8" s="2226" t="s">
        <v>906</v>
      </c>
      <c r="R8" s="2226"/>
      <c r="S8" s="2226"/>
      <c r="T8" s="2226"/>
      <c r="U8" s="2226"/>
      <c r="V8" s="2227" t="s">
        <v>907</v>
      </c>
      <c r="W8" s="2228"/>
      <c r="X8" s="2228"/>
      <c r="Y8" s="2228"/>
      <c r="Z8" s="2229"/>
      <c r="AA8" s="2227" t="s">
        <v>908</v>
      </c>
      <c r="AB8" s="2228"/>
      <c r="AC8" s="2229"/>
      <c r="AD8" s="2231"/>
    </row>
    <row r="9" spans="1:30">
      <c r="A9" s="2232"/>
      <c r="B9" s="2239"/>
      <c r="C9" s="2240"/>
      <c r="D9" s="2241"/>
      <c r="E9" s="198"/>
      <c r="F9" s="199">
        <v>1</v>
      </c>
      <c r="G9" s="199">
        <v>2</v>
      </c>
      <c r="H9" s="199">
        <v>3</v>
      </c>
      <c r="I9" s="199">
        <v>4</v>
      </c>
      <c r="J9" s="199">
        <v>5</v>
      </c>
      <c r="K9" s="199">
        <v>6</v>
      </c>
      <c r="L9" s="199">
        <v>7</v>
      </c>
      <c r="M9" s="199">
        <v>8</v>
      </c>
      <c r="N9" s="199">
        <v>9</v>
      </c>
      <c r="O9" s="199">
        <v>10</v>
      </c>
      <c r="P9" s="199">
        <v>11</v>
      </c>
      <c r="Q9" s="199">
        <v>12</v>
      </c>
      <c r="R9" s="199">
        <v>13</v>
      </c>
      <c r="S9" s="199">
        <v>14</v>
      </c>
      <c r="T9" s="199">
        <v>15</v>
      </c>
      <c r="U9" s="199">
        <v>16</v>
      </c>
      <c r="V9" s="199">
        <v>17</v>
      </c>
      <c r="W9" s="199">
        <v>18</v>
      </c>
      <c r="X9" s="199">
        <v>19</v>
      </c>
      <c r="Y9" s="199">
        <v>20</v>
      </c>
      <c r="Z9" s="199">
        <v>21</v>
      </c>
      <c r="AA9" s="199">
        <v>22</v>
      </c>
      <c r="AB9" s="199">
        <v>23</v>
      </c>
      <c r="AC9" s="199">
        <v>24</v>
      </c>
      <c r="AD9" s="2232"/>
    </row>
    <row r="10" spans="1:30">
      <c r="A10" s="200" t="s">
        <v>22</v>
      </c>
      <c r="B10" s="201" t="s">
        <v>68</v>
      </c>
      <c r="C10" s="202"/>
      <c r="D10" s="203"/>
      <c r="E10" s="204">
        <v>10.119999999999999</v>
      </c>
      <c r="F10" s="204">
        <v>0.04</v>
      </c>
      <c r="G10" s="204">
        <v>0.08</v>
      </c>
      <c r="H10" s="204">
        <v>0.13</v>
      </c>
      <c r="I10" s="204">
        <v>0.3</v>
      </c>
      <c r="J10" s="204">
        <v>0.3</v>
      </c>
      <c r="K10" s="204">
        <v>0.42</v>
      </c>
      <c r="L10" s="204">
        <v>0.42</v>
      </c>
      <c r="M10" s="204">
        <v>0.42</v>
      </c>
      <c r="N10" s="204">
        <v>0.5</v>
      </c>
      <c r="O10" s="204">
        <v>0.5</v>
      </c>
      <c r="P10" s="204">
        <v>0.5</v>
      </c>
      <c r="Q10" s="204">
        <v>0.55000000000000004</v>
      </c>
      <c r="R10" s="204">
        <f>Q10</f>
        <v>0.55000000000000004</v>
      </c>
      <c r="S10" s="204">
        <f t="shared" ref="S10:Z10" si="0">R10</f>
        <v>0.55000000000000004</v>
      </c>
      <c r="T10" s="204">
        <f t="shared" si="0"/>
        <v>0.55000000000000004</v>
      </c>
      <c r="U10" s="204">
        <f t="shared" si="0"/>
        <v>0.55000000000000004</v>
      </c>
      <c r="V10" s="204">
        <f t="shared" si="0"/>
        <v>0.55000000000000004</v>
      </c>
      <c r="W10" s="204">
        <f t="shared" si="0"/>
        <v>0.55000000000000004</v>
      </c>
      <c r="X10" s="204">
        <f t="shared" si="0"/>
        <v>0.55000000000000004</v>
      </c>
      <c r="Y10" s="204">
        <f t="shared" si="0"/>
        <v>0.55000000000000004</v>
      </c>
      <c r="Z10" s="204">
        <f t="shared" si="0"/>
        <v>0.55000000000000004</v>
      </c>
      <c r="AA10" s="204">
        <v>0.42</v>
      </c>
      <c r="AB10" s="204">
        <v>0.38</v>
      </c>
      <c r="AC10" s="204">
        <v>0.21</v>
      </c>
      <c r="AD10" s="204"/>
    </row>
    <row r="11" spans="1:30">
      <c r="A11" s="200" t="s">
        <v>23</v>
      </c>
      <c r="B11" s="201" t="s">
        <v>99</v>
      </c>
      <c r="C11" s="202"/>
      <c r="D11" s="203"/>
      <c r="E11" s="204"/>
      <c r="F11" s="204"/>
      <c r="G11" s="204"/>
      <c r="H11" s="204"/>
      <c r="I11" s="204"/>
      <c r="J11" s="204"/>
      <c r="K11" s="204"/>
      <c r="L11" s="204"/>
      <c r="M11" s="204"/>
      <c r="N11" s="204"/>
      <c r="O11" s="204"/>
      <c r="P11" s="204"/>
      <c r="Q11" s="204"/>
      <c r="R11" s="204"/>
      <c r="S11" s="204"/>
      <c r="T11" s="204"/>
      <c r="U11" s="204"/>
      <c r="V11" s="204"/>
      <c r="W11" s="204"/>
      <c r="X11" s="204"/>
      <c r="Y11" s="204"/>
      <c r="Z11" s="204"/>
      <c r="AA11" s="204"/>
      <c r="AB11" s="204"/>
      <c r="AC11" s="204"/>
      <c r="AD11" s="204"/>
    </row>
    <row r="12" spans="1:30">
      <c r="A12" s="205"/>
      <c r="B12" s="206" t="s">
        <v>440</v>
      </c>
      <c r="C12" s="207" t="s">
        <v>909</v>
      </c>
      <c r="D12" s="204"/>
      <c r="E12" s="204">
        <v>0.81</v>
      </c>
      <c r="F12" s="204"/>
      <c r="G12" s="204"/>
      <c r="H12" s="204"/>
      <c r="I12" s="204"/>
      <c r="J12" s="204"/>
      <c r="K12" s="204"/>
      <c r="L12" s="204"/>
      <c r="M12" s="204"/>
      <c r="N12" s="204"/>
      <c r="O12" s="204"/>
      <c r="P12" s="204"/>
      <c r="Q12" s="204">
        <f>E12/3</f>
        <v>0.27</v>
      </c>
      <c r="R12" s="204">
        <f>Q12</f>
        <v>0.27</v>
      </c>
      <c r="S12" s="204">
        <f>R12</f>
        <v>0.27</v>
      </c>
      <c r="T12" s="204"/>
      <c r="U12" s="204"/>
      <c r="V12" s="204"/>
      <c r="W12" s="204"/>
      <c r="X12" s="204"/>
      <c r="Y12" s="204"/>
      <c r="Z12" s="204"/>
      <c r="AA12" s="204"/>
      <c r="AB12" s="204"/>
      <c r="AC12" s="204"/>
      <c r="AD12" s="204"/>
    </row>
    <row r="13" spans="1:30">
      <c r="A13" s="205"/>
      <c r="B13" s="206" t="s">
        <v>443</v>
      </c>
      <c r="C13" s="207" t="s">
        <v>128</v>
      </c>
      <c r="D13" s="204"/>
      <c r="E13" s="204">
        <v>2.2599999999999998</v>
      </c>
      <c r="F13" s="204"/>
      <c r="G13" s="204"/>
      <c r="H13" s="204"/>
      <c r="I13" s="204"/>
      <c r="J13" s="204"/>
      <c r="K13" s="204"/>
      <c r="L13" s="204"/>
      <c r="M13" s="204"/>
      <c r="N13" s="204"/>
      <c r="O13" s="204"/>
      <c r="P13" s="204"/>
      <c r="Q13" s="208">
        <f>E13/13</f>
        <v>0.17384615384615401</v>
      </c>
      <c r="R13" s="208">
        <f>Q13</f>
        <v>0.17384615384615401</v>
      </c>
      <c r="S13" s="208">
        <f t="shared" ref="S13:AC13" si="1">R13</f>
        <v>0.17384615384615401</v>
      </c>
      <c r="T13" s="208">
        <f t="shared" si="1"/>
        <v>0.17384615384615401</v>
      </c>
      <c r="U13" s="208">
        <f t="shared" si="1"/>
        <v>0.17384615384615401</v>
      </c>
      <c r="V13" s="208">
        <f t="shared" si="1"/>
        <v>0.17384615384615401</v>
      </c>
      <c r="W13" s="208">
        <f t="shared" si="1"/>
        <v>0.17384615384615401</v>
      </c>
      <c r="X13" s="208">
        <f t="shared" si="1"/>
        <v>0.17384615384615401</v>
      </c>
      <c r="Y13" s="208">
        <f t="shared" si="1"/>
        <v>0.17384615384615401</v>
      </c>
      <c r="Z13" s="208">
        <f t="shared" si="1"/>
        <v>0.17384615384615401</v>
      </c>
      <c r="AA13" s="208">
        <f t="shared" si="1"/>
        <v>0.17384615384615401</v>
      </c>
      <c r="AB13" s="208">
        <f t="shared" si="1"/>
        <v>0.17384615384615401</v>
      </c>
      <c r="AC13" s="208">
        <f t="shared" si="1"/>
        <v>0.17384615384615401</v>
      </c>
      <c r="AD13" s="204"/>
    </row>
    <row r="14" spans="1:30">
      <c r="A14" s="205"/>
      <c r="B14" s="206"/>
      <c r="C14" s="207" t="s">
        <v>910</v>
      </c>
      <c r="D14" s="204"/>
      <c r="E14" s="204"/>
      <c r="F14" s="204"/>
      <c r="G14" s="204"/>
      <c r="H14" s="204"/>
      <c r="I14" s="204"/>
      <c r="J14" s="204"/>
      <c r="K14" s="204"/>
      <c r="L14" s="204"/>
      <c r="M14" s="204"/>
      <c r="N14" s="204"/>
      <c r="O14" s="204"/>
      <c r="P14" s="204"/>
      <c r="Q14" s="204"/>
      <c r="R14" s="204"/>
      <c r="S14" s="204"/>
      <c r="T14" s="204"/>
      <c r="U14" s="204"/>
      <c r="V14" s="204"/>
      <c r="W14" s="204"/>
      <c r="X14" s="204"/>
      <c r="Y14" s="204"/>
      <c r="Z14" s="204"/>
      <c r="AA14" s="204"/>
      <c r="AB14" s="204"/>
      <c r="AC14" s="204"/>
      <c r="AD14" s="204"/>
    </row>
    <row r="15" spans="1:30">
      <c r="A15" s="205"/>
      <c r="B15" s="206" t="s">
        <v>452</v>
      </c>
      <c r="C15" s="207" t="s">
        <v>911</v>
      </c>
      <c r="D15" s="204"/>
      <c r="E15" s="204">
        <v>6.36</v>
      </c>
      <c r="F15" s="204"/>
      <c r="G15" s="208"/>
      <c r="H15" s="208">
        <v>3.4000000000000002E-2</v>
      </c>
      <c r="I15" s="208">
        <v>0.254</v>
      </c>
      <c r="J15" s="208">
        <v>0.76400000000000001</v>
      </c>
      <c r="K15" s="204">
        <f t="shared" ref="K15:O15" si="2">J15</f>
        <v>0.76400000000000001</v>
      </c>
      <c r="L15" s="204">
        <v>0.95299999999999996</v>
      </c>
      <c r="M15" s="204">
        <f t="shared" si="2"/>
        <v>0.95299999999999996</v>
      </c>
      <c r="N15" s="204">
        <f t="shared" si="2"/>
        <v>0.95299999999999996</v>
      </c>
      <c r="O15" s="204">
        <f t="shared" si="2"/>
        <v>0.95299999999999996</v>
      </c>
      <c r="P15" s="204">
        <v>0.73399999999999999</v>
      </c>
      <c r="Q15" s="204"/>
      <c r="R15" s="204"/>
      <c r="S15" s="204"/>
      <c r="T15" s="204"/>
      <c r="U15" s="204"/>
      <c r="V15" s="204"/>
      <c r="W15" s="204"/>
      <c r="X15" s="204"/>
      <c r="Y15" s="204"/>
      <c r="Z15" s="204"/>
      <c r="AA15" s="204"/>
      <c r="AB15" s="204"/>
      <c r="AC15" s="204"/>
      <c r="AD15" s="204"/>
    </row>
    <row r="16" spans="1:30">
      <c r="A16" s="205"/>
      <c r="B16" s="206"/>
      <c r="C16" s="207" t="s">
        <v>912</v>
      </c>
      <c r="D16" s="204"/>
      <c r="E16" s="204"/>
      <c r="F16" s="204"/>
      <c r="G16" s="204"/>
      <c r="H16" s="204"/>
      <c r="I16" s="204"/>
      <c r="J16" s="204"/>
      <c r="K16" s="204"/>
      <c r="L16" s="204"/>
      <c r="M16" s="204"/>
      <c r="N16" s="204"/>
      <c r="O16" s="204"/>
      <c r="P16" s="204"/>
      <c r="Q16" s="204"/>
      <c r="R16" s="204"/>
      <c r="S16" s="204"/>
      <c r="T16" s="204"/>
      <c r="U16" s="204"/>
      <c r="V16" s="204"/>
      <c r="W16" s="204"/>
      <c r="X16" s="204"/>
      <c r="Y16" s="204"/>
      <c r="Z16" s="204"/>
      <c r="AA16" s="204"/>
      <c r="AB16" s="204"/>
      <c r="AC16" s="204"/>
      <c r="AD16" s="204"/>
    </row>
    <row r="17" spans="1:30">
      <c r="A17" s="205"/>
      <c r="B17" s="206"/>
      <c r="C17" s="207" t="s">
        <v>913</v>
      </c>
      <c r="D17" s="204"/>
      <c r="E17" s="204"/>
      <c r="F17" s="204"/>
      <c r="G17" s="204"/>
      <c r="H17" s="204"/>
      <c r="I17" s="204"/>
      <c r="J17" s="204"/>
      <c r="K17" s="204"/>
      <c r="L17" s="204"/>
      <c r="M17" s="204"/>
      <c r="N17" s="204"/>
      <c r="O17" s="204"/>
      <c r="P17" s="204"/>
      <c r="Q17" s="204"/>
      <c r="R17" s="204"/>
      <c r="S17" s="204"/>
      <c r="T17" s="204"/>
      <c r="U17" s="204"/>
      <c r="V17" s="204"/>
      <c r="W17" s="204"/>
      <c r="X17" s="204"/>
      <c r="Y17" s="204"/>
      <c r="Z17" s="204"/>
      <c r="AA17" s="204"/>
      <c r="AB17" s="204"/>
      <c r="AC17" s="204"/>
      <c r="AD17" s="204"/>
    </row>
    <row r="18" spans="1:30">
      <c r="A18" s="205"/>
      <c r="B18" s="206" t="s">
        <v>461</v>
      </c>
      <c r="C18" s="207" t="s">
        <v>914</v>
      </c>
      <c r="D18" s="204"/>
      <c r="E18" s="204">
        <v>0.53</v>
      </c>
      <c r="F18" s="204"/>
      <c r="G18" s="204"/>
      <c r="H18" s="204"/>
      <c r="I18" s="204"/>
      <c r="J18" s="204"/>
      <c r="K18" s="204"/>
      <c r="L18" s="204"/>
      <c r="M18" s="204"/>
      <c r="N18" s="204"/>
      <c r="O18" s="204"/>
      <c r="P18" s="204"/>
      <c r="Q18" s="204"/>
      <c r="R18" s="204"/>
      <c r="S18" s="204"/>
      <c r="T18" s="204"/>
      <c r="U18" s="204"/>
      <c r="V18" s="204"/>
      <c r="W18" s="204"/>
      <c r="X18" s="208">
        <f>E18/5</f>
        <v>0.106</v>
      </c>
      <c r="Y18" s="208">
        <f>X18</f>
        <v>0.106</v>
      </c>
      <c r="Z18" s="208">
        <f>Y18</f>
        <v>0.106</v>
      </c>
      <c r="AA18" s="208">
        <f>Z18</f>
        <v>0.106</v>
      </c>
      <c r="AB18" s="208">
        <f>AA18</f>
        <v>0.106</v>
      </c>
      <c r="AC18" s="204"/>
      <c r="AD18" s="204"/>
    </row>
    <row r="19" spans="1:30">
      <c r="A19" s="205"/>
      <c r="B19" s="206" t="s">
        <v>465</v>
      </c>
      <c r="C19" s="207" t="s">
        <v>27</v>
      </c>
      <c r="D19" s="204"/>
      <c r="E19" s="204">
        <v>1.66</v>
      </c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8">
        <f>E19/12</f>
        <v>0.138333333333333</v>
      </c>
      <c r="S19" s="208">
        <f>R19</f>
        <v>0.138333333333333</v>
      </c>
      <c r="T19" s="208">
        <f t="shared" ref="T19:AC20" si="3">S19</f>
        <v>0.138333333333333</v>
      </c>
      <c r="U19" s="208">
        <f t="shared" si="3"/>
        <v>0.138333333333333</v>
      </c>
      <c r="V19" s="208">
        <f t="shared" si="3"/>
        <v>0.138333333333333</v>
      </c>
      <c r="W19" s="208">
        <f t="shared" si="3"/>
        <v>0.138333333333333</v>
      </c>
      <c r="X19" s="208">
        <f t="shared" si="3"/>
        <v>0.138333333333333</v>
      </c>
      <c r="Y19" s="208">
        <f t="shared" si="3"/>
        <v>0.138333333333333</v>
      </c>
      <c r="Z19" s="208">
        <f t="shared" si="3"/>
        <v>0.138333333333333</v>
      </c>
      <c r="AA19" s="208">
        <f t="shared" si="3"/>
        <v>0.138333333333333</v>
      </c>
      <c r="AB19" s="208">
        <f t="shared" si="3"/>
        <v>0.138333333333333</v>
      </c>
      <c r="AC19" s="208">
        <f t="shared" si="3"/>
        <v>0.138333333333333</v>
      </c>
      <c r="AD19" s="204"/>
    </row>
    <row r="20" spans="1:30">
      <c r="A20" s="205"/>
      <c r="B20" s="206" t="s">
        <v>472</v>
      </c>
      <c r="C20" s="207" t="s">
        <v>29</v>
      </c>
      <c r="D20" s="204"/>
      <c r="E20" s="204">
        <v>1.89</v>
      </c>
      <c r="F20" s="204"/>
      <c r="G20" s="204"/>
      <c r="H20" s="204"/>
      <c r="I20" s="204"/>
      <c r="J20" s="204"/>
      <c r="K20" s="204"/>
      <c r="L20" s="204"/>
      <c r="M20" s="204"/>
      <c r="N20" s="204"/>
      <c r="O20" s="204"/>
      <c r="P20" s="204"/>
      <c r="Q20" s="204"/>
      <c r="R20" s="204"/>
      <c r="S20" s="204"/>
      <c r="T20" s="204"/>
      <c r="U20" s="204"/>
      <c r="V20" s="208">
        <f>E20/8</f>
        <v>0.23624999999999999</v>
      </c>
      <c r="W20" s="208">
        <f>V20</f>
        <v>0.23624999999999999</v>
      </c>
      <c r="X20" s="208">
        <f t="shared" si="3"/>
        <v>0.23624999999999999</v>
      </c>
      <c r="Y20" s="208">
        <f t="shared" si="3"/>
        <v>0.23624999999999999</v>
      </c>
      <c r="Z20" s="208">
        <f t="shared" si="3"/>
        <v>0.23624999999999999</v>
      </c>
      <c r="AA20" s="208">
        <f t="shared" si="3"/>
        <v>0.23624999999999999</v>
      </c>
      <c r="AB20" s="208">
        <f t="shared" si="3"/>
        <v>0.23624999999999999</v>
      </c>
      <c r="AC20" s="208">
        <f t="shared" si="3"/>
        <v>0.23624999999999999</v>
      </c>
      <c r="AD20" s="204"/>
    </row>
    <row r="21" spans="1:30">
      <c r="A21" s="200" t="s">
        <v>30</v>
      </c>
      <c r="B21" s="201" t="s">
        <v>31</v>
      </c>
      <c r="C21" s="207"/>
      <c r="D21" s="204"/>
      <c r="E21" s="204"/>
      <c r="F21" s="204"/>
      <c r="G21" s="204"/>
      <c r="H21" s="204"/>
      <c r="I21" s="204"/>
      <c r="J21" s="204"/>
      <c r="K21" s="204"/>
      <c r="L21" s="204"/>
      <c r="M21" s="204"/>
      <c r="N21" s="204"/>
      <c r="O21" s="204"/>
      <c r="P21" s="204"/>
      <c r="Q21" s="204"/>
      <c r="R21" s="204"/>
      <c r="S21" s="204"/>
      <c r="T21" s="204"/>
      <c r="U21" s="204"/>
      <c r="V21" s="204"/>
      <c r="W21" s="204"/>
      <c r="X21" s="204"/>
      <c r="Y21" s="204"/>
      <c r="Z21" s="204"/>
      <c r="AA21" s="204"/>
      <c r="AB21" s="204"/>
      <c r="AC21" s="204"/>
      <c r="AD21" s="204"/>
    </row>
    <row r="22" spans="1:30">
      <c r="A22" s="205"/>
      <c r="B22" s="206" t="s">
        <v>440</v>
      </c>
      <c r="C22" s="207" t="s">
        <v>33</v>
      </c>
      <c r="D22" s="204"/>
      <c r="E22" s="204">
        <v>50.37</v>
      </c>
      <c r="F22" s="204"/>
      <c r="G22" s="204"/>
      <c r="H22" s="204"/>
      <c r="I22" s="204"/>
      <c r="J22" s="204">
        <v>1.68</v>
      </c>
      <c r="K22" s="204">
        <f>J22</f>
        <v>1.68</v>
      </c>
      <c r="L22" s="204">
        <f>K22</f>
        <v>1.68</v>
      </c>
      <c r="M22" s="204">
        <f>L22</f>
        <v>1.68</v>
      </c>
      <c r="N22" s="208">
        <v>2.516</v>
      </c>
      <c r="O22" s="208">
        <f>N22</f>
        <v>2.516</v>
      </c>
      <c r="P22" s="204">
        <v>4.58</v>
      </c>
      <c r="Q22" s="204">
        <f>P22</f>
        <v>4.58</v>
      </c>
      <c r="R22" s="204">
        <f t="shared" ref="R22:U22" si="4">Q22</f>
        <v>4.58</v>
      </c>
      <c r="S22" s="204">
        <f t="shared" si="4"/>
        <v>4.58</v>
      </c>
      <c r="T22" s="204">
        <f t="shared" si="4"/>
        <v>4.58</v>
      </c>
      <c r="U22" s="204">
        <f t="shared" si="4"/>
        <v>4.58</v>
      </c>
      <c r="V22" s="204">
        <v>3.15</v>
      </c>
      <c r="W22" s="204">
        <f>V22</f>
        <v>3.15</v>
      </c>
      <c r="X22" s="204">
        <f>W22</f>
        <v>3.15</v>
      </c>
      <c r="Y22" s="204">
        <v>1.69</v>
      </c>
      <c r="Z22" s="204"/>
      <c r="AA22" s="204"/>
      <c r="AB22" s="204"/>
      <c r="AC22" s="204"/>
      <c r="AD22" s="204"/>
    </row>
    <row r="23" spans="1:30">
      <c r="A23" s="205"/>
      <c r="B23" s="206"/>
      <c r="C23" s="207" t="s">
        <v>915</v>
      </c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</row>
    <row r="24" spans="1:30">
      <c r="A24" s="205"/>
      <c r="B24" s="206"/>
      <c r="C24" s="207" t="s">
        <v>916</v>
      </c>
      <c r="D24" s="204"/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04"/>
      <c r="AA24" s="204"/>
      <c r="AB24" s="204"/>
      <c r="AC24" s="204"/>
      <c r="AD24" s="204"/>
    </row>
    <row r="25" spans="1:30">
      <c r="A25" s="205"/>
      <c r="B25" s="206"/>
      <c r="C25" s="207" t="s">
        <v>917</v>
      </c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</row>
    <row r="26" spans="1:30">
      <c r="A26" s="205"/>
      <c r="B26" s="206"/>
      <c r="C26" s="207" t="s">
        <v>918</v>
      </c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  <c r="AA26" s="204"/>
      <c r="AB26" s="204"/>
      <c r="AC26" s="204"/>
      <c r="AD26" s="204"/>
    </row>
    <row r="27" spans="1:30">
      <c r="A27" s="205"/>
      <c r="B27" s="206" t="s">
        <v>443</v>
      </c>
      <c r="C27" s="207" t="s">
        <v>35</v>
      </c>
      <c r="D27" s="204"/>
      <c r="E27" s="204">
        <v>13.8</v>
      </c>
      <c r="F27" s="204"/>
      <c r="G27" s="204"/>
      <c r="H27" s="204"/>
      <c r="I27" s="204"/>
      <c r="J27" s="204"/>
      <c r="K27" s="204"/>
      <c r="L27" s="204"/>
      <c r="M27" s="204"/>
      <c r="N27" s="204"/>
      <c r="O27" s="204"/>
      <c r="P27" s="204"/>
      <c r="Q27" s="204">
        <v>1.1499999999999999</v>
      </c>
      <c r="R27" s="204">
        <f>Q27</f>
        <v>1.1499999999999999</v>
      </c>
      <c r="S27" s="204">
        <f t="shared" ref="S27:AC30" si="5">R27</f>
        <v>1.1499999999999999</v>
      </c>
      <c r="T27" s="204">
        <f t="shared" si="5"/>
        <v>1.1499999999999999</v>
      </c>
      <c r="U27" s="204">
        <f t="shared" si="5"/>
        <v>1.1499999999999999</v>
      </c>
      <c r="V27" s="204">
        <f t="shared" si="5"/>
        <v>1.1499999999999999</v>
      </c>
      <c r="W27" s="204">
        <f t="shared" si="5"/>
        <v>1.1499999999999999</v>
      </c>
      <c r="X27" s="204">
        <f t="shared" si="5"/>
        <v>1.1499999999999999</v>
      </c>
      <c r="Y27" s="204">
        <f t="shared" si="5"/>
        <v>1.1499999999999999</v>
      </c>
      <c r="Z27" s="204">
        <f t="shared" si="5"/>
        <v>1.1499999999999999</v>
      </c>
      <c r="AA27" s="204">
        <f t="shared" si="5"/>
        <v>1.1499999999999999</v>
      </c>
      <c r="AB27" s="204">
        <f t="shared" si="5"/>
        <v>1.1499999999999999</v>
      </c>
      <c r="AC27" s="204"/>
      <c r="AD27" s="204"/>
    </row>
    <row r="28" spans="1:30">
      <c r="A28" s="205"/>
      <c r="B28" s="206" t="s">
        <v>452</v>
      </c>
      <c r="C28" s="207" t="s">
        <v>27</v>
      </c>
      <c r="D28" s="204"/>
      <c r="E28" s="204">
        <v>3.13</v>
      </c>
      <c r="F28" s="204"/>
      <c r="G28" s="204"/>
      <c r="H28" s="204"/>
      <c r="I28" s="204"/>
      <c r="J28" s="204"/>
      <c r="K28" s="204"/>
      <c r="L28" s="204"/>
      <c r="M28" s="204"/>
      <c r="N28" s="204"/>
      <c r="O28" s="204"/>
      <c r="P28" s="204"/>
      <c r="Q28" s="204"/>
      <c r="R28" s="204"/>
      <c r="S28" s="208">
        <f>E28/11</f>
        <v>0.28454545454545499</v>
      </c>
      <c r="T28" s="208">
        <f>S28</f>
        <v>0.28454545454545499</v>
      </c>
      <c r="U28" s="208">
        <f t="shared" si="5"/>
        <v>0.28454545454545499</v>
      </c>
      <c r="V28" s="208">
        <f t="shared" si="5"/>
        <v>0.28454545454545499</v>
      </c>
      <c r="W28" s="208">
        <f t="shared" si="5"/>
        <v>0.28454545454545499</v>
      </c>
      <c r="X28" s="208">
        <f t="shared" si="5"/>
        <v>0.28454545454545499</v>
      </c>
      <c r="Y28" s="208">
        <f t="shared" si="5"/>
        <v>0.28454545454545499</v>
      </c>
      <c r="Z28" s="208">
        <f t="shared" si="5"/>
        <v>0.28454545454545499</v>
      </c>
      <c r="AA28" s="208">
        <f t="shared" si="5"/>
        <v>0.28454545454545499</v>
      </c>
      <c r="AB28" s="208">
        <f t="shared" si="5"/>
        <v>0.28454545454545499</v>
      </c>
      <c r="AC28" s="208">
        <f t="shared" si="5"/>
        <v>0.28454545454545499</v>
      </c>
      <c r="AD28" s="204"/>
    </row>
    <row r="29" spans="1:30">
      <c r="A29" s="205"/>
      <c r="B29" s="206" t="s">
        <v>461</v>
      </c>
      <c r="C29" s="207" t="s">
        <v>29</v>
      </c>
      <c r="D29" s="204"/>
      <c r="E29" s="204">
        <v>3.86</v>
      </c>
      <c r="F29" s="204"/>
      <c r="G29" s="204"/>
      <c r="H29" s="204"/>
      <c r="I29" s="204"/>
      <c r="J29" s="204"/>
      <c r="K29" s="204"/>
      <c r="L29" s="204"/>
      <c r="M29" s="204"/>
      <c r="N29" s="204"/>
      <c r="O29" s="204"/>
      <c r="P29" s="204"/>
      <c r="Q29" s="204"/>
      <c r="R29" s="204"/>
      <c r="S29" s="204"/>
      <c r="T29" s="204"/>
      <c r="U29" s="208">
        <f>E29/9</f>
        <v>0.42888888888888899</v>
      </c>
      <c r="V29" s="208">
        <f>U29</f>
        <v>0.42888888888888899</v>
      </c>
      <c r="W29" s="208">
        <f t="shared" si="5"/>
        <v>0.42888888888888899</v>
      </c>
      <c r="X29" s="208">
        <f t="shared" si="5"/>
        <v>0.42888888888888899</v>
      </c>
      <c r="Y29" s="208">
        <f t="shared" si="5"/>
        <v>0.42888888888888899</v>
      </c>
      <c r="Z29" s="208">
        <f t="shared" si="5"/>
        <v>0.42888888888888899</v>
      </c>
      <c r="AA29" s="208">
        <f t="shared" si="5"/>
        <v>0.42888888888888899</v>
      </c>
      <c r="AB29" s="208">
        <f t="shared" si="5"/>
        <v>0.42888888888888899</v>
      </c>
      <c r="AC29" s="208">
        <f t="shared" si="5"/>
        <v>0.42888888888888899</v>
      </c>
      <c r="AD29" s="204"/>
    </row>
    <row r="30" spans="1:30">
      <c r="A30" s="205"/>
      <c r="B30" s="206" t="s">
        <v>465</v>
      </c>
      <c r="C30" s="207" t="s">
        <v>36</v>
      </c>
      <c r="D30" s="204"/>
      <c r="E30" s="204">
        <v>0.17</v>
      </c>
      <c r="F30" s="204"/>
      <c r="G30" s="204"/>
      <c r="H30" s="204"/>
      <c r="I30" s="204"/>
      <c r="J30" s="204"/>
      <c r="K30" s="204"/>
      <c r="L30" s="204"/>
      <c r="M30" s="204"/>
      <c r="N30" s="204"/>
      <c r="O30" s="204"/>
      <c r="P30" s="204"/>
      <c r="Q30" s="204"/>
      <c r="R30" s="204"/>
      <c r="S30" s="204"/>
      <c r="T30" s="204"/>
      <c r="U30" s="208"/>
      <c r="V30" s="208"/>
      <c r="W30" s="208"/>
      <c r="X30" s="208"/>
      <c r="Y30" s="208">
        <v>3.4000000000000002E-2</v>
      </c>
      <c r="Z30" s="208">
        <f>Y30</f>
        <v>3.4000000000000002E-2</v>
      </c>
      <c r="AA30" s="208">
        <f t="shared" si="5"/>
        <v>3.4000000000000002E-2</v>
      </c>
      <c r="AB30" s="208">
        <f t="shared" si="5"/>
        <v>3.4000000000000002E-2</v>
      </c>
      <c r="AC30" s="208">
        <f t="shared" si="5"/>
        <v>3.4000000000000002E-2</v>
      </c>
      <c r="AD30" s="204"/>
    </row>
    <row r="31" spans="1:30">
      <c r="A31" s="200" t="s">
        <v>37</v>
      </c>
      <c r="B31" s="201" t="s">
        <v>403</v>
      </c>
      <c r="C31" s="207"/>
      <c r="D31" s="204"/>
      <c r="E31" s="204"/>
      <c r="F31" s="204"/>
      <c r="G31" s="204"/>
      <c r="H31" s="204"/>
      <c r="I31" s="204"/>
      <c r="J31" s="204"/>
      <c r="K31" s="204"/>
      <c r="L31" s="204"/>
      <c r="M31" s="204"/>
      <c r="N31" s="204"/>
      <c r="O31" s="204"/>
      <c r="P31" s="204"/>
      <c r="Q31" s="204"/>
      <c r="R31" s="204"/>
      <c r="S31" s="204"/>
      <c r="T31" s="204"/>
      <c r="U31" s="204"/>
      <c r="V31" s="204"/>
      <c r="W31" s="204"/>
      <c r="X31" s="204"/>
      <c r="Y31" s="204"/>
      <c r="Z31" s="204"/>
      <c r="AA31" s="204"/>
      <c r="AB31" s="204"/>
      <c r="AC31" s="204"/>
      <c r="AD31" s="204"/>
    </row>
    <row r="32" spans="1:30">
      <c r="A32" s="205"/>
      <c r="B32" s="206" t="s">
        <v>440</v>
      </c>
      <c r="C32" s="207" t="s">
        <v>33</v>
      </c>
      <c r="D32" s="204"/>
      <c r="E32" s="204">
        <v>0.76</v>
      </c>
      <c r="F32" s="204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204"/>
      <c r="R32" s="204"/>
      <c r="S32" s="208">
        <f>E32/8</f>
        <v>9.5000000000000001E-2</v>
      </c>
      <c r="T32" s="208">
        <f>S32</f>
        <v>9.5000000000000001E-2</v>
      </c>
      <c r="U32" s="208">
        <f t="shared" ref="U32:AC35" si="6">T32</f>
        <v>9.5000000000000001E-2</v>
      </c>
      <c r="V32" s="208">
        <f t="shared" si="6"/>
        <v>9.5000000000000001E-2</v>
      </c>
      <c r="W32" s="208">
        <f t="shared" si="6"/>
        <v>9.5000000000000001E-2</v>
      </c>
      <c r="X32" s="208">
        <f t="shared" si="6"/>
        <v>9.5000000000000001E-2</v>
      </c>
      <c r="Y32" s="208">
        <f t="shared" si="6"/>
        <v>9.5000000000000001E-2</v>
      </c>
      <c r="Z32" s="208">
        <f t="shared" si="6"/>
        <v>9.5000000000000001E-2</v>
      </c>
      <c r="AA32" s="208"/>
      <c r="AB32" s="208"/>
      <c r="AC32" s="208"/>
      <c r="AD32" s="204"/>
    </row>
    <row r="33" spans="1:30">
      <c r="A33" s="205"/>
      <c r="B33" s="206" t="s">
        <v>443</v>
      </c>
      <c r="C33" s="207" t="s">
        <v>35</v>
      </c>
      <c r="D33" s="204"/>
      <c r="E33" s="204">
        <v>2.17</v>
      </c>
      <c r="F33" s="204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8"/>
      <c r="T33" s="208">
        <f>E33/10</f>
        <v>0.217</v>
      </c>
      <c r="U33" s="208">
        <f>T33</f>
        <v>0.217</v>
      </c>
      <c r="V33" s="208">
        <f t="shared" si="6"/>
        <v>0.217</v>
      </c>
      <c r="W33" s="208">
        <f t="shared" si="6"/>
        <v>0.217</v>
      </c>
      <c r="X33" s="208">
        <f t="shared" si="6"/>
        <v>0.217</v>
      </c>
      <c r="Y33" s="208">
        <f t="shared" si="6"/>
        <v>0.217</v>
      </c>
      <c r="Z33" s="208">
        <f t="shared" si="6"/>
        <v>0.217</v>
      </c>
      <c r="AA33" s="208">
        <f t="shared" si="6"/>
        <v>0.217</v>
      </c>
      <c r="AB33" s="208">
        <f t="shared" si="6"/>
        <v>0.217</v>
      </c>
      <c r="AC33" s="208">
        <f t="shared" si="6"/>
        <v>0.217</v>
      </c>
      <c r="AD33" s="204"/>
    </row>
    <row r="34" spans="1:30">
      <c r="A34" s="205"/>
      <c r="B34" s="206" t="s">
        <v>452</v>
      </c>
      <c r="C34" s="207" t="s">
        <v>27</v>
      </c>
      <c r="D34" s="204"/>
      <c r="E34" s="204">
        <v>0.23</v>
      </c>
      <c r="F34" s="204"/>
      <c r="G34" s="204"/>
      <c r="H34" s="204"/>
      <c r="I34" s="204"/>
      <c r="J34" s="204"/>
      <c r="K34" s="204"/>
      <c r="L34" s="204"/>
      <c r="M34" s="204"/>
      <c r="N34" s="204"/>
      <c r="O34" s="204"/>
      <c r="P34" s="204"/>
      <c r="Q34" s="204"/>
      <c r="R34" s="204"/>
      <c r="S34" s="208"/>
      <c r="T34" s="208"/>
      <c r="U34" s="208"/>
      <c r="V34" s="208">
        <f>E34/8</f>
        <v>2.8750000000000001E-2</v>
      </c>
      <c r="W34" s="208">
        <f>V34</f>
        <v>2.8750000000000001E-2</v>
      </c>
      <c r="X34" s="208">
        <f t="shared" si="6"/>
        <v>2.8750000000000001E-2</v>
      </c>
      <c r="Y34" s="208">
        <f t="shared" si="6"/>
        <v>2.8750000000000001E-2</v>
      </c>
      <c r="Z34" s="208">
        <f t="shared" si="6"/>
        <v>2.8750000000000001E-2</v>
      </c>
      <c r="AA34" s="208">
        <f t="shared" si="6"/>
        <v>2.8750000000000001E-2</v>
      </c>
      <c r="AB34" s="208">
        <f t="shared" si="6"/>
        <v>2.8750000000000001E-2</v>
      </c>
      <c r="AC34" s="208">
        <f t="shared" si="6"/>
        <v>2.8750000000000001E-2</v>
      </c>
      <c r="AD34" s="204"/>
    </row>
    <row r="35" spans="1:30">
      <c r="A35" s="205"/>
      <c r="B35" s="206" t="s">
        <v>461</v>
      </c>
      <c r="C35" s="207" t="s">
        <v>29</v>
      </c>
      <c r="D35" s="204"/>
      <c r="E35" s="204">
        <v>0.3</v>
      </c>
      <c r="F35" s="204"/>
      <c r="G35" s="204"/>
      <c r="H35" s="204"/>
      <c r="I35" s="204"/>
      <c r="J35" s="204"/>
      <c r="K35" s="204"/>
      <c r="L35" s="204"/>
      <c r="M35" s="204"/>
      <c r="N35" s="204"/>
      <c r="O35" s="204"/>
      <c r="P35" s="204"/>
      <c r="Q35" s="204"/>
      <c r="R35" s="204"/>
      <c r="S35" s="204"/>
      <c r="T35" s="204"/>
      <c r="U35" s="204"/>
      <c r="V35" s="204"/>
      <c r="W35" s="208">
        <f>E35/7</f>
        <v>4.2857142857142899E-2</v>
      </c>
      <c r="X35" s="208">
        <f>W35</f>
        <v>4.2857142857142899E-2</v>
      </c>
      <c r="Y35" s="208">
        <f t="shared" si="6"/>
        <v>4.2857142857142899E-2</v>
      </c>
      <c r="Z35" s="208">
        <f t="shared" si="6"/>
        <v>4.2857142857142899E-2</v>
      </c>
      <c r="AA35" s="208">
        <f t="shared" si="6"/>
        <v>4.2857142857142899E-2</v>
      </c>
      <c r="AB35" s="208">
        <f t="shared" si="6"/>
        <v>4.2857142857142899E-2</v>
      </c>
      <c r="AC35" s="208">
        <f t="shared" si="6"/>
        <v>4.2857142857142899E-2</v>
      </c>
      <c r="AD35" s="204"/>
    </row>
    <row r="36" spans="1:30">
      <c r="A36" s="200" t="s">
        <v>38</v>
      </c>
      <c r="B36" s="201" t="s">
        <v>919</v>
      </c>
      <c r="C36" s="207"/>
      <c r="D36" s="204"/>
      <c r="E36" s="204"/>
      <c r="F36" s="204"/>
      <c r="G36" s="204"/>
      <c r="H36" s="204"/>
      <c r="I36" s="204"/>
      <c r="J36" s="204"/>
      <c r="K36" s="204"/>
      <c r="L36" s="204"/>
      <c r="M36" s="204"/>
      <c r="N36" s="204"/>
      <c r="O36" s="204"/>
      <c r="P36" s="204"/>
      <c r="Q36" s="204"/>
      <c r="R36" s="204"/>
      <c r="S36" s="204"/>
      <c r="T36" s="204"/>
      <c r="U36" s="204"/>
      <c r="V36" s="204"/>
      <c r="W36" s="204"/>
      <c r="X36" s="204"/>
      <c r="Y36" s="204"/>
      <c r="Z36" s="204"/>
      <c r="AA36" s="204"/>
      <c r="AB36" s="204"/>
      <c r="AC36" s="204"/>
      <c r="AD36" s="204"/>
    </row>
    <row r="37" spans="1:30">
      <c r="A37" s="205"/>
      <c r="B37" s="206" t="s">
        <v>440</v>
      </c>
      <c r="C37" s="207" t="s">
        <v>35</v>
      </c>
      <c r="D37" s="204"/>
      <c r="E37" s="204">
        <v>1.1100000000000001</v>
      </c>
      <c r="F37" s="204"/>
      <c r="G37" s="204"/>
      <c r="H37" s="204"/>
      <c r="I37" s="204"/>
      <c r="J37" s="204"/>
      <c r="K37" s="204"/>
      <c r="L37" s="204"/>
      <c r="M37" s="204"/>
      <c r="N37" s="204"/>
      <c r="O37" s="204"/>
      <c r="P37" s="204"/>
      <c r="Q37" s="204"/>
      <c r="R37" s="204"/>
      <c r="S37" s="204"/>
      <c r="T37" s="204"/>
      <c r="U37" s="208">
        <f>E37/9</f>
        <v>0.123333333333333</v>
      </c>
      <c r="V37" s="208">
        <f>U37</f>
        <v>0.123333333333333</v>
      </c>
      <c r="W37" s="208">
        <f t="shared" ref="W37:AC38" si="7">V37</f>
        <v>0.123333333333333</v>
      </c>
      <c r="X37" s="208">
        <f t="shared" si="7"/>
        <v>0.123333333333333</v>
      </c>
      <c r="Y37" s="208">
        <f t="shared" si="7"/>
        <v>0.123333333333333</v>
      </c>
      <c r="Z37" s="208">
        <f t="shared" si="7"/>
        <v>0.123333333333333</v>
      </c>
      <c r="AA37" s="208">
        <f t="shared" si="7"/>
        <v>0.123333333333333</v>
      </c>
      <c r="AB37" s="208">
        <f t="shared" si="7"/>
        <v>0.123333333333333</v>
      </c>
      <c r="AC37" s="208">
        <f t="shared" si="7"/>
        <v>0.123333333333333</v>
      </c>
      <c r="AD37" s="204"/>
    </row>
    <row r="38" spans="1:30">
      <c r="A38" s="205"/>
      <c r="B38" s="206" t="s">
        <v>443</v>
      </c>
      <c r="C38" s="207" t="s">
        <v>29</v>
      </c>
      <c r="D38" s="204"/>
      <c r="E38" s="204">
        <v>0.11</v>
      </c>
      <c r="F38" s="204"/>
      <c r="G38" s="204"/>
      <c r="H38" s="204"/>
      <c r="I38" s="204"/>
      <c r="J38" s="204"/>
      <c r="K38" s="204"/>
      <c r="L38" s="204"/>
      <c r="M38" s="204"/>
      <c r="N38" s="204"/>
      <c r="O38" s="204"/>
      <c r="P38" s="204"/>
      <c r="Q38" s="204"/>
      <c r="R38" s="204"/>
      <c r="S38" s="204"/>
      <c r="T38" s="204"/>
      <c r="U38" s="204"/>
      <c r="V38" s="204"/>
      <c r="W38" s="204"/>
      <c r="X38" s="208">
        <f>E38/5</f>
        <v>2.1999999999999999E-2</v>
      </c>
      <c r="Y38" s="208">
        <f>X38</f>
        <v>2.1999999999999999E-2</v>
      </c>
      <c r="Z38" s="208">
        <f t="shared" si="7"/>
        <v>2.1999999999999999E-2</v>
      </c>
      <c r="AA38" s="208">
        <f t="shared" si="7"/>
        <v>2.1999999999999999E-2</v>
      </c>
      <c r="AB38" s="208">
        <f t="shared" si="7"/>
        <v>2.1999999999999999E-2</v>
      </c>
      <c r="AC38" s="204"/>
      <c r="AD38" s="204"/>
    </row>
    <row r="39" spans="1:30">
      <c r="A39" s="200" t="s">
        <v>39</v>
      </c>
      <c r="B39" s="201" t="s">
        <v>519</v>
      </c>
      <c r="C39" s="207"/>
      <c r="D39" s="204"/>
      <c r="E39" s="204"/>
      <c r="F39" s="204"/>
      <c r="G39" s="204"/>
      <c r="H39" s="204"/>
      <c r="I39" s="204"/>
      <c r="J39" s="204"/>
      <c r="K39" s="204"/>
      <c r="L39" s="204"/>
      <c r="M39" s="204"/>
      <c r="N39" s="204"/>
      <c r="O39" s="204"/>
      <c r="P39" s="204"/>
      <c r="Q39" s="204"/>
      <c r="R39" s="204"/>
      <c r="S39" s="204"/>
      <c r="T39" s="204"/>
      <c r="U39" s="204"/>
      <c r="V39" s="204"/>
      <c r="W39" s="204"/>
      <c r="X39" s="204"/>
      <c r="Y39" s="204"/>
      <c r="Z39" s="204"/>
      <c r="AA39" s="204"/>
      <c r="AB39" s="204"/>
      <c r="AC39" s="204"/>
      <c r="AD39" s="204"/>
    </row>
    <row r="40" spans="1:30">
      <c r="A40" s="205"/>
      <c r="B40" s="206" t="s">
        <v>440</v>
      </c>
      <c r="C40" s="207" t="s">
        <v>40</v>
      </c>
      <c r="D40" s="204"/>
      <c r="E40" s="204">
        <v>0.36</v>
      </c>
      <c r="F40" s="204"/>
      <c r="G40" s="204"/>
      <c r="H40" s="204"/>
      <c r="I40" s="204"/>
      <c r="J40" s="204"/>
      <c r="K40" s="204"/>
      <c r="L40" s="204"/>
      <c r="M40" s="208">
        <f>E40/11</f>
        <v>3.2727272727272702E-2</v>
      </c>
      <c r="N40" s="208">
        <f>M40</f>
        <v>3.2727272727272702E-2</v>
      </c>
      <c r="O40" s="208">
        <f t="shared" ref="O40:W40" si="8">N40</f>
        <v>3.2727272727272702E-2</v>
      </c>
      <c r="P40" s="208">
        <f t="shared" si="8"/>
        <v>3.2727272727272702E-2</v>
      </c>
      <c r="Q40" s="208">
        <f t="shared" si="8"/>
        <v>3.2727272727272702E-2</v>
      </c>
      <c r="R40" s="208">
        <f t="shared" si="8"/>
        <v>3.2727272727272702E-2</v>
      </c>
      <c r="S40" s="208">
        <f t="shared" si="8"/>
        <v>3.2727272727272702E-2</v>
      </c>
      <c r="T40" s="208">
        <f t="shared" si="8"/>
        <v>3.2727272727272702E-2</v>
      </c>
      <c r="U40" s="208">
        <f t="shared" si="8"/>
        <v>3.2727272727272702E-2</v>
      </c>
      <c r="V40" s="208">
        <f t="shared" si="8"/>
        <v>3.2727272727272702E-2</v>
      </c>
      <c r="W40" s="208">
        <f t="shared" si="8"/>
        <v>3.2727272727272702E-2</v>
      </c>
      <c r="X40" s="204"/>
      <c r="Y40" s="204"/>
      <c r="Z40" s="204"/>
      <c r="AA40" s="204"/>
      <c r="AB40" s="204"/>
      <c r="AC40" s="204"/>
      <c r="AD40" s="204"/>
    </row>
    <row r="41" spans="1:30">
      <c r="A41" s="205"/>
      <c r="B41" s="206"/>
      <c r="C41" s="207" t="s">
        <v>920</v>
      </c>
      <c r="D41" s="204"/>
      <c r="E41" s="204"/>
      <c r="F41" s="204"/>
      <c r="G41" s="204"/>
      <c r="H41" s="204"/>
      <c r="I41" s="204"/>
      <c r="J41" s="204"/>
      <c r="K41" s="204"/>
      <c r="L41" s="204"/>
      <c r="M41" s="204"/>
      <c r="N41" s="204"/>
      <c r="O41" s="204"/>
      <c r="P41" s="204"/>
      <c r="Q41" s="204"/>
      <c r="R41" s="204"/>
      <c r="S41" s="204"/>
      <c r="T41" s="204"/>
      <c r="U41" s="204"/>
      <c r="V41" s="204"/>
      <c r="W41" s="204"/>
      <c r="X41" s="204"/>
      <c r="Y41" s="204"/>
      <c r="Z41" s="204"/>
      <c r="AA41" s="204"/>
      <c r="AB41" s="204"/>
      <c r="AC41" s="204"/>
      <c r="AD41" s="204"/>
    </row>
    <row r="42" spans="1:30">
      <c r="A42" s="209"/>
      <c r="B42" s="210"/>
      <c r="C42" s="211"/>
      <c r="D42" s="212" t="s">
        <v>921</v>
      </c>
      <c r="E42" s="213">
        <f>SUM(E10:E41)</f>
        <v>100</v>
      </c>
      <c r="F42" s="213">
        <f t="shared" ref="F42:AC42" si="9">SUM(F10:F41)</f>
        <v>0.04</v>
      </c>
      <c r="G42" s="213">
        <f t="shared" si="9"/>
        <v>0.08</v>
      </c>
      <c r="H42" s="213">
        <f t="shared" si="9"/>
        <v>0.16400000000000001</v>
      </c>
      <c r="I42" s="213">
        <f t="shared" si="9"/>
        <v>0.55400000000000005</v>
      </c>
      <c r="J42" s="213">
        <f t="shared" si="9"/>
        <v>2.7440000000000002</v>
      </c>
      <c r="K42" s="213">
        <f t="shared" si="9"/>
        <v>2.8639999999999999</v>
      </c>
      <c r="L42" s="213">
        <f t="shared" si="9"/>
        <v>3.0529999999999999</v>
      </c>
      <c r="M42" s="213">
        <f t="shared" si="9"/>
        <v>3.08572727272727</v>
      </c>
      <c r="N42" s="213">
        <f t="shared" si="9"/>
        <v>4.0017272727272699</v>
      </c>
      <c r="O42" s="213">
        <f t="shared" si="9"/>
        <v>4.0017272727272699</v>
      </c>
      <c r="P42" s="213">
        <f t="shared" si="9"/>
        <v>5.8467272727272697</v>
      </c>
      <c r="Q42" s="213">
        <f t="shared" si="9"/>
        <v>6.7565734265734303</v>
      </c>
      <c r="R42" s="213">
        <f t="shared" si="9"/>
        <v>6.8949067599067604</v>
      </c>
      <c r="S42" s="213">
        <f t="shared" si="9"/>
        <v>7.2744522144522099</v>
      </c>
      <c r="T42" s="213">
        <f t="shared" si="9"/>
        <v>7.22145221445221</v>
      </c>
      <c r="U42" s="213">
        <f t="shared" si="9"/>
        <v>7.7736744366744404</v>
      </c>
      <c r="V42" s="213">
        <f t="shared" si="9"/>
        <v>6.6086744366744297</v>
      </c>
      <c r="W42" s="213">
        <f t="shared" si="9"/>
        <v>6.6515315795315804</v>
      </c>
      <c r="X42" s="213">
        <f t="shared" si="9"/>
        <v>6.74680430680431</v>
      </c>
      <c r="Y42" s="213">
        <f t="shared" si="9"/>
        <v>5.3208043068043098</v>
      </c>
      <c r="Z42" s="213">
        <f t="shared" si="9"/>
        <v>3.6308043068043099</v>
      </c>
      <c r="AA42" s="213">
        <f t="shared" si="9"/>
        <v>3.4058043068043098</v>
      </c>
      <c r="AB42" s="213">
        <f t="shared" si="9"/>
        <v>3.3658043068043102</v>
      </c>
      <c r="AC42" s="213">
        <f t="shared" si="9"/>
        <v>1.91780430680431</v>
      </c>
      <c r="AD42" s="214"/>
    </row>
    <row r="43" spans="1:30">
      <c r="A43" s="214"/>
      <c r="B43" s="210"/>
      <c r="C43" s="211"/>
      <c r="D43" s="212" t="s">
        <v>922</v>
      </c>
      <c r="E43" s="214"/>
      <c r="F43" s="213">
        <f>F42</f>
        <v>0.04</v>
      </c>
      <c r="G43" s="213">
        <f>F43+G42</f>
        <v>0.12</v>
      </c>
      <c r="H43" s="213">
        <f t="shared" ref="H43:AC43" si="10">G43+H42</f>
        <v>0.28399999999999997</v>
      </c>
      <c r="I43" s="213">
        <f t="shared" si="10"/>
        <v>0.83799999999999997</v>
      </c>
      <c r="J43" s="213">
        <f t="shared" si="10"/>
        <v>3.5819999999999999</v>
      </c>
      <c r="K43" s="213">
        <f t="shared" si="10"/>
        <v>6.4459999999999997</v>
      </c>
      <c r="L43" s="213">
        <f t="shared" si="10"/>
        <v>9.4990000000000006</v>
      </c>
      <c r="M43" s="213">
        <f t="shared" si="10"/>
        <v>12.584727272727299</v>
      </c>
      <c r="N43" s="213">
        <f t="shared" si="10"/>
        <v>16.586454545454501</v>
      </c>
      <c r="O43" s="213">
        <f t="shared" si="10"/>
        <v>20.588181818181798</v>
      </c>
      <c r="P43" s="213">
        <f t="shared" si="10"/>
        <v>26.434909090909098</v>
      </c>
      <c r="Q43" s="213">
        <f t="shared" si="10"/>
        <v>33.191482517482498</v>
      </c>
      <c r="R43" s="213">
        <f t="shared" si="10"/>
        <v>40.086389277389301</v>
      </c>
      <c r="S43" s="213">
        <f t="shared" si="10"/>
        <v>47.360841491841498</v>
      </c>
      <c r="T43" s="213">
        <f t="shared" si="10"/>
        <v>54.582293706293697</v>
      </c>
      <c r="U43" s="213">
        <f t="shared" si="10"/>
        <v>62.355968142968102</v>
      </c>
      <c r="V43" s="213">
        <f t="shared" si="10"/>
        <v>68.9646425796426</v>
      </c>
      <c r="W43" s="213">
        <f t="shared" si="10"/>
        <v>75.616174159174193</v>
      </c>
      <c r="X43" s="213">
        <f t="shared" si="10"/>
        <v>82.3629784659785</v>
      </c>
      <c r="Y43" s="213">
        <f t="shared" si="10"/>
        <v>87.683782772782806</v>
      </c>
      <c r="Z43" s="213">
        <f t="shared" si="10"/>
        <v>91.314587079587099</v>
      </c>
      <c r="AA43" s="213">
        <f t="shared" si="10"/>
        <v>94.720391386391398</v>
      </c>
      <c r="AB43" s="213">
        <f t="shared" si="10"/>
        <v>98.086195693195705</v>
      </c>
      <c r="AC43" s="213">
        <f t="shared" si="10"/>
        <v>100.004</v>
      </c>
      <c r="AD43" s="204"/>
    </row>
    <row r="44" spans="1:30">
      <c r="A44" s="204"/>
      <c r="B44" s="206"/>
      <c r="C44" s="215"/>
      <c r="D44" s="216" t="s">
        <v>923</v>
      </c>
      <c r="E44" s="204"/>
      <c r="F44" s="204">
        <v>0.04</v>
      </c>
      <c r="G44" s="204">
        <f>G45-F45</f>
        <v>1.1599999999999999</v>
      </c>
      <c r="H44" s="208">
        <v>0.18</v>
      </c>
      <c r="I44" s="204"/>
      <c r="J44" s="204"/>
      <c r="K44" s="204"/>
      <c r="L44" s="204"/>
      <c r="M44" s="204"/>
      <c r="N44" s="204"/>
      <c r="O44" s="204"/>
      <c r="P44" s="204"/>
      <c r="Q44" s="204"/>
      <c r="R44" s="204"/>
      <c r="S44" s="204"/>
      <c r="T44" s="204"/>
      <c r="U44" s="204"/>
      <c r="V44" s="204"/>
      <c r="W44" s="204"/>
      <c r="X44" s="204"/>
      <c r="Y44" s="204"/>
      <c r="Z44" s="204"/>
      <c r="AA44" s="204"/>
      <c r="AB44" s="204"/>
      <c r="AC44" s="204"/>
      <c r="AD44" s="204"/>
    </row>
    <row r="45" spans="1:30">
      <c r="A45" s="204"/>
      <c r="B45" s="206"/>
      <c r="C45" s="215"/>
      <c r="D45" s="216" t="s">
        <v>924</v>
      </c>
      <c r="E45" s="204"/>
      <c r="F45" s="204">
        <f>F44</f>
        <v>0.04</v>
      </c>
      <c r="G45" s="204">
        <v>1.2</v>
      </c>
      <c r="H45" s="208">
        <f>G45+H44</f>
        <v>1.38</v>
      </c>
      <c r="I45" s="204"/>
      <c r="J45" s="204"/>
      <c r="K45" s="204"/>
      <c r="L45" s="204"/>
      <c r="M45" s="204"/>
      <c r="N45" s="204"/>
      <c r="O45" s="204"/>
      <c r="P45" s="204"/>
      <c r="Q45" s="204"/>
      <c r="R45" s="204"/>
      <c r="S45" s="204"/>
      <c r="T45" s="204"/>
      <c r="U45" s="204"/>
      <c r="V45" s="204"/>
      <c r="W45" s="204"/>
      <c r="X45" s="204"/>
      <c r="Y45" s="204"/>
      <c r="Z45" s="204"/>
      <c r="AA45" s="204"/>
      <c r="AB45" s="204"/>
      <c r="AC45" s="204"/>
      <c r="AD45" s="204"/>
    </row>
    <row r="46" spans="1:30">
      <c r="A46" s="204"/>
      <c r="B46" s="206"/>
      <c r="C46" s="215"/>
      <c r="D46" s="216" t="s">
        <v>925</v>
      </c>
      <c r="E46" s="204"/>
      <c r="F46" s="217">
        <f>F43-F45</f>
        <v>0</v>
      </c>
      <c r="G46" s="217">
        <f>G45-G43</f>
        <v>1.08</v>
      </c>
      <c r="H46" s="217">
        <f>H45-H43</f>
        <v>1.0959999999999999</v>
      </c>
      <c r="I46" s="204"/>
      <c r="J46" s="204"/>
      <c r="K46" s="204"/>
      <c r="L46" s="204"/>
      <c r="M46" s="204"/>
      <c r="N46" s="204"/>
      <c r="O46" s="204"/>
      <c r="P46" s="204"/>
      <c r="Q46" s="204"/>
      <c r="R46" s="204"/>
      <c r="S46" s="204"/>
      <c r="T46" s="204"/>
      <c r="U46" s="204"/>
      <c r="V46" s="204"/>
      <c r="W46" s="204"/>
      <c r="X46" s="204"/>
      <c r="Y46" s="204"/>
      <c r="Z46" s="204"/>
      <c r="AA46" s="204"/>
      <c r="AB46" s="204"/>
      <c r="AC46" s="204"/>
      <c r="AD46" s="204"/>
    </row>
  </sheetData>
  <mergeCells count="12">
    <mergeCell ref="A4:AD4"/>
    <mergeCell ref="A5:AD5"/>
    <mergeCell ref="F7:AC7"/>
    <mergeCell ref="F8:H8"/>
    <mergeCell ref="I8:L8"/>
    <mergeCell ref="M8:P8"/>
    <mergeCell ref="Q8:U8"/>
    <mergeCell ref="V8:Z8"/>
    <mergeCell ref="AA8:AC8"/>
    <mergeCell ref="A7:A9"/>
    <mergeCell ref="AD7:AD9"/>
    <mergeCell ref="B7:D9"/>
  </mergeCells>
  <pageMargins left="0.70866141732283472" right="0.70866141732283472" top="0.74803149606299213" bottom="0.74803149606299213" header="0.31496062992125984" footer="0.31496062992125984"/>
  <pageSetup paperSize="8" scale="72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B1:R74"/>
  <sheetViews>
    <sheetView topLeftCell="A4" workbookViewId="0">
      <selection activeCell="U21" sqref="U21"/>
    </sheetView>
  </sheetViews>
  <sheetFormatPr defaultColWidth="9.109375" defaultRowHeight="14.4"/>
  <cols>
    <col min="1" max="1" width="2.109375" style="147" customWidth="1"/>
    <col min="2" max="2" width="9.109375" style="147"/>
    <col min="3" max="3" width="3.77734375" style="147" customWidth="1"/>
    <col min="4" max="4" width="2.109375" style="147" customWidth="1"/>
    <col min="5" max="5" width="46.6640625" style="147" customWidth="1"/>
    <col min="6" max="6" width="6.88671875" style="147" customWidth="1"/>
    <col min="7" max="7" width="4.21875" style="147" customWidth="1"/>
    <col min="8" max="8" width="1.33203125" style="147" customWidth="1"/>
    <col min="9" max="9" width="9.109375" style="147"/>
    <col min="10" max="10" width="23.88671875" style="147" customWidth="1"/>
    <col min="11" max="11" width="2.5546875" style="147" customWidth="1"/>
    <col min="12" max="12" width="9.77734375" style="147" customWidth="1"/>
    <col min="13" max="13" width="9.109375" style="147" hidden="1" customWidth="1"/>
    <col min="14" max="14" width="2.88671875" style="147" hidden="1" customWidth="1"/>
    <col min="15" max="15" width="0.6640625" style="147" hidden="1" customWidth="1"/>
    <col min="16" max="16" width="9.109375" style="147" hidden="1" customWidth="1"/>
    <col min="17" max="17" width="3.21875" style="147" hidden="1" customWidth="1"/>
    <col min="18" max="18" width="5.109375" style="147" customWidth="1"/>
    <col min="19" max="16384" width="9.109375" style="147"/>
  </cols>
  <sheetData>
    <row r="1" spans="2:18">
      <c r="B1" s="2246"/>
      <c r="C1" s="2246"/>
      <c r="D1" s="2246"/>
      <c r="E1" s="2246"/>
    </row>
    <row r="2" spans="2:18">
      <c r="B2" s="2246"/>
      <c r="C2" s="2246"/>
      <c r="D2" s="2246"/>
      <c r="E2" s="2246"/>
    </row>
    <row r="3" spans="2:18">
      <c r="B3" s="148"/>
      <c r="C3" s="148"/>
      <c r="D3" s="148"/>
      <c r="E3" s="149"/>
      <c r="F3" s="2254"/>
      <c r="G3" s="2254"/>
      <c r="H3" s="2254"/>
      <c r="I3" s="2254"/>
      <c r="J3" s="150"/>
      <c r="K3" s="150"/>
      <c r="L3" s="151"/>
    </row>
    <row r="4" spans="2:18">
      <c r="B4" s="148"/>
      <c r="C4" s="148"/>
      <c r="D4" s="148"/>
      <c r="E4" s="149"/>
      <c r="F4" s="2255"/>
      <c r="G4" s="2255"/>
      <c r="H4" s="2255"/>
      <c r="I4" s="2255"/>
      <c r="J4" s="152"/>
      <c r="K4" s="152"/>
      <c r="L4" s="151"/>
    </row>
    <row r="6" spans="2:18" ht="25.8">
      <c r="B6" s="2256" t="s">
        <v>926</v>
      </c>
      <c r="C6" s="2256"/>
      <c r="D6" s="2256"/>
      <c r="E6" s="2256"/>
      <c r="F6" s="2256"/>
      <c r="G6" s="2256"/>
      <c r="H6" s="2256"/>
      <c r="I6" s="2256"/>
      <c r="J6" s="2256"/>
      <c r="K6" s="2256"/>
      <c r="L6" s="2256"/>
    </row>
    <row r="7" spans="2:18" ht="12.6" customHeight="1">
      <c r="B7" s="153"/>
      <c r="C7" s="153"/>
      <c r="D7" s="153"/>
      <c r="E7" s="153"/>
      <c r="F7" s="153"/>
      <c r="G7" s="153"/>
      <c r="H7" s="153"/>
      <c r="I7" s="153"/>
      <c r="J7" s="153"/>
      <c r="K7" s="153"/>
      <c r="L7" s="153"/>
    </row>
    <row r="8" spans="2:18" s="145" customFormat="1">
      <c r="B8" s="154" t="s">
        <v>927</v>
      </c>
      <c r="D8" s="155" t="s">
        <v>928</v>
      </c>
      <c r="E8" s="156">
        <v>3</v>
      </c>
    </row>
    <row r="9" spans="2:18" s="145" customFormat="1">
      <c r="B9" s="154" t="s">
        <v>929</v>
      </c>
      <c r="D9" s="155" t="s">
        <v>928</v>
      </c>
      <c r="E9" s="2064" t="s">
        <v>930</v>
      </c>
    </row>
    <row r="10" spans="2:18" s="145" customFormat="1">
      <c r="B10" s="154" t="s">
        <v>931</v>
      </c>
      <c r="D10" s="155" t="s">
        <v>928</v>
      </c>
      <c r="E10" s="146" t="s">
        <v>932</v>
      </c>
      <c r="J10" s="145" t="s">
        <v>933</v>
      </c>
      <c r="K10" s="155" t="s">
        <v>928</v>
      </c>
      <c r="L10" s="157">
        <v>0</v>
      </c>
      <c r="R10" s="155" t="s">
        <v>902</v>
      </c>
    </row>
    <row r="11" spans="2:18" s="145" customFormat="1">
      <c r="B11" s="154" t="s">
        <v>934</v>
      </c>
      <c r="D11" s="155" t="s">
        <v>928</v>
      </c>
      <c r="E11" s="146" t="s">
        <v>935</v>
      </c>
      <c r="J11" s="145" t="s">
        <v>936</v>
      </c>
      <c r="K11" s="155" t="s">
        <v>928</v>
      </c>
      <c r="L11" s="157">
        <f>'KURVA-S'!H43</f>
        <v>0.28399999999999997</v>
      </c>
      <c r="R11" s="155" t="s">
        <v>902</v>
      </c>
    </row>
    <row r="12" spans="2:18" s="145" customFormat="1">
      <c r="B12" s="158" t="s">
        <v>937</v>
      </c>
      <c r="D12" s="155" t="s">
        <v>928</v>
      </c>
      <c r="E12" s="146" t="s">
        <v>938</v>
      </c>
      <c r="J12" s="145" t="s">
        <v>939</v>
      </c>
      <c r="K12" s="155" t="s">
        <v>928</v>
      </c>
      <c r="L12" s="157">
        <f>'KURVA-S'!H45</f>
        <v>1.38</v>
      </c>
      <c r="R12" s="155" t="s">
        <v>902</v>
      </c>
    </row>
    <row r="13" spans="2:18" s="145" customFormat="1">
      <c r="B13" s="158" t="s">
        <v>940</v>
      </c>
      <c r="D13" s="155" t="s">
        <v>928</v>
      </c>
      <c r="E13" s="146"/>
      <c r="J13" s="145" t="s">
        <v>941</v>
      </c>
      <c r="K13" s="155" t="s">
        <v>928</v>
      </c>
      <c r="L13" s="159">
        <f>L12-L11</f>
        <v>1.0959999999999999</v>
      </c>
      <c r="R13" s="155" t="s">
        <v>902</v>
      </c>
    </row>
    <row r="14" spans="2:18" ht="12" customHeight="1">
      <c r="E14"/>
    </row>
    <row r="15" spans="2:18">
      <c r="B15" s="160"/>
      <c r="C15" s="161"/>
      <c r="D15" s="161"/>
      <c r="E15" s="162"/>
      <c r="F15" s="161"/>
      <c r="G15" s="161"/>
      <c r="H15" s="161"/>
      <c r="I15" s="161"/>
      <c r="J15" s="161"/>
      <c r="K15" s="161"/>
      <c r="L15" s="161"/>
      <c r="M15" s="161"/>
      <c r="N15" s="161"/>
      <c r="O15" s="161"/>
      <c r="P15" s="161"/>
      <c r="Q15" s="161"/>
      <c r="R15" s="163"/>
    </row>
    <row r="16" spans="2:18">
      <c r="B16" s="164"/>
      <c r="E16" s="165"/>
      <c r="R16" s="166"/>
    </row>
    <row r="17" spans="2:18">
      <c r="B17" s="164"/>
      <c r="E17" s="165"/>
      <c r="L17"/>
      <c r="R17" s="166"/>
    </row>
    <row r="18" spans="2:18">
      <c r="B18" s="164"/>
      <c r="E18" s="167"/>
      <c r="R18" s="166"/>
    </row>
    <row r="19" spans="2:18">
      <c r="B19" s="164"/>
      <c r="E19" s="165"/>
      <c r="R19" s="166"/>
    </row>
    <row r="20" spans="2:18">
      <c r="B20" s="164"/>
      <c r="E20" s="165"/>
      <c r="R20" s="166"/>
    </row>
    <row r="21" spans="2:18">
      <c r="B21" s="164"/>
      <c r="E21" s="165"/>
      <c r="R21" s="166"/>
    </row>
    <row r="22" spans="2:18">
      <c r="B22" s="164"/>
      <c r="E22" s="165"/>
      <c r="R22" s="166"/>
    </row>
    <row r="23" spans="2:18">
      <c r="B23" s="164"/>
      <c r="E23" s="165"/>
      <c r="R23" s="166"/>
    </row>
    <row r="24" spans="2:18">
      <c r="B24" s="164"/>
      <c r="E24" s="165"/>
      <c r="R24" s="166"/>
    </row>
    <row r="25" spans="2:18">
      <c r="B25" s="164"/>
      <c r="E25" s="165"/>
      <c r="R25" s="166"/>
    </row>
    <row r="26" spans="2:18">
      <c r="B26" s="164"/>
      <c r="E26" s="165"/>
      <c r="R26" s="166"/>
    </row>
    <row r="27" spans="2:18" s="145" customFormat="1" ht="27.6" customHeight="1">
      <c r="B27" s="2244" t="s">
        <v>942</v>
      </c>
      <c r="C27" s="2245"/>
      <c r="D27" s="155" t="s">
        <v>928</v>
      </c>
      <c r="E27" s="168" t="s">
        <v>943</v>
      </c>
      <c r="F27" s="2242" t="s">
        <v>942</v>
      </c>
      <c r="G27" s="2242"/>
      <c r="I27" s="145" t="s">
        <v>944</v>
      </c>
      <c r="M27" s="169"/>
      <c r="N27" s="169"/>
      <c r="O27" s="169"/>
      <c r="P27" s="169"/>
      <c r="Q27" s="169"/>
      <c r="R27" s="170"/>
    </row>
    <row r="28" spans="2:18">
      <c r="B28" s="171" t="s">
        <v>945</v>
      </c>
      <c r="C28" s="172"/>
      <c r="D28" s="173" t="s">
        <v>928</v>
      </c>
      <c r="E28" s="174" t="s">
        <v>946</v>
      </c>
      <c r="F28" s="2247" t="s">
        <v>945</v>
      </c>
      <c r="G28" s="2247"/>
      <c r="H28" s="2247"/>
      <c r="I28" s="2248" t="s">
        <v>947</v>
      </c>
      <c r="J28" s="2248"/>
      <c r="K28" s="2248"/>
      <c r="L28" s="2248"/>
      <c r="R28" s="175"/>
    </row>
    <row r="29" spans="2:18">
      <c r="B29" s="176" t="s">
        <v>948</v>
      </c>
      <c r="C29" s="177"/>
      <c r="D29" s="178" t="s">
        <v>928</v>
      </c>
      <c r="E29" s="179" t="s">
        <v>949</v>
      </c>
      <c r="F29" s="2249" t="s">
        <v>948</v>
      </c>
      <c r="G29" s="2249"/>
      <c r="H29" s="2249"/>
      <c r="I29" s="2243" t="s">
        <v>950</v>
      </c>
      <c r="J29" s="2243"/>
      <c r="K29" s="2243"/>
      <c r="L29" s="2243"/>
      <c r="R29" s="180"/>
    </row>
    <row r="30" spans="2:18">
      <c r="B30" s="164"/>
      <c r="E30" s="165"/>
      <c r="L30" s="161"/>
      <c r="R30" s="163"/>
    </row>
    <row r="31" spans="2:18">
      <c r="B31" s="164"/>
      <c r="E31" s="165"/>
      <c r="R31" s="166"/>
    </row>
    <row r="32" spans="2:18">
      <c r="B32" s="164"/>
      <c r="E32" s="165"/>
      <c r="R32" s="166"/>
    </row>
    <row r="33" spans="2:18">
      <c r="B33" s="164"/>
      <c r="E33" s="165"/>
      <c r="R33" s="166"/>
    </row>
    <row r="34" spans="2:18">
      <c r="B34" s="164"/>
      <c r="E34" s="165"/>
      <c r="R34" s="166"/>
    </row>
    <row r="35" spans="2:18">
      <c r="B35" s="164"/>
      <c r="E35" s="165"/>
      <c r="R35" s="166"/>
    </row>
    <row r="36" spans="2:18">
      <c r="B36" s="164"/>
      <c r="E36" s="165"/>
      <c r="R36" s="166"/>
    </row>
    <row r="37" spans="2:18">
      <c r="B37" s="164"/>
      <c r="E37" s="165"/>
      <c r="R37" s="166"/>
    </row>
    <row r="38" spans="2:18">
      <c r="B38" s="164"/>
      <c r="E38" s="165"/>
      <c r="R38" s="166"/>
    </row>
    <row r="39" spans="2:18">
      <c r="B39" s="164"/>
      <c r="E39" s="165"/>
      <c r="R39" s="166"/>
    </row>
    <row r="40" spans="2:18">
      <c r="B40" s="164"/>
      <c r="E40" s="165"/>
      <c r="R40" s="166"/>
    </row>
    <row r="41" spans="2:18">
      <c r="B41" s="164"/>
      <c r="E41" s="165"/>
      <c r="R41" s="166"/>
    </row>
    <row r="42" spans="2:18" s="146" customFormat="1" ht="29.4" customHeight="1">
      <c r="B42" s="2244" t="s">
        <v>942</v>
      </c>
      <c r="C42" s="2250"/>
      <c r="D42" s="155" t="s">
        <v>928</v>
      </c>
      <c r="E42" s="182" t="s">
        <v>943</v>
      </c>
      <c r="F42" s="2251" t="s">
        <v>942</v>
      </c>
      <c r="G42" s="2252"/>
      <c r="H42" s="182"/>
      <c r="I42" s="2253" t="s">
        <v>951</v>
      </c>
      <c r="J42" s="2253"/>
      <c r="K42" s="2253"/>
      <c r="L42" s="2253"/>
      <c r="R42" s="183"/>
    </row>
    <row r="43" spans="2:18" ht="19.2" customHeight="1">
      <c r="B43" s="171" t="s">
        <v>945</v>
      </c>
      <c r="C43" s="172"/>
      <c r="D43" s="173" t="s">
        <v>928</v>
      </c>
      <c r="E43" s="184" t="s">
        <v>946</v>
      </c>
      <c r="F43" s="185" t="s">
        <v>945</v>
      </c>
      <c r="G43" s="186"/>
      <c r="H43" s="184"/>
      <c r="I43" s="184" t="s">
        <v>952</v>
      </c>
      <c r="J43" s="184"/>
      <c r="K43" s="184"/>
      <c r="L43" s="172"/>
      <c r="R43" s="175"/>
    </row>
    <row r="44" spans="2:18">
      <c r="B44" s="176" t="s">
        <v>948</v>
      </c>
      <c r="C44" s="187"/>
      <c r="D44" s="178" t="s">
        <v>928</v>
      </c>
      <c r="E44" s="188" t="s">
        <v>949</v>
      </c>
      <c r="F44" s="189" t="s">
        <v>948</v>
      </c>
      <c r="G44" s="188"/>
      <c r="H44" s="188"/>
      <c r="I44" s="2243" t="s">
        <v>953</v>
      </c>
      <c r="J44" s="2243"/>
      <c r="K44" s="2243"/>
      <c r="L44" s="2243"/>
      <c r="R44" s="180"/>
    </row>
    <row r="45" spans="2:18">
      <c r="B45" s="164"/>
      <c r="E45" s="165"/>
      <c r="L45" s="161"/>
      <c r="R45" s="166"/>
    </row>
    <row r="46" spans="2:18">
      <c r="B46" s="164"/>
      <c r="E46" s="165"/>
      <c r="R46" s="166"/>
    </row>
    <row r="47" spans="2:18">
      <c r="B47" s="164"/>
      <c r="E47" s="165"/>
      <c r="R47" s="166"/>
    </row>
    <row r="48" spans="2:18">
      <c r="B48" s="164"/>
      <c r="E48" s="165"/>
      <c r="R48" s="166"/>
    </row>
    <row r="49" spans="2:18">
      <c r="B49" s="164"/>
      <c r="E49" s="165"/>
      <c r="R49" s="166"/>
    </row>
    <row r="50" spans="2:18">
      <c r="B50" s="164"/>
      <c r="E50" s="165"/>
      <c r="R50" s="166"/>
    </row>
    <row r="51" spans="2:18">
      <c r="B51" s="164"/>
      <c r="E51" s="165"/>
      <c r="R51" s="166"/>
    </row>
    <row r="52" spans="2:18">
      <c r="B52" s="164"/>
      <c r="E52" s="165"/>
      <c r="R52" s="166"/>
    </row>
    <row r="53" spans="2:18">
      <c r="B53" s="164"/>
      <c r="E53" s="165"/>
      <c r="R53" s="166"/>
    </row>
    <row r="54" spans="2:18">
      <c r="B54" s="164"/>
      <c r="E54" s="165"/>
      <c r="R54" s="166"/>
    </row>
    <row r="55" spans="2:18">
      <c r="B55" s="164"/>
      <c r="E55" s="165"/>
      <c r="R55" s="166"/>
    </row>
    <row r="56" spans="2:18">
      <c r="B56" s="164"/>
      <c r="E56" s="165"/>
      <c r="R56" s="166"/>
    </row>
    <row r="57" spans="2:18" s="145" customFormat="1" ht="27" customHeight="1">
      <c r="B57" s="2244" t="s">
        <v>942</v>
      </c>
      <c r="C57" s="2245"/>
      <c r="D57" s="155" t="s">
        <v>928</v>
      </c>
      <c r="E57" s="190" t="s">
        <v>954</v>
      </c>
      <c r="F57" s="181" t="s">
        <v>942</v>
      </c>
      <c r="I57" s="190" t="s">
        <v>954</v>
      </c>
      <c r="R57" s="191"/>
    </row>
    <row r="58" spans="2:18" ht="12.6" customHeight="1">
      <c r="B58" s="171" t="s">
        <v>945</v>
      </c>
      <c r="C58" s="172"/>
      <c r="D58" s="173" t="s">
        <v>928</v>
      </c>
      <c r="E58" s="192" t="s">
        <v>955</v>
      </c>
      <c r="F58" s="185" t="s">
        <v>945</v>
      </c>
      <c r="G58" s="186"/>
      <c r="H58" s="184"/>
      <c r="I58" s="184" t="s">
        <v>956</v>
      </c>
      <c r="J58" s="184"/>
      <c r="K58" s="172"/>
      <c r="L58" s="172"/>
      <c r="R58" s="175"/>
    </row>
    <row r="59" spans="2:18">
      <c r="B59" s="176" t="s">
        <v>948</v>
      </c>
      <c r="C59" s="187"/>
      <c r="D59" s="178" t="s">
        <v>928</v>
      </c>
      <c r="E59" s="179" t="s">
        <v>957</v>
      </c>
      <c r="F59" s="193" t="s">
        <v>948</v>
      </c>
      <c r="G59" s="178"/>
      <c r="H59" s="187"/>
      <c r="I59" s="187" t="s">
        <v>958</v>
      </c>
      <c r="J59" s="187"/>
      <c r="K59" s="187"/>
      <c r="L59" s="187"/>
      <c r="M59" s="187"/>
      <c r="N59" s="187"/>
      <c r="O59" s="187"/>
      <c r="P59" s="187"/>
      <c r="Q59" s="187"/>
      <c r="R59" s="180"/>
    </row>
    <row r="60" spans="2:18">
      <c r="B60" s="164"/>
      <c r="E60" s="165"/>
      <c r="L60" s="161"/>
      <c r="R60" s="166"/>
    </row>
    <row r="61" spans="2:18">
      <c r="B61" s="164"/>
      <c r="E61" s="165"/>
      <c r="R61" s="166"/>
    </row>
    <row r="62" spans="2:18">
      <c r="B62" s="164"/>
      <c r="E62" s="165"/>
      <c r="R62" s="166"/>
    </row>
    <row r="63" spans="2:18">
      <c r="B63" s="164"/>
      <c r="E63" s="165"/>
      <c r="R63" s="166"/>
    </row>
    <row r="64" spans="2:18">
      <c r="B64" s="164"/>
      <c r="E64" s="165"/>
      <c r="R64" s="166"/>
    </row>
    <row r="65" spans="2:18">
      <c r="B65" s="164"/>
      <c r="E65" s="165"/>
      <c r="R65" s="166"/>
    </row>
    <row r="66" spans="2:18">
      <c r="B66" s="164"/>
      <c r="E66" s="165"/>
      <c r="R66" s="166"/>
    </row>
    <row r="67" spans="2:18">
      <c r="B67" s="164"/>
      <c r="E67" s="165"/>
      <c r="R67" s="166"/>
    </row>
    <row r="68" spans="2:18">
      <c r="B68" s="164"/>
      <c r="E68" s="165"/>
      <c r="R68" s="166"/>
    </row>
    <row r="69" spans="2:18">
      <c r="B69" s="164"/>
      <c r="E69" s="165"/>
      <c r="R69" s="166"/>
    </row>
    <row r="70" spans="2:18">
      <c r="B70" s="164"/>
      <c r="E70" s="165"/>
      <c r="R70" s="166"/>
    </row>
    <row r="71" spans="2:18">
      <c r="B71" s="164"/>
      <c r="E71" s="165"/>
      <c r="R71" s="166"/>
    </row>
    <row r="72" spans="2:18" s="145" customFormat="1" ht="27" customHeight="1">
      <c r="B72" s="2244" t="s">
        <v>942</v>
      </c>
      <c r="C72" s="2245"/>
      <c r="D72" s="155" t="s">
        <v>928</v>
      </c>
      <c r="E72" s="190" t="s">
        <v>959</v>
      </c>
      <c r="F72" s="2244" t="s">
        <v>942</v>
      </c>
      <c r="G72" s="2245"/>
      <c r="H72" s="155" t="s">
        <v>928</v>
      </c>
      <c r="I72" s="190" t="s">
        <v>959</v>
      </c>
      <c r="R72" s="191"/>
    </row>
    <row r="73" spans="2:18" ht="12.6" customHeight="1">
      <c r="B73" s="171" t="s">
        <v>945</v>
      </c>
      <c r="C73" s="172"/>
      <c r="D73" s="173" t="s">
        <v>928</v>
      </c>
      <c r="E73" s="192" t="s">
        <v>960</v>
      </c>
      <c r="F73" s="171" t="s">
        <v>945</v>
      </c>
      <c r="G73" s="172"/>
      <c r="H73" s="173" t="s">
        <v>928</v>
      </c>
      <c r="I73" s="192" t="s">
        <v>960</v>
      </c>
      <c r="J73" s="184"/>
      <c r="K73" s="172"/>
      <c r="L73" s="172"/>
      <c r="R73" s="175"/>
    </row>
    <row r="74" spans="2:18">
      <c r="B74" s="176" t="s">
        <v>948</v>
      </c>
      <c r="C74" s="187"/>
      <c r="D74" s="178" t="s">
        <v>928</v>
      </c>
      <c r="E74" s="179" t="s">
        <v>949</v>
      </c>
      <c r="F74" s="176" t="s">
        <v>948</v>
      </c>
      <c r="G74" s="187"/>
      <c r="H74" s="178" t="s">
        <v>928</v>
      </c>
      <c r="I74" s="179" t="s">
        <v>949</v>
      </c>
      <c r="J74" s="187"/>
      <c r="K74" s="187"/>
      <c r="L74" s="187"/>
      <c r="M74" s="187"/>
      <c r="N74" s="187"/>
      <c r="O74" s="187"/>
      <c r="P74" s="187"/>
      <c r="Q74" s="187"/>
      <c r="R74" s="180"/>
    </row>
  </sheetData>
  <mergeCells count="17">
    <mergeCell ref="B1:E2"/>
    <mergeCell ref="F28:H28"/>
    <mergeCell ref="I28:L28"/>
    <mergeCell ref="F29:H29"/>
    <mergeCell ref="I29:L29"/>
    <mergeCell ref="F3:I3"/>
    <mergeCell ref="F4:I4"/>
    <mergeCell ref="B6:L6"/>
    <mergeCell ref="B27:C27"/>
    <mergeCell ref="F27:G27"/>
    <mergeCell ref="I44:L44"/>
    <mergeCell ref="B57:C57"/>
    <mergeCell ref="B72:C72"/>
    <mergeCell ref="F72:G72"/>
    <mergeCell ref="B42:C42"/>
    <mergeCell ref="F42:G42"/>
    <mergeCell ref="I42:L42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indexed="53"/>
  </sheetPr>
  <dimension ref="A1:E129"/>
  <sheetViews>
    <sheetView showGridLines="0" view="pageBreakPreview" zoomScale="82" zoomScaleNormal="75" workbookViewId="0">
      <selection activeCell="A48" sqref="A48"/>
    </sheetView>
  </sheetViews>
  <sheetFormatPr defaultColWidth="9" defaultRowHeight="12"/>
  <cols>
    <col min="1" max="1" width="6.109375" style="104" customWidth="1"/>
    <col min="2" max="2" width="30.6640625" style="104" customWidth="1"/>
    <col min="3" max="3" width="24" style="104" customWidth="1"/>
    <col min="4" max="4" width="25.44140625" style="104" customWidth="1"/>
    <col min="5" max="5" width="27.5546875" style="104" customWidth="1"/>
    <col min="6" max="256" width="9.109375" style="104"/>
    <col min="257" max="257" width="6.109375" style="104" customWidth="1"/>
    <col min="258" max="258" width="30.6640625" style="104" customWidth="1"/>
    <col min="259" max="259" width="24" style="104" customWidth="1"/>
    <col min="260" max="260" width="25.44140625" style="104" customWidth="1"/>
    <col min="261" max="261" width="27.5546875" style="104" customWidth="1"/>
    <col min="262" max="512" width="9.109375" style="104"/>
    <col min="513" max="513" width="6.109375" style="104" customWidth="1"/>
    <col min="514" max="514" width="30.6640625" style="104" customWidth="1"/>
    <col min="515" max="515" width="24" style="104" customWidth="1"/>
    <col min="516" max="516" width="25.44140625" style="104" customWidth="1"/>
    <col min="517" max="517" width="27.5546875" style="104" customWidth="1"/>
    <col min="518" max="768" width="9.109375" style="104"/>
    <col min="769" max="769" width="6.109375" style="104" customWidth="1"/>
    <col min="770" max="770" width="30.6640625" style="104" customWidth="1"/>
    <col min="771" max="771" width="24" style="104" customWidth="1"/>
    <col min="772" max="772" width="25.44140625" style="104" customWidth="1"/>
    <col min="773" max="773" width="27.5546875" style="104" customWidth="1"/>
    <col min="774" max="1024" width="9.109375" style="104"/>
    <col min="1025" max="1025" width="6.109375" style="104" customWidth="1"/>
    <col min="1026" max="1026" width="30.6640625" style="104" customWidth="1"/>
    <col min="1027" max="1027" width="24" style="104" customWidth="1"/>
    <col min="1028" max="1028" width="25.44140625" style="104" customWidth="1"/>
    <col min="1029" max="1029" width="27.5546875" style="104" customWidth="1"/>
    <col min="1030" max="1280" width="9.109375" style="104"/>
    <col min="1281" max="1281" width="6.109375" style="104" customWidth="1"/>
    <col min="1282" max="1282" width="30.6640625" style="104" customWidth="1"/>
    <col min="1283" max="1283" width="24" style="104" customWidth="1"/>
    <col min="1284" max="1284" width="25.44140625" style="104" customWidth="1"/>
    <col min="1285" max="1285" width="27.5546875" style="104" customWidth="1"/>
    <col min="1286" max="1536" width="9.109375" style="104"/>
    <col min="1537" max="1537" width="6.109375" style="104" customWidth="1"/>
    <col min="1538" max="1538" width="30.6640625" style="104" customWidth="1"/>
    <col min="1539" max="1539" width="24" style="104" customWidth="1"/>
    <col min="1540" max="1540" width="25.44140625" style="104" customWidth="1"/>
    <col min="1541" max="1541" width="27.5546875" style="104" customWidth="1"/>
    <col min="1542" max="1792" width="9.109375" style="104"/>
    <col min="1793" max="1793" width="6.109375" style="104" customWidth="1"/>
    <col min="1794" max="1794" width="30.6640625" style="104" customWidth="1"/>
    <col min="1795" max="1795" width="24" style="104" customWidth="1"/>
    <col min="1796" max="1796" width="25.44140625" style="104" customWidth="1"/>
    <col min="1797" max="1797" width="27.5546875" style="104" customWidth="1"/>
    <col min="1798" max="2048" width="9.109375" style="104"/>
    <col min="2049" max="2049" width="6.109375" style="104" customWidth="1"/>
    <col min="2050" max="2050" width="30.6640625" style="104" customWidth="1"/>
    <col min="2051" max="2051" width="24" style="104" customWidth="1"/>
    <col min="2052" max="2052" width="25.44140625" style="104" customWidth="1"/>
    <col min="2053" max="2053" width="27.5546875" style="104" customWidth="1"/>
    <col min="2054" max="2304" width="9.109375" style="104"/>
    <col min="2305" max="2305" width="6.109375" style="104" customWidth="1"/>
    <col min="2306" max="2306" width="30.6640625" style="104" customWidth="1"/>
    <col min="2307" max="2307" width="24" style="104" customWidth="1"/>
    <col min="2308" max="2308" width="25.44140625" style="104" customWidth="1"/>
    <col min="2309" max="2309" width="27.5546875" style="104" customWidth="1"/>
    <col min="2310" max="2560" width="9.109375" style="104"/>
    <col min="2561" max="2561" width="6.109375" style="104" customWidth="1"/>
    <col min="2562" max="2562" width="30.6640625" style="104" customWidth="1"/>
    <col min="2563" max="2563" width="24" style="104" customWidth="1"/>
    <col min="2564" max="2564" width="25.44140625" style="104" customWidth="1"/>
    <col min="2565" max="2565" width="27.5546875" style="104" customWidth="1"/>
    <col min="2566" max="2816" width="9.109375" style="104"/>
    <col min="2817" max="2817" width="6.109375" style="104" customWidth="1"/>
    <col min="2818" max="2818" width="30.6640625" style="104" customWidth="1"/>
    <col min="2819" max="2819" width="24" style="104" customWidth="1"/>
    <col min="2820" max="2820" width="25.44140625" style="104" customWidth="1"/>
    <col min="2821" max="2821" width="27.5546875" style="104" customWidth="1"/>
    <col min="2822" max="3072" width="9.109375" style="104"/>
    <col min="3073" max="3073" width="6.109375" style="104" customWidth="1"/>
    <col min="3074" max="3074" width="30.6640625" style="104" customWidth="1"/>
    <col min="3075" max="3075" width="24" style="104" customWidth="1"/>
    <col min="3076" max="3076" width="25.44140625" style="104" customWidth="1"/>
    <col min="3077" max="3077" width="27.5546875" style="104" customWidth="1"/>
    <col min="3078" max="3328" width="9.109375" style="104"/>
    <col min="3329" max="3329" width="6.109375" style="104" customWidth="1"/>
    <col min="3330" max="3330" width="30.6640625" style="104" customWidth="1"/>
    <col min="3331" max="3331" width="24" style="104" customWidth="1"/>
    <col min="3332" max="3332" width="25.44140625" style="104" customWidth="1"/>
    <col min="3333" max="3333" width="27.5546875" style="104" customWidth="1"/>
    <col min="3334" max="3584" width="9.109375" style="104"/>
    <col min="3585" max="3585" width="6.109375" style="104" customWidth="1"/>
    <col min="3586" max="3586" width="30.6640625" style="104" customWidth="1"/>
    <col min="3587" max="3587" width="24" style="104" customWidth="1"/>
    <col min="3588" max="3588" width="25.44140625" style="104" customWidth="1"/>
    <col min="3589" max="3589" width="27.5546875" style="104" customWidth="1"/>
    <col min="3590" max="3840" width="9.109375" style="104"/>
    <col min="3841" max="3841" width="6.109375" style="104" customWidth="1"/>
    <col min="3842" max="3842" width="30.6640625" style="104" customWidth="1"/>
    <col min="3843" max="3843" width="24" style="104" customWidth="1"/>
    <col min="3844" max="3844" width="25.44140625" style="104" customWidth="1"/>
    <col min="3845" max="3845" width="27.5546875" style="104" customWidth="1"/>
    <col min="3846" max="4096" width="9.109375" style="104"/>
    <col min="4097" max="4097" width="6.109375" style="104" customWidth="1"/>
    <col min="4098" max="4098" width="30.6640625" style="104" customWidth="1"/>
    <col min="4099" max="4099" width="24" style="104" customWidth="1"/>
    <col min="4100" max="4100" width="25.44140625" style="104" customWidth="1"/>
    <col min="4101" max="4101" width="27.5546875" style="104" customWidth="1"/>
    <col min="4102" max="4352" width="9.109375" style="104"/>
    <col min="4353" max="4353" width="6.109375" style="104" customWidth="1"/>
    <col min="4354" max="4354" width="30.6640625" style="104" customWidth="1"/>
    <col min="4355" max="4355" width="24" style="104" customWidth="1"/>
    <col min="4356" max="4356" width="25.44140625" style="104" customWidth="1"/>
    <col min="4357" max="4357" width="27.5546875" style="104" customWidth="1"/>
    <col min="4358" max="4608" width="9.109375" style="104"/>
    <col min="4609" max="4609" width="6.109375" style="104" customWidth="1"/>
    <col min="4610" max="4610" width="30.6640625" style="104" customWidth="1"/>
    <col min="4611" max="4611" width="24" style="104" customWidth="1"/>
    <col min="4612" max="4612" width="25.44140625" style="104" customWidth="1"/>
    <col min="4613" max="4613" width="27.5546875" style="104" customWidth="1"/>
    <col min="4614" max="4864" width="9.109375" style="104"/>
    <col min="4865" max="4865" width="6.109375" style="104" customWidth="1"/>
    <col min="4866" max="4866" width="30.6640625" style="104" customWidth="1"/>
    <col min="4867" max="4867" width="24" style="104" customWidth="1"/>
    <col min="4868" max="4868" width="25.44140625" style="104" customWidth="1"/>
    <col min="4869" max="4869" width="27.5546875" style="104" customWidth="1"/>
    <col min="4870" max="5120" width="9.109375" style="104"/>
    <col min="5121" max="5121" width="6.109375" style="104" customWidth="1"/>
    <col min="5122" max="5122" width="30.6640625" style="104" customWidth="1"/>
    <col min="5123" max="5123" width="24" style="104" customWidth="1"/>
    <col min="5124" max="5124" width="25.44140625" style="104" customWidth="1"/>
    <col min="5125" max="5125" width="27.5546875" style="104" customWidth="1"/>
    <col min="5126" max="5376" width="9.109375" style="104"/>
    <col min="5377" max="5377" width="6.109375" style="104" customWidth="1"/>
    <col min="5378" max="5378" width="30.6640625" style="104" customWidth="1"/>
    <col min="5379" max="5379" width="24" style="104" customWidth="1"/>
    <col min="5380" max="5380" width="25.44140625" style="104" customWidth="1"/>
    <col min="5381" max="5381" width="27.5546875" style="104" customWidth="1"/>
    <col min="5382" max="5632" width="9.109375" style="104"/>
    <col min="5633" max="5633" width="6.109375" style="104" customWidth="1"/>
    <col min="5634" max="5634" width="30.6640625" style="104" customWidth="1"/>
    <col min="5635" max="5635" width="24" style="104" customWidth="1"/>
    <col min="5636" max="5636" width="25.44140625" style="104" customWidth="1"/>
    <col min="5637" max="5637" width="27.5546875" style="104" customWidth="1"/>
    <col min="5638" max="5888" width="9.109375" style="104"/>
    <col min="5889" max="5889" width="6.109375" style="104" customWidth="1"/>
    <col min="5890" max="5890" width="30.6640625" style="104" customWidth="1"/>
    <col min="5891" max="5891" width="24" style="104" customWidth="1"/>
    <col min="5892" max="5892" width="25.44140625" style="104" customWidth="1"/>
    <col min="5893" max="5893" width="27.5546875" style="104" customWidth="1"/>
    <col min="5894" max="6144" width="9.109375" style="104"/>
    <col min="6145" max="6145" width="6.109375" style="104" customWidth="1"/>
    <col min="6146" max="6146" width="30.6640625" style="104" customWidth="1"/>
    <col min="6147" max="6147" width="24" style="104" customWidth="1"/>
    <col min="6148" max="6148" width="25.44140625" style="104" customWidth="1"/>
    <col min="6149" max="6149" width="27.5546875" style="104" customWidth="1"/>
    <col min="6150" max="6400" width="9.109375" style="104"/>
    <col min="6401" max="6401" width="6.109375" style="104" customWidth="1"/>
    <col min="6402" max="6402" width="30.6640625" style="104" customWidth="1"/>
    <col min="6403" max="6403" width="24" style="104" customWidth="1"/>
    <col min="6404" max="6404" width="25.44140625" style="104" customWidth="1"/>
    <col min="6405" max="6405" width="27.5546875" style="104" customWidth="1"/>
    <col min="6406" max="6656" width="9.109375" style="104"/>
    <col min="6657" max="6657" width="6.109375" style="104" customWidth="1"/>
    <col min="6658" max="6658" width="30.6640625" style="104" customWidth="1"/>
    <col min="6659" max="6659" width="24" style="104" customWidth="1"/>
    <col min="6660" max="6660" width="25.44140625" style="104" customWidth="1"/>
    <col min="6661" max="6661" width="27.5546875" style="104" customWidth="1"/>
    <col min="6662" max="6912" width="9.109375" style="104"/>
    <col min="6913" max="6913" width="6.109375" style="104" customWidth="1"/>
    <col min="6914" max="6914" width="30.6640625" style="104" customWidth="1"/>
    <col min="6915" max="6915" width="24" style="104" customWidth="1"/>
    <col min="6916" max="6916" width="25.44140625" style="104" customWidth="1"/>
    <col min="6917" max="6917" width="27.5546875" style="104" customWidth="1"/>
    <col min="6918" max="7168" width="9.109375" style="104"/>
    <col min="7169" max="7169" width="6.109375" style="104" customWidth="1"/>
    <col min="7170" max="7170" width="30.6640625" style="104" customWidth="1"/>
    <col min="7171" max="7171" width="24" style="104" customWidth="1"/>
    <col min="7172" max="7172" width="25.44140625" style="104" customWidth="1"/>
    <col min="7173" max="7173" width="27.5546875" style="104" customWidth="1"/>
    <col min="7174" max="7424" width="9.109375" style="104"/>
    <col min="7425" max="7425" width="6.109375" style="104" customWidth="1"/>
    <col min="7426" max="7426" width="30.6640625" style="104" customWidth="1"/>
    <col min="7427" max="7427" width="24" style="104" customWidth="1"/>
    <col min="7428" max="7428" width="25.44140625" style="104" customWidth="1"/>
    <col min="7429" max="7429" width="27.5546875" style="104" customWidth="1"/>
    <col min="7430" max="7680" width="9.109375" style="104"/>
    <col min="7681" max="7681" width="6.109375" style="104" customWidth="1"/>
    <col min="7682" max="7682" width="30.6640625" style="104" customWidth="1"/>
    <col min="7683" max="7683" width="24" style="104" customWidth="1"/>
    <col min="7684" max="7684" width="25.44140625" style="104" customWidth="1"/>
    <col min="7685" max="7685" width="27.5546875" style="104" customWidth="1"/>
    <col min="7686" max="7936" width="9.109375" style="104"/>
    <col min="7937" max="7937" width="6.109375" style="104" customWidth="1"/>
    <col min="7938" max="7938" width="30.6640625" style="104" customWidth="1"/>
    <col min="7939" max="7939" width="24" style="104" customWidth="1"/>
    <col min="7940" max="7940" width="25.44140625" style="104" customWidth="1"/>
    <col min="7941" max="7941" width="27.5546875" style="104" customWidth="1"/>
    <col min="7942" max="8192" width="9.109375" style="104"/>
    <col min="8193" max="8193" width="6.109375" style="104" customWidth="1"/>
    <col min="8194" max="8194" width="30.6640625" style="104" customWidth="1"/>
    <col min="8195" max="8195" width="24" style="104" customWidth="1"/>
    <col min="8196" max="8196" width="25.44140625" style="104" customWidth="1"/>
    <col min="8197" max="8197" width="27.5546875" style="104" customWidth="1"/>
    <col min="8198" max="8448" width="9.109375" style="104"/>
    <col min="8449" max="8449" width="6.109375" style="104" customWidth="1"/>
    <col min="8450" max="8450" width="30.6640625" style="104" customWidth="1"/>
    <col min="8451" max="8451" width="24" style="104" customWidth="1"/>
    <col min="8452" max="8452" width="25.44140625" style="104" customWidth="1"/>
    <col min="8453" max="8453" width="27.5546875" style="104" customWidth="1"/>
    <col min="8454" max="8704" width="9.109375" style="104"/>
    <col min="8705" max="8705" width="6.109375" style="104" customWidth="1"/>
    <col min="8706" max="8706" width="30.6640625" style="104" customWidth="1"/>
    <col min="8707" max="8707" width="24" style="104" customWidth="1"/>
    <col min="8708" max="8708" width="25.44140625" style="104" customWidth="1"/>
    <col min="8709" max="8709" width="27.5546875" style="104" customWidth="1"/>
    <col min="8710" max="8960" width="9.109375" style="104"/>
    <col min="8961" max="8961" width="6.109375" style="104" customWidth="1"/>
    <col min="8962" max="8962" width="30.6640625" style="104" customWidth="1"/>
    <col min="8963" max="8963" width="24" style="104" customWidth="1"/>
    <col min="8964" max="8964" width="25.44140625" style="104" customWidth="1"/>
    <col min="8965" max="8965" width="27.5546875" style="104" customWidth="1"/>
    <col min="8966" max="9216" width="9.109375" style="104"/>
    <col min="9217" max="9217" width="6.109375" style="104" customWidth="1"/>
    <col min="9218" max="9218" width="30.6640625" style="104" customWidth="1"/>
    <col min="9219" max="9219" width="24" style="104" customWidth="1"/>
    <col min="9220" max="9220" width="25.44140625" style="104" customWidth="1"/>
    <col min="9221" max="9221" width="27.5546875" style="104" customWidth="1"/>
    <col min="9222" max="9472" width="9.109375" style="104"/>
    <col min="9473" max="9473" width="6.109375" style="104" customWidth="1"/>
    <col min="9474" max="9474" width="30.6640625" style="104" customWidth="1"/>
    <col min="9475" max="9475" width="24" style="104" customWidth="1"/>
    <col min="9476" max="9476" width="25.44140625" style="104" customWidth="1"/>
    <col min="9477" max="9477" width="27.5546875" style="104" customWidth="1"/>
    <col min="9478" max="9728" width="9.109375" style="104"/>
    <col min="9729" max="9729" width="6.109375" style="104" customWidth="1"/>
    <col min="9730" max="9730" width="30.6640625" style="104" customWidth="1"/>
    <col min="9731" max="9731" width="24" style="104" customWidth="1"/>
    <col min="9732" max="9732" width="25.44140625" style="104" customWidth="1"/>
    <col min="9733" max="9733" width="27.5546875" style="104" customWidth="1"/>
    <col min="9734" max="9984" width="9.109375" style="104"/>
    <col min="9985" max="9985" width="6.109375" style="104" customWidth="1"/>
    <col min="9986" max="9986" width="30.6640625" style="104" customWidth="1"/>
    <col min="9987" max="9987" width="24" style="104" customWidth="1"/>
    <col min="9988" max="9988" width="25.44140625" style="104" customWidth="1"/>
    <col min="9989" max="9989" width="27.5546875" style="104" customWidth="1"/>
    <col min="9990" max="10240" width="9.109375" style="104"/>
    <col min="10241" max="10241" width="6.109375" style="104" customWidth="1"/>
    <col min="10242" max="10242" width="30.6640625" style="104" customWidth="1"/>
    <col min="10243" max="10243" width="24" style="104" customWidth="1"/>
    <col min="10244" max="10244" width="25.44140625" style="104" customWidth="1"/>
    <col min="10245" max="10245" width="27.5546875" style="104" customWidth="1"/>
    <col min="10246" max="10496" width="9.109375" style="104"/>
    <col min="10497" max="10497" width="6.109375" style="104" customWidth="1"/>
    <col min="10498" max="10498" width="30.6640625" style="104" customWidth="1"/>
    <col min="10499" max="10499" width="24" style="104" customWidth="1"/>
    <col min="10500" max="10500" width="25.44140625" style="104" customWidth="1"/>
    <col min="10501" max="10501" width="27.5546875" style="104" customWidth="1"/>
    <col min="10502" max="10752" width="9.109375" style="104"/>
    <col min="10753" max="10753" width="6.109375" style="104" customWidth="1"/>
    <col min="10754" max="10754" width="30.6640625" style="104" customWidth="1"/>
    <col min="10755" max="10755" width="24" style="104" customWidth="1"/>
    <col min="10756" max="10756" width="25.44140625" style="104" customWidth="1"/>
    <col min="10757" max="10757" width="27.5546875" style="104" customWidth="1"/>
    <col min="10758" max="11008" width="9.109375" style="104"/>
    <col min="11009" max="11009" width="6.109375" style="104" customWidth="1"/>
    <col min="11010" max="11010" width="30.6640625" style="104" customWidth="1"/>
    <col min="11011" max="11011" width="24" style="104" customWidth="1"/>
    <col min="11012" max="11012" width="25.44140625" style="104" customWidth="1"/>
    <col min="11013" max="11013" width="27.5546875" style="104" customWidth="1"/>
    <col min="11014" max="11264" width="9.109375" style="104"/>
    <col min="11265" max="11265" width="6.109375" style="104" customWidth="1"/>
    <col min="11266" max="11266" width="30.6640625" style="104" customWidth="1"/>
    <col min="11267" max="11267" width="24" style="104" customWidth="1"/>
    <col min="11268" max="11268" width="25.44140625" style="104" customWidth="1"/>
    <col min="11269" max="11269" width="27.5546875" style="104" customWidth="1"/>
    <col min="11270" max="11520" width="9.109375" style="104"/>
    <col min="11521" max="11521" width="6.109375" style="104" customWidth="1"/>
    <col min="11522" max="11522" width="30.6640625" style="104" customWidth="1"/>
    <col min="11523" max="11523" width="24" style="104" customWidth="1"/>
    <col min="11524" max="11524" width="25.44140625" style="104" customWidth="1"/>
    <col min="11525" max="11525" width="27.5546875" style="104" customWidth="1"/>
    <col min="11526" max="11776" width="9.109375" style="104"/>
    <col min="11777" max="11777" width="6.109375" style="104" customWidth="1"/>
    <col min="11778" max="11778" width="30.6640625" style="104" customWidth="1"/>
    <col min="11779" max="11779" width="24" style="104" customWidth="1"/>
    <col min="11780" max="11780" width="25.44140625" style="104" customWidth="1"/>
    <col min="11781" max="11781" width="27.5546875" style="104" customWidth="1"/>
    <col min="11782" max="12032" width="9.109375" style="104"/>
    <col min="12033" max="12033" width="6.109375" style="104" customWidth="1"/>
    <col min="12034" max="12034" width="30.6640625" style="104" customWidth="1"/>
    <col min="12035" max="12035" width="24" style="104" customWidth="1"/>
    <col min="12036" max="12036" width="25.44140625" style="104" customWidth="1"/>
    <col min="12037" max="12037" width="27.5546875" style="104" customWidth="1"/>
    <col min="12038" max="12288" width="9.109375" style="104"/>
    <col min="12289" max="12289" width="6.109375" style="104" customWidth="1"/>
    <col min="12290" max="12290" width="30.6640625" style="104" customWidth="1"/>
    <col min="12291" max="12291" width="24" style="104" customWidth="1"/>
    <col min="12292" max="12292" width="25.44140625" style="104" customWidth="1"/>
    <col min="12293" max="12293" width="27.5546875" style="104" customWidth="1"/>
    <col min="12294" max="12544" width="9.109375" style="104"/>
    <col min="12545" max="12545" width="6.109375" style="104" customWidth="1"/>
    <col min="12546" max="12546" width="30.6640625" style="104" customWidth="1"/>
    <col min="12547" max="12547" width="24" style="104" customWidth="1"/>
    <col min="12548" max="12548" width="25.44140625" style="104" customWidth="1"/>
    <col min="12549" max="12549" width="27.5546875" style="104" customWidth="1"/>
    <col min="12550" max="12800" width="9.109375" style="104"/>
    <col min="12801" max="12801" width="6.109375" style="104" customWidth="1"/>
    <col min="12802" max="12802" width="30.6640625" style="104" customWidth="1"/>
    <col min="12803" max="12803" width="24" style="104" customWidth="1"/>
    <col min="12804" max="12804" width="25.44140625" style="104" customWidth="1"/>
    <col min="12805" max="12805" width="27.5546875" style="104" customWidth="1"/>
    <col min="12806" max="13056" width="9.109375" style="104"/>
    <col min="13057" max="13057" width="6.109375" style="104" customWidth="1"/>
    <col min="13058" max="13058" width="30.6640625" style="104" customWidth="1"/>
    <col min="13059" max="13059" width="24" style="104" customWidth="1"/>
    <col min="13060" max="13060" width="25.44140625" style="104" customWidth="1"/>
    <col min="13061" max="13061" width="27.5546875" style="104" customWidth="1"/>
    <col min="13062" max="13312" width="9.109375" style="104"/>
    <col min="13313" max="13313" width="6.109375" style="104" customWidth="1"/>
    <col min="13314" max="13314" width="30.6640625" style="104" customWidth="1"/>
    <col min="13315" max="13315" width="24" style="104" customWidth="1"/>
    <col min="13316" max="13316" width="25.44140625" style="104" customWidth="1"/>
    <col min="13317" max="13317" width="27.5546875" style="104" customWidth="1"/>
    <col min="13318" max="13568" width="9.109375" style="104"/>
    <col min="13569" max="13569" width="6.109375" style="104" customWidth="1"/>
    <col min="13570" max="13570" width="30.6640625" style="104" customWidth="1"/>
    <col min="13571" max="13571" width="24" style="104" customWidth="1"/>
    <col min="13572" max="13572" width="25.44140625" style="104" customWidth="1"/>
    <col min="13573" max="13573" width="27.5546875" style="104" customWidth="1"/>
    <col min="13574" max="13824" width="9.109375" style="104"/>
    <col min="13825" max="13825" width="6.109375" style="104" customWidth="1"/>
    <col min="13826" max="13826" width="30.6640625" style="104" customWidth="1"/>
    <col min="13827" max="13827" width="24" style="104" customWidth="1"/>
    <col min="13828" max="13828" width="25.44140625" style="104" customWidth="1"/>
    <col min="13829" max="13829" width="27.5546875" style="104" customWidth="1"/>
    <col min="13830" max="14080" width="9.109375" style="104"/>
    <col min="14081" max="14081" width="6.109375" style="104" customWidth="1"/>
    <col min="14082" max="14082" width="30.6640625" style="104" customWidth="1"/>
    <col min="14083" max="14083" width="24" style="104" customWidth="1"/>
    <col min="14084" max="14084" width="25.44140625" style="104" customWidth="1"/>
    <col min="14085" max="14085" width="27.5546875" style="104" customWidth="1"/>
    <col min="14086" max="14336" width="9.109375" style="104"/>
    <col min="14337" max="14337" width="6.109375" style="104" customWidth="1"/>
    <col min="14338" max="14338" width="30.6640625" style="104" customWidth="1"/>
    <col min="14339" max="14339" width="24" style="104" customWidth="1"/>
    <col min="14340" max="14340" width="25.44140625" style="104" customWidth="1"/>
    <col min="14341" max="14341" width="27.5546875" style="104" customWidth="1"/>
    <col min="14342" max="14592" width="9.109375" style="104"/>
    <col min="14593" max="14593" width="6.109375" style="104" customWidth="1"/>
    <col min="14594" max="14594" width="30.6640625" style="104" customWidth="1"/>
    <col min="14595" max="14595" width="24" style="104" customWidth="1"/>
    <col min="14596" max="14596" width="25.44140625" style="104" customWidth="1"/>
    <col min="14597" max="14597" width="27.5546875" style="104" customWidth="1"/>
    <col min="14598" max="14848" width="9.109375" style="104"/>
    <col min="14849" max="14849" width="6.109375" style="104" customWidth="1"/>
    <col min="14850" max="14850" width="30.6640625" style="104" customWidth="1"/>
    <col min="14851" max="14851" width="24" style="104" customWidth="1"/>
    <col min="14852" max="14852" width="25.44140625" style="104" customWidth="1"/>
    <col min="14853" max="14853" width="27.5546875" style="104" customWidth="1"/>
    <col min="14854" max="15104" width="9.109375" style="104"/>
    <col min="15105" max="15105" width="6.109375" style="104" customWidth="1"/>
    <col min="15106" max="15106" width="30.6640625" style="104" customWidth="1"/>
    <col min="15107" max="15107" width="24" style="104" customWidth="1"/>
    <col min="15108" max="15108" width="25.44140625" style="104" customWidth="1"/>
    <col min="15109" max="15109" width="27.5546875" style="104" customWidth="1"/>
    <col min="15110" max="15360" width="9.109375" style="104"/>
    <col min="15361" max="15361" width="6.109375" style="104" customWidth="1"/>
    <col min="15362" max="15362" width="30.6640625" style="104" customWidth="1"/>
    <col min="15363" max="15363" width="24" style="104" customWidth="1"/>
    <col min="15364" max="15364" width="25.44140625" style="104" customWidth="1"/>
    <col min="15365" max="15365" width="27.5546875" style="104" customWidth="1"/>
    <col min="15366" max="15616" width="9.109375" style="104"/>
    <col min="15617" max="15617" width="6.109375" style="104" customWidth="1"/>
    <col min="15618" max="15618" width="30.6640625" style="104" customWidth="1"/>
    <col min="15619" max="15619" width="24" style="104" customWidth="1"/>
    <col min="15620" max="15620" width="25.44140625" style="104" customWidth="1"/>
    <col min="15621" max="15621" width="27.5546875" style="104" customWidth="1"/>
    <col min="15622" max="15872" width="9.109375" style="104"/>
    <col min="15873" max="15873" width="6.109375" style="104" customWidth="1"/>
    <col min="15874" max="15874" width="30.6640625" style="104" customWidth="1"/>
    <col min="15875" max="15875" width="24" style="104" customWidth="1"/>
    <col min="15876" max="15876" width="25.44140625" style="104" customWidth="1"/>
    <col min="15877" max="15877" width="27.5546875" style="104" customWidth="1"/>
    <col min="15878" max="16128" width="9.109375" style="104"/>
    <col min="16129" max="16129" width="6.109375" style="104" customWidth="1"/>
    <col min="16130" max="16130" width="30.6640625" style="104" customWidth="1"/>
    <col min="16131" max="16131" width="24" style="104" customWidth="1"/>
    <col min="16132" max="16132" width="25.44140625" style="104" customWidth="1"/>
    <col min="16133" max="16133" width="27.5546875" style="104" customWidth="1"/>
    <col min="16134" max="16384" width="9.109375" style="104"/>
  </cols>
  <sheetData>
    <row r="1" spans="1:5" ht="15.6">
      <c r="A1" s="105" t="s">
        <v>961</v>
      </c>
    </row>
    <row r="2" spans="1:5" s="101" customFormat="1" ht="15.6">
      <c r="A2" s="106" t="s">
        <v>535</v>
      </c>
      <c r="C2" s="107"/>
    </row>
    <row r="3" spans="1:5" s="101" customFormat="1" ht="15.6">
      <c r="A3" s="108" t="s">
        <v>962</v>
      </c>
      <c r="C3" s="107"/>
    </row>
    <row r="4" spans="1:5" ht="9" customHeight="1">
      <c r="A4" s="109"/>
      <c r="B4" s="109"/>
      <c r="E4" s="110"/>
    </row>
    <row r="5" spans="1:5" s="102" customFormat="1" ht="24" customHeight="1">
      <c r="A5" s="111" t="s">
        <v>58</v>
      </c>
      <c r="B5" s="112" t="s">
        <v>963</v>
      </c>
      <c r="C5" s="112" t="s">
        <v>964</v>
      </c>
      <c r="D5" s="112" t="s">
        <v>965</v>
      </c>
      <c r="E5" s="113" t="s">
        <v>901</v>
      </c>
    </row>
    <row r="6" spans="1:5" ht="16.5" customHeight="1">
      <c r="A6" s="114" t="s">
        <v>966</v>
      </c>
      <c r="B6" s="115" t="s">
        <v>967</v>
      </c>
      <c r="C6" s="116"/>
      <c r="D6" s="116"/>
      <c r="E6" s="117"/>
    </row>
    <row r="7" spans="1:5">
      <c r="A7" s="118">
        <v>1</v>
      </c>
      <c r="B7" s="119" t="s">
        <v>968</v>
      </c>
      <c r="C7" s="119"/>
      <c r="D7" s="119"/>
      <c r="E7" s="120"/>
    </row>
    <row r="8" spans="1:5">
      <c r="A8" s="118"/>
      <c r="B8" s="119" t="s">
        <v>969</v>
      </c>
      <c r="C8" s="119" t="s">
        <v>970</v>
      </c>
      <c r="D8" s="119" t="s">
        <v>971</v>
      </c>
      <c r="E8" s="120"/>
    </row>
    <row r="9" spans="1:5">
      <c r="A9" s="118"/>
      <c r="B9" s="119"/>
      <c r="C9" s="119" t="s">
        <v>972</v>
      </c>
      <c r="D9" s="119"/>
      <c r="E9" s="120"/>
    </row>
    <row r="10" spans="1:5">
      <c r="A10" s="118">
        <v>2</v>
      </c>
      <c r="B10" s="119" t="s">
        <v>973</v>
      </c>
      <c r="C10" s="119"/>
      <c r="D10" s="119"/>
      <c r="E10" s="120"/>
    </row>
    <row r="11" spans="1:5">
      <c r="A11" s="118"/>
      <c r="B11" s="2065" t="s">
        <v>974</v>
      </c>
      <c r="C11" s="119" t="s">
        <v>975</v>
      </c>
      <c r="D11" s="119" t="s">
        <v>976</v>
      </c>
      <c r="E11" s="120"/>
    </row>
    <row r="12" spans="1:5">
      <c r="A12" s="118"/>
      <c r="B12" s="2065" t="s">
        <v>977</v>
      </c>
      <c r="C12" s="119" t="s">
        <v>978</v>
      </c>
      <c r="D12" s="119"/>
      <c r="E12" s="120"/>
    </row>
    <row r="13" spans="1:5">
      <c r="A13" s="118"/>
      <c r="B13" s="2065" t="s">
        <v>979</v>
      </c>
      <c r="C13" s="119" t="s">
        <v>980</v>
      </c>
      <c r="D13" s="119"/>
      <c r="E13" s="120"/>
    </row>
    <row r="14" spans="1:5">
      <c r="A14" s="118"/>
      <c r="B14" s="2065" t="s">
        <v>981</v>
      </c>
      <c r="C14" s="119" t="s">
        <v>978</v>
      </c>
      <c r="D14" s="119"/>
      <c r="E14" s="120"/>
    </row>
    <row r="15" spans="1:5">
      <c r="A15" s="118"/>
      <c r="B15" s="2065" t="s">
        <v>982</v>
      </c>
      <c r="C15" s="119" t="s">
        <v>983</v>
      </c>
      <c r="D15" s="119"/>
      <c r="E15" s="120"/>
    </row>
    <row r="16" spans="1:5">
      <c r="A16" s="118"/>
      <c r="B16" s="2065" t="s">
        <v>984</v>
      </c>
      <c r="C16" s="119" t="s">
        <v>985</v>
      </c>
      <c r="D16" s="119"/>
      <c r="E16" s="120"/>
    </row>
    <row r="17" spans="1:5">
      <c r="A17" s="118"/>
      <c r="B17" s="2065" t="s">
        <v>986</v>
      </c>
      <c r="C17" s="119" t="s">
        <v>987</v>
      </c>
      <c r="D17" s="119"/>
      <c r="E17" s="120"/>
    </row>
    <row r="18" spans="1:5">
      <c r="A18" s="118"/>
      <c r="B18" s="2065" t="s">
        <v>988</v>
      </c>
      <c r="C18" s="119" t="s">
        <v>989</v>
      </c>
      <c r="D18" s="119"/>
      <c r="E18" s="120"/>
    </row>
    <row r="19" spans="1:5">
      <c r="A19" s="118"/>
      <c r="B19" s="2065" t="s">
        <v>990</v>
      </c>
      <c r="C19" s="119" t="s">
        <v>991</v>
      </c>
      <c r="D19" s="119"/>
      <c r="E19" s="120"/>
    </row>
    <row r="20" spans="1:5">
      <c r="A20" s="118"/>
      <c r="B20" s="2065" t="s">
        <v>992</v>
      </c>
      <c r="C20" s="119" t="s">
        <v>993</v>
      </c>
      <c r="D20" s="119"/>
      <c r="E20" s="120"/>
    </row>
    <row r="21" spans="1:5">
      <c r="A21" s="118"/>
      <c r="B21" s="119"/>
      <c r="C21" s="119"/>
      <c r="D21" s="119"/>
      <c r="E21" s="120"/>
    </row>
    <row r="22" spans="1:5">
      <c r="A22" s="118">
        <v>3</v>
      </c>
      <c r="B22" s="2065" t="s">
        <v>994</v>
      </c>
      <c r="C22" s="119"/>
      <c r="D22" s="119"/>
      <c r="E22" s="120"/>
    </row>
    <row r="23" spans="1:5">
      <c r="A23" s="118"/>
      <c r="B23" s="2065" t="s">
        <v>995</v>
      </c>
      <c r="C23" s="119" t="s">
        <v>996</v>
      </c>
      <c r="D23" s="119"/>
      <c r="E23" s="120"/>
    </row>
    <row r="24" spans="1:5">
      <c r="A24" s="118"/>
      <c r="B24" s="2065" t="s">
        <v>997</v>
      </c>
      <c r="C24" s="119" t="s">
        <v>998</v>
      </c>
      <c r="D24" s="119"/>
      <c r="E24" s="120"/>
    </row>
    <row r="25" spans="1:5">
      <c r="A25" s="118"/>
      <c r="B25" s="2065" t="s">
        <v>999</v>
      </c>
      <c r="C25" s="119" t="s">
        <v>998</v>
      </c>
      <c r="D25" s="119"/>
      <c r="E25" s="120"/>
    </row>
    <row r="26" spans="1:5">
      <c r="A26" s="118"/>
      <c r="B26" s="2065" t="s">
        <v>1000</v>
      </c>
      <c r="C26" s="119" t="s">
        <v>998</v>
      </c>
      <c r="D26" s="119"/>
      <c r="E26" s="120"/>
    </row>
    <row r="27" spans="1:5">
      <c r="A27" s="118"/>
      <c r="B27" s="2065" t="s">
        <v>1001</v>
      </c>
      <c r="C27" s="119" t="s">
        <v>998</v>
      </c>
      <c r="D27" s="119"/>
      <c r="E27" s="120"/>
    </row>
    <row r="28" spans="1:5">
      <c r="A28" s="118"/>
      <c r="B28" s="2065" t="s">
        <v>1002</v>
      </c>
      <c r="C28" s="119" t="s">
        <v>998</v>
      </c>
      <c r="D28" s="119"/>
      <c r="E28" s="120"/>
    </row>
    <row r="29" spans="1:5" ht="9" customHeight="1">
      <c r="A29" s="118"/>
      <c r="B29" s="119"/>
      <c r="C29" s="119"/>
      <c r="D29" s="119"/>
      <c r="E29" s="120"/>
    </row>
    <row r="30" spans="1:5">
      <c r="A30" s="118">
        <v>4</v>
      </c>
      <c r="B30" s="119" t="s">
        <v>1003</v>
      </c>
      <c r="C30" s="119" t="s">
        <v>1004</v>
      </c>
      <c r="D30" s="119"/>
      <c r="E30" s="120"/>
    </row>
    <row r="31" spans="1:5" ht="9" customHeight="1">
      <c r="A31" s="118"/>
      <c r="B31" s="119"/>
      <c r="C31" s="119"/>
      <c r="D31" s="119"/>
      <c r="E31" s="120"/>
    </row>
    <row r="32" spans="1:5">
      <c r="A32" s="118">
        <v>5</v>
      </c>
      <c r="B32" s="119" t="s">
        <v>1005</v>
      </c>
      <c r="C32" s="119" t="s">
        <v>1004</v>
      </c>
      <c r="D32" s="119"/>
      <c r="E32" s="120"/>
    </row>
    <row r="33" spans="1:5">
      <c r="A33" s="118"/>
      <c r="B33" s="119" t="s">
        <v>1006</v>
      </c>
      <c r="C33" s="119"/>
      <c r="D33" s="119"/>
      <c r="E33" s="120"/>
    </row>
    <row r="34" spans="1:5">
      <c r="A34" s="118"/>
      <c r="B34" s="119" t="s">
        <v>1007</v>
      </c>
      <c r="C34" s="119"/>
      <c r="D34" s="119"/>
      <c r="E34" s="120"/>
    </row>
    <row r="35" spans="1:5" ht="9" customHeight="1">
      <c r="A35" s="118" t="s">
        <v>1008</v>
      </c>
      <c r="B35" s="119"/>
      <c r="C35" s="119"/>
      <c r="D35" s="119"/>
      <c r="E35" s="120"/>
    </row>
    <row r="36" spans="1:5">
      <c r="A36" s="118">
        <v>6</v>
      </c>
      <c r="B36" s="119" t="s">
        <v>1009</v>
      </c>
      <c r="C36" s="119"/>
      <c r="D36" s="119"/>
      <c r="E36" s="120"/>
    </row>
    <row r="37" spans="1:5">
      <c r="A37" s="118"/>
      <c r="B37" s="119" t="s">
        <v>1010</v>
      </c>
      <c r="C37" s="119" t="s">
        <v>1011</v>
      </c>
      <c r="D37" s="119" t="s">
        <v>976</v>
      </c>
      <c r="E37" s="120" t="s">
        <v>1012</v>
      </c>
    </row>
    <row r="38" spans="1:5">
      <c r="A38" s="118"/>
      <c r="B38" s="119" t="s">
        <v>1013</v>
      </c>
      <c r="C38" s="119" t="s">
        <v>1014</v>
      </c>
      <c r="D38" s="119" t="s">
        <v>1015</v>
      </c>
      <c r="E38" s="120" t="s">
        <v>1016</v>
      </c>
    </row>
    <row r="39" spans="1:5" ht="9" customHeight="1">
      <c r="A39" s="118"/>
      <c r="B39" s="119"/>
      <c r="C39" s="119"/>
      <c r="D39" s="119"/>
      <c r="E39" s="120"/>
    </row>
    <row r="40" spans="1:5">
      <c r="A40" s="118">
        <v>7</v>
      </c>
      <c r="B40" s="119" t="s">
        <v>1017</v>
      </c>
      <c r="C40" s="119" t="s">
        <v>1018</v>
      </c>
      <c r="D40" s="119" t="s">
        <v>1019</v>
      </c>
      <c r="E40" s="120" t="s">
        <v>1020</v>
      </c>
    </row>
    <row r="41" spans="1:5">
      <c r="A41" s="118"/>
      <c r="B41" s="119"/>
      <c r="C41" s="119"/>
      <c r="D41" s="119"/>
      <c r="E41" s="120" t="s">
        <v>1021</v>
      </c>
    </row>
    <row r="42" spans="1:5">
      <c r="A42" s="118">
        <v>8</v>
      </c>
      <c r="B42" s="119" t="s">
        <v>1022</v>
      </c>
      <c r="C42" s="119" t="s">
        <v>1023</v>
      </c>
      <c r="D42" s="119" t="s">
        <v>1024</v>
      </c>
      <c r="E42" s="120"/>
    </row>
    <row r="43" spans="1:5">
      <c r="A43" s="118">
        <v>9</v>
      </c>
      <c r="B43" s="119" t="s">
        <v>1025</v>
      </c>
      <c r="C43" s="119" t="s">
        <v>1026</v>
      </c>
      <c r="D43" s="119"/>
      <c r="E43" s="120" t="s">
        <v>662</v>
      </c>
    </row>
    <row r="44" spans="1:5">
      <c r="A44" s="118">
        <v>10</v>
      </c>
      <c r="B44" s="119" t="s">
        <v>1027</v>
      </c>
      <c r="C44" s="119" t="s">
        <v>1028</v>
      </c>
      <c r="D44" s="119" t="s">
        <v>1029</v>
      </c>
      <c r="E44" s="120" t="s">
        <v>91</v>
      </c>
    </row>
    <row r="45" spans="1:5">
      <c r="A45" s="118">
        <v>11</v>
      </c>
      <c r="B45" s="119" t="s">
        <v>1030</v>
      </c>
      <c r="C45" s="119" t="s">
        <v>1031</v>
      </c>
      <c r="D45" s="119" t="s">
        <v>1032</v>
      </c>
      <c r="E45" s="120" t="s">
        <v>1033</v>
      </c>
    </row>
    <row r="46" spans="1:5">
      <c r="A46" s="118"/>
      <c r="B46" s="119"/>
      <c r="C46" s="119"/>
      <c r="D46" s="119"/>
      <c r="E46" s="120"/>
    </row>
    <row r="47" spans="1:5" ht="9" customHeight="1">
      <c r="A47" s="118"/>
      <c r="B47" s="119"/>
      <c r="C47" s="119"/>
      <c r="D47" s="119"/>
      <c r="E47" s="120"/>
    </row>
    <row r="48" spans="1:5">
      <c r="A48" s="121" t="s">
        <v>461</v>
      </c>
      <c r="B48" s="122" t="s">
        <v>1034</v>
      </c>
      <c r="C48" s="123"/>
      <c r="D48" s="123"/>
      <c r="E48" s="124"/>
    </row>
    <row r="49" spans="1:5">
      <c r="A49" s="125">
        <v>1</v>
      </c>
      <c r="B49" s="123" t="s">
        <v>1035</v>
      </c>
      <c r="C49" s="123" t="s">
        <v>1036</v>
      </c>
      <c r="D49" s="123" t="s">
        <v>1037</v>
      </c>
      <c r="E49" s="124"/>
    </row>
    <row r="50" spans="1:5">
      <c r="A50" s="125"/>
      <c r="B50" s="123"/>
      <c r="C50" s="123"/>
      <c r="D50" s="123"/>
      <c r="E50" s="124"/>
    </row>
    <row r="51" spans="1:5">
      <c r="A51" s="125">
        <v>2</v>
      </c>
      <c r="B51" s="123" t="s">
        <v>1038</v>
      </c>
      <c r="C51" s="123" t="s">
        <v>1018</v>
      </c>
      <c r="D51" s="123" t="s">
        <v>1039</v>
      </c>
      <c r="E51" s="124" t="s">
        <v>1040</v>
      </c>
    </row>
    <row r="52" spans="1:5">
      <c r="A52" s="125"/>
      <c r="B52" s="123"/>
      <c r="C52" s="123"/>
      <c r="D52" s="123"/>
      <c r="E52" s="124" t="s">
        <v>1041</v>
      </c>
    </row>
    <row r="53" spans="1:5">
      <c r="A53" s="118">
        <v>3</v>
      </c>
      <c r="B53" s="119" t="s">
        <v>1022</v>
      </c>
      <c r="C53" s="119" t="s">
        <v>1023</v>
      </c>
      <c r="D53" s="119" t="s">
        <v>1024</v>
      </c>
      <c r="E53" s="120"/>
    </row>
    <row r="54" spans="1:5">
      <c r="A54" s="118">
        <v>4</v>
      </c>
      <c r="B54" s="119" t="s">
        <v>1042</v>
      </c>
      <c r="C54" s="119" t="s">
        <v>1015</v>
      </c>
      <c r="D54" s="119" t="s">
        <v>1043</v>
      </c>
      <c r="E54" s="120"/>
    </row>
    <row r="55" spans="1:5" ht="9.75" customHeight="1">
      <c r="A55" s="118"/>
      <c r="B55" s="119"/>
      <c r="C55" s="119"/>
      <c r="D55" s="119"/>
      <c r="E55" s="120"/>
    </row>
    <row r="56" spans="1:5">
      <c r="A56" s="121" t="s">
        <v>465</v>
      </c>
      <c r="B56" s="122" t="s">
        <v>1044</v>
      </c>
      <c r="C56" s="123" t="s">
        <v>91</v>
      </c>
      <c r="D56" s="123"/>
      <c r="E56" s="124"/>
    </row>
    <row r="57" spans="1:5">
      <c r="A57" s="125">
        <v>1</v>
      </c>
      <c r="B57" s="123" t="s">
        <v>1045</v>
      </c>
      <c r="C57" s="123" t="s">
        <v>1046</v>
      </c>
      <c r="D57" s="123" t="s">
        <v>1015</v>
      </c>
      <c r="E57" s="124"/>
    </row>
    <row r="58" spans="1:5">
      <c r="A58" s="125"/>
      <c r="B58" s="123" t="s">
        <v>1047</v>
      </c>
      <c r="C58" s="123"/>
      <c r="D58" s="123"/>
      <c r="E58" s="124"/>
    </row>
    <row r="59" spans="1:5">
      <c r="A59" s="125"/>
      <c r="B59" s="123" t="s">
        <v>1048</v>
      </c>
      <c r="C59" s="123"/>
      <c r="D59" s="123"/>
      <c r="E59" s="124"/>
    </row>
    <row r="60" spans="1:5">
      <c r="A60" s="125">
        <v>2</v>
      </c>
      <c r="B60" s="123" t="s">
        <v>1049</v>
      </c>
      <c r="C60" s="123" t="s">
        <v>1050</v>
      </c>
      <c r="D60" s="123" t="s">
        <v>1015</v>
      </c>
      <c r="E60" s="124"/>
    </row>
    <row r="61" spans="1:5">
      <c r="A61" s="125">
        <v>3</v>
      </c>
      <c r="B61" s="123" t="s">
        <v>1038</v>
      </c>
      <c r="C61" s="123" t="s">
        <v>1018</v>
      </c>
      <c r="D61" s="123" t="s">
        <v>1051</v>
      </c>
      <c r="E61" s="124" t="s">
        <v>1040</v>
      </c>
    </row>
    <row r="62" spans="1:5">
      <c r="A62" s="125"/>
      <c r="B62" s="123"/>
      <c r="C62" s="123"/>
      <c r="D62" s="123"/>
      <c r="E62" s="124" t="s">
        <v>1041</v>
      </c>
    </row>
    <row r="63" spans="1:5">
      <c r="A63" s="125">
        <v>4</v>
      </c>
      <c r="B63" s="123" t="s">
        <v>1042</v>
      </c>
      <c r="C63" s="123" t="s">
        <v>1015</v>
      </c>
      <c r="D63" s="123" t="s">
        <v>91</v>
      </c>
      <c r="E63" s="124"/>
    </row>
    <row r="64" spans="1:5">
      <c r="A64" s="125">
        <v>5</v>
      </c>
      <c r="B64" s="123" t="s">
        <v>1022</v>
      </c>
      <c r="C64" s="119" t="s">
        <v>1023</v>
      </c>
      <c r="D64" s="119" t="s">
        <v>1024</v>
      </c>
      <c r="E64" s="124"/>
    </row>
    <row r="65" spans="1:5">
      <c r="A65" s="126"/>
      <c r="B65" s="127"/>
      <c r="C65" s="127"/>
      <c r="D65" s="127"/>
      <c r="E65" s="128"/>
    </row>
    <row r="66" spans="1:5">
      <c r="A66" s="121" t="s">
        <v>475</v>
      </c>
      <c r="B66" s="122" t="s">
        <v>1052</v>
      </c>
      <c r="C66" s="123" t="s">
        <v>91</v>
      </c>
      <c r="D66" s="123"/>
      <c r="E66" s="124"/>
    </row>
    <row r="67" spans="1:5" s="103" customFormat="1" ht="24">
      <c r="A67" s="129">
        <v>1</v>
      </c>
      <c r="B67" s="130" t="s">
        <v>1053</v>
      </c>
      <c r="C67" s="130" t="s">
        <v>1054</v>
      </c>
      <c r="D67" s="130" t="s">
        <v>1055</v>
      </c>
      <c r="E67" s="131"/>
    </row>
    <row r="68" spans="1:5">
      <c r="A68" s="125">
        <v>2</v>
      </c>
      <c r="B68" s="123" t="s">
        <v>1056</v>
      </c>
      <c r="C68" s="119" t="s">
        <v>1057</v>
      </c>
      <c r="D68" s="123"/>
      <c r="E68" s="124"/>
    </row>
    <row r="69" spans="1:5" s="103" customFormat="1" ht="24">
      <c r="A69" s="132">
        <v>3</v>
      </c>
      <c r="B69" s="133" t="s">
        <v>1038</v>
      </c>
      <c r="C69" s="133" t="s">
        <v>1058</v>
      </c>
      <c r="D69" s="133" t="s">
        <v>1059</v>
      </c>
      <c r="E69" s="131"/>
    </row>
    <row r="70" spans="1:5">
      <c r="A70" s="125">
        <v>4</v>
      </c>
      <c r="B70" s="123" t="s">
        <v>1022</v>
      </c>
      <c r="C70" s="119" t="s">
        <v>1023</v>
      </c>
      <c r="D70" s="119" t="s">
        <v>1024</v>
      </c>
      <c r="E70" s="124"/>
    </row>
    <row r="71" spans="1:5" ht="6.75" customHeight="1">
      <c r="A71" s="118"/>
      <c r="B71" s="119"/>
      <c r="C71" s="119"/>
      <c r="D71" s="119"/>
      <c r="E71" s="120"/>
    </row>
    <row r="72" spans="1:5" ht="12.75" customHeight="1">
      <c r="A72" s="134" t="s">
        <v>475</v>
      </c>
      <c r="B72" s="135" t="s">
        <v>1060</v>
      </c>
      <c r="C72" s="119"/>
      <c r="D72" s="119"/>
      <c r="E72" s="120"/>
    </row>
    <row r="73" spans="1:5" ht="13.2">
      <c r="A73" s="118">
        <v>1</v>
      </c>
      <c r="B73" s="119" t="s">
        <v>1061</v>
      </c>
      <c r="C73" s="136" t="s">
        <v>1062</v>
      </c>
      <c r="D73" s="119" t="s">
        <v>1063</v>
      </c>
      <c r="E73" s="120" t="s">
        <v>1064</v>
      </c>
    </row>
    <row r="74" spans="1:5" ht="13.2">
      <c r="A74" s="137">
        <v>2</v>
      </c>
      <c r="B74" s="136" t="s">
        <v>1065</v>
      </c>
      <c r="C74" s="136" t="s">
        <v>1066</v>
      </c>
      <c r="D74" s="136" t="s">
        <v>1067</v>
      </c>
      <c r="E74" s="120"/>
    </row>
    <row r="75" spans="1:5" ht="13.2">
      <c r="A75" s="137"/>
      <c r="B75" s="136" t="s">
        <v>1068</v>
      </c>
      <c r="C75" s="136"/>
      <c r="D75" s="136"/>
      <c r="E75" s="120"/>
    </row>
    <row r="76" spans="1:5" ht="13.2">
      <c r="A76" s="137">
        <v>3</v>
      </c>
      <c r="B76" s="136" t="s">
        <v>1069</v>
      </c>
      <c r="C76" s="138" t="s">
        <v>1070</v>
      </c>
      <c r="D76" s="136" t="s">
        <v>1071</v>
      </c>
      <c r="E76" s="120"/>
    </row>
    <row r="77" spans="1:5" ht="13.2">
      <c r="A77" s="137">
        <v>4</v>
      </c>
      <c r="B77" s="136" t="s">
        <v>1072</v>
      </c>
      <c r="C77" s="136" t="s">
        <v>1073</v>
      </c>
      <c r="D77" s="136" t="s">
        <v>976</v>
      </c>
      <c r="E77" s="120" t="s">
        <v>1074</v>
      </c>
    </row>
    <row r="78" spans="1:5" ht="13.2">
      <c r="A78" s="137">
        <v>5</v>
      </c>
      <c r="B78" s="136" t="s">
        <v>1075</v>
      </c>
      <c r="C78" s="136" t="s">
        <v>1076</v>
      </c>
      <c r="D78" s="136" t="s">
        <v>1077</v>
      </c>
      <c r="E78" s="120"/>
    </row>
    <row r="79" spans="1:5" ht="13.2">
      <c r="A79" s="137">
        <v>6</v>
      </c>
      <c r="B79" s="136" t="s">
        <v>1078</v>
      </c>
      <c r="C79" s="136" t="s">
        <v>1073</v>
      </c>
      <c r="D79" s="136" t="s">
        <v>976</v>
      </c>
      <c r="E79" s="120" t="s">
        <v>1079</v>
      </c>
    </row>
    <row r="80" spans="1:5" ht="6" customHeight="1">
      <c r="A80" s="137"/>
      <c r="B80" s="136"/>
      <c r="C80" s="136"/>
      <c r="D80" s="136"/>
      <c r="E80" s="120"/>
    </row>
    <row r="81" spans="1:5" ht="13.2">
      <c r="A81" s="139" t="s">
        <v>1080</v>
      </c>
      <c r="B81" s="140" t="s">
        <v>1081</v>
      </c>
      <c r="C81" s="136"/>
      <c r="D81" s="136"/>
      <c r="E81" s="120"/>
    </row>
    <row r="82" spans="1:5" ht="13.2">
      <c r="A82" s="118">
        <v>1</v>
      </c>
      <c r="B82" s="141" t="s">
        <v>1082</v>
      </c>
      <c r="C82" s="136" t="s">
        <v>1083</v>
      </c>
      <c r="D82" s="136"/>
      <c r="E82" s="142"/>
    </row>
    <row r="83" spans="1:5" ht="13.2">
      <c r="A83" s="118">
        <v>2</v>
      </c>
      <c r="B83" s="141" t="s">
        <v>1084</v>
      </c>
      <c r="C83" s="136" t="s">
        <v>1085</v>
      </c>
      <c r="D83" s="136"/>
      <c r="E83" s="142"/>
    </row>
    <row r="84" spans="1:5" ht="13.2">
      <c r="A84" s="118">
        <v>3</v>
      </c>
      <c r="B84" s="141" t="s">
        <v>1086</v>
      </c>
      <c r="C84" s="136" t="s">
        <v>1087</v>
      </c>
      <c r="D84" s="136" t="s">
        <v>1088</v>
      </c>
      <c r="E84" s="142"/>
    </row>
    <row r="85" spans="1:5" ht="13.2">
      <c r="A85" s="118">
        <v>4</v>
      </c>
      <c r="B85" s="141" t="s">
        <v>1089</v>
      </c>
      <c r="C85" s="136" t="s">
        <v>1087</v>
      </c>
      <c r="D85" s="136" t="s">
        <v>1088</v>
      </c>
      <c r="E85" s="142"/>
    </row>
    <row r="86" spans="1:5" ht="13.2">
      <c r="A86" s="118">
        <v>5</v>
      </c>
      <c r="B86" s="141" t="s">
        <v>1090</v>
      </c>
      <c r="C86" s="136" t="s">
        <v>1091</v>
      </c>
      <c r="D86" s="136" t="s">
        <v>1092</v>
      </c>
      <c r="E86" s="142"/>
    </row>
    <row r="87" spans="1:5" ht="13.2">
      <c r="A87" s="118">
        <v>6</v>
      </c>
      <c r="B87" s="141" t="s">
        <v>1093</v>
      </c>
      <c r="C87" s="136" t="s">
        <v>1094</v>
      </c>
      <c r="D87" s="136" t="s">
        <v>1095</v>
      </c>
      <c r="E87" s="142"/>
    </row>
    <row r="88" spans="1:5" ht="13.2">
      <c r="A88" s="118">
        <v>7</v>
      </c>
      <c r="B88" s="141" t="s">
        <v>1096</v>
      </c>
      <c r="C88" s="136" t="s">
        <v>1097</v>
      </c>
      <c r="D88" s="136"/>
      <c r="E88" s="142"/>
    </row>
    <row r="89" spans="1:5" ht="13.2">
      <c r="A89" s="118">
        <v>8</v>
      </c>
      <c r="B89" s="141" t="s">
        <v>1098</v>
      </c>
      <c r="C89" s="136" t="s">
        <v>1099</v>
      </c>
      <c r="D89" s="136" t="s">
        <v>1100</v>
      </c>
      <c r="E89" s="142"/>
    </row>
    <row r="90" spans="1:5" ht="13.2">
      <c r="A90" s="118">
        <v>9</v>
      </c>
      <c r="B90" s="141" t="s">
        <v>1101</v>
      </c>
      <c r="C90" s="136" t="s">
        <v>1099</v>
      </c>
      <c r="D90" s="136" t="s">
        <v>1100</v>
      </c>
      <c r="E90" s="142"/>
    </row>
    <row r="91" spans="1:5" ht="13.2">
      <c r="A91" s="118">
        <v>10</v>
      </c>
      <c r="B91" s="141" t="s">
        <v>1102</v>
      </c>
      <c r="C91" s="136" t="s">
        <v>1099</v>
      </c>
      <c r="D91" s="136"/>
      <c r="E91" s="142"/>
    </row>
    <row r="92" spans="1:5" ht="13.2">
      <c r="A92" s="118">
        <v>11</v>
      </c>
      <c r="B92" s="141" t="s">
        <v>1103</v>
      </c>
      <c r="C92" s="136" t="s">
        <v>1104</v>
      </c>
      <c r="D92" s="136"/>
      <c r="E92" s="142"/>
    </row>
    <row r="93" spans="1:5" ht="13.2">
      <c r="A93" s="118">
        <v>12</v>
      </c>
      <c r="B93" s="141" t="s">
        <v>1105</v>
      </c>
      <c r="C93" s="136" t="s">
        <v>1106</v>
      </c>
      <c r="D93" s="136"/>
      <c r="E93" s="142"/>
    </row>
    <row r="94" spans="1:5" ht="13.2">
      <c r="A94" s="118">
        <v>13</v>
      </c>
      <c r="B94" s="141" t="s">
        <v>1107</v>
      </c>
      <c r="C94" s="136" t="s">
        <v>1076</v>
      </c>
      <c r="D94" s="136" t="s">
        <v>1077</v>
      </c>
      <c r="E94" s="142"/>
    </row>
    <row r="95" spans="1:5" ht="13.2">
      <c r="A95" s="118">
        <v>14</v>
      </c>
      <c r="B95" s="141" t="s">
        <v>1108</v>
      </c>
      <c r="C95" s="136" t="s">
        <v>1076</v>
      </c>
      <c r="D95" s="136" t="s">
        <v>1077</v>
      </c>
      <c r="E95" s="142"/>
    </row>
    <row r="96" spans="1:5" ht="13.2">
      <c r="A96" s="118">
        <v>15</v>
      </c>
      <c r="B96" s="141" t="s">
        <v>1109</v>
      </c>
      <c r="C96" s="136" t="s">
        <v>1076</v>
      </c>
      <c r="D96" s="136" t="s">
        <v>1077</v>
      </c>
      <c r="E96" s="142"/>
    </row>
    <row r="97" spans="1:5" ht="13.2">
      <c r="A97" s="118">
        <v>16</v>
      </c>
      <c r="B97" s="141" t="s">
        <v>1110</v>
      </c>
      <c r="C97" s="136" t="s">
        <v>1076</v>
      </c>
      <c r="D97" s="136" t="s">
        <v>25</v>
      </c>
      <c r="E97" s="142"/>
    </row>
    <row r="98" spans="1:5" ht="13.2">
      <c r="A98" s="118">
        <v>17</v>
      </c>
      <c r="B98" s="141" t="s">
        <v>1111</v>
      </c>
      <c r="C98" s="136" t="s">
        <v>1094</v>
      </c>
      <c r="D98" s="136" t="s">
        <v>1077</v>
      </c>
      <c r="E98" s="142"/>
    </row>
    <row r="99" spans="1:5">
      <c r="A99" s="118">
        <v>18</v>
      </c>
      <c r="B99" s="119" t="s">
        <v>1112</v>
      </c>
      <c r="C99" s="119" t="s">
        <v>1113</v>
      </c>
      <c r="D99" s="119" t="s">
        <v>1015</v>
      </c>
      <c r="E99" s="120" t="s">
        <v>1114</v>
      </c>
    </row>
    <row r="100" spans="1:5">
      <c r="A100" s="118">
        <v>19</v>
      </c>
      <c r="B100" s="119" t="s">
        <v>1115</v>
      </c>
      <c r="C100" s="119" t="s">
        <v>1116</v>
      </c>
      <c r="D100" s="119"/>
      <c r="E100" s="120"/>
    </row>
    <row r="101" spans="1:5">
      <c r="A101" s="118">
        <v>20</v>
      </c>
      <c r="B101" s="119" t="s">
        <v>1117</v>
      </c>
      <c r="C101" s="119" t="s">
        <v>1118</v>
      </c>
      <c r="D101" s="119" t="s">
        <v>1119</v>
      </c>
      <c r="E101" s="120"/>
    </row>
    <row r="102" spans="1:5">
      <c r="A102" s="118">
        <v>21</v>
      </c>
      <c r="B102" s="119" t="s">
        <v>1120</v>
      </c>
      <c r="C102" s="119" t="s">
        <v>1121</v>
      </c>
      <c r="D102" s="119"/>
      <c r="E102" s="120"/>
    </row>
    <row r="103" spans="1:5" ht="9" customHeight="1">
      <c r="A103" s="137"/>
      <c r="B103" s="136"/>
      <c r="C103" s="136"/>
      <c r="D103" s="136"/>
      <c r="E103" s="120"/>
    </row>
    <row r="104" spans="1:5" ht="13.2">
      <c r="A104" s="134" t="s">
        <v>1122</v>
      </c>
      <c r="B104" s="135" t="s">
        <v>1123</v>
      </c>
      <c r="C104" s="136"/>
      <c r="D104" s="136"/>
      <c r="E104" s="120"/>
    </row>
    <row r="105" spans="1:5" ht="13.2">
      <c r="A105" s="134"/>
      <c r="B105" s="143"/>
      <c r="C105" s="136"/>
      <c r="D105" s="136"/>
      <c r="E105" s="120"/>
    </row>
    <row r="106" spans="1:5" ht="13.2">
      <c r="A106" s="118">
        <v>1</v>
      </c>
      <c r="B106" s="144" t="s">
        <v>1124</v>
      </c>
      <c r="C106" s="136" t="s">
        <v>1125</v>
      </c>
      <c r="D106" s="136" t="s">
        <v>1126</v>
      </c>
      <c r="E106" s="120"/>
    </row>
    <row r="107" spans="1:5" ht="13.2">
      <c r="A107" s="118"/>
      <c r="B107" s="144" t="s">
        <v>1127</v>
      </c>
      <c r="C107" s="136"/>
      <c r="D107" s="136" t="s">
        <v>1128</v>
      </c>
      <c r="E107" s="120"/>
    </row>
    <row r="108" spans="1:5" ht="13.2">
      <c r="A108" s="118"/>
      <c r="B108" s="144"/>
      <c r="C108" s="136"/>
      <c r="D108" s="136" t="s">
        <v>1129</v>
      </c>
      <c r="E108" s="120"/>
    </row>
    <row r="109" spans="1:5" ht="13.2">
      <c r="A109" s="118"/>
      <c r="B109" s="144"/>
      <c r="C109" s="136"/>
      <c r="D109" s="136" t="s">
        <v>1130</v>
      </c>
      <c r="E109" s="120"/>
    </row>
    <row r="110" spans="1:5" ht="13.2">
      <c r="A110" s="118"/>
      <c r="B110" s="144"/>
      <c r="C110" s="136"/>
      <c r="D110" s="136" t="s">
        <v>1131</v>
      </c>
      <c r="E110" s="120"/>
    </row>
    <row r="111" spans="1:5" ht="13.2">
      <c r="A111" s="118"/>
      <c r="B111" s="144"/>
      <c r="C111" s="136"/>
      <c r="D111" s="136"/>
      <c r="E111" s="120"/>
    </row>
    <row r="112" spans="1:5" ht="13.2">
      <c r="A112" s="118">
        <v>2</v>
      </c>
      <c r="B112" s="144" t="s">
        <v>1132</v>
      </c>
      <c r="C112" s="136" t="s">
        <v>1125</v>
      </c>
      <c r="D112" s="136" t="s">
        <v>1126</v>
      </c>
      <c r="E112" s="120"/>
    </row>
    <row r="113" spans="1:5" ht="13.2">
      <c r="A113" s="118"/>
      <c r="B113" s="144" t="s">
        <v>1127</v>
      </c>
      <c r="C113" s="136"/>
      <c r="D113" s="136" t="s">
        <v>1128</v>
      </c>
      <c r="E113" s="120"/>
    </row>
    <row r="114" spans="1:5" ht="13.2">
      <c r="A114" s="118"/>
      <c r="B114" s="144"/>
      <c r="C114" s="136"/>
      <c r="D114" s="136" t="s">
        <v>1129</v>
      </c>
      <c r="E114" s="120"/>
    </row>
    <row r="115" spans="1:5" ht="13.2">
      <c r="A115" s="118"/>
      <c r="B115" s="144"/>
      <c r="C115" s="136"/>
      <c r="D115" s="136" t="s">
        <v>1130</v>
      </c>
      <c r="E115" s="120"/>
    </row>
    <row r="116" spans="1:5" ht="13.2">
      <c r="A116" s="118"/>
      <c r="B116" s="144"/>
      <c r="C116" s="136"/>
      <c r="D116" s="136" t="s">
        <v>1133</v>
      </c>
      <c r="E116" s="120"/>
    </row>
    <row r="117" spans="1:5" ht="13.2">
      <c r="A117" s="118"/>
      <c r="B117" s="144"/>
      <c r="C117" s="136"/>
      <c r="D117" s="136" t="s">
        <v>1134</v>
      </c>
      <c r="E117" s="120"/>
    </row>
    <row r="118" spans="1:5" ht="13.2">
      <c r="A118" s="118"/>
      <c r="B118" s="144"/>
      <c r="C118" s="136"/>
      <c r="D118" s="136" t="s">
        <v>1135</v>
      </c>
      <c r="E118" s="120"/>
    </row>
    <row r="119" spans="1:5" ht="13.2">
      <c r="A119" s="118"/>
      <c r="B119" s="144"/>
      <c r="C119" s="136"/>
      <c r="D119" s="136"/>
      <c r="E119" s="120"/>
    </row>
    <row r="120" spans="1:5" ht="13.2">
      <c r="A120" s="118">
        <v>3</v>
      </c>
      <c r="B120" s="144" t="s">
        <v>1136</v>
      </c>
      <c r="C120" s="136"/>
      <c r="D120" s="136" t="s">
        <v>1137</v>
      </c>
      <c r="E120" s="120"/>
    </row>
    <row r="121" spans="1:5" ht="13.2">
      <c r="A121" s="118"/>
      <c r="B121" s="144"/>
      <c r="C121" s="136"/>
      <c r="D121" s="136" t="s">
        <v>1138</v>
      </c>
      <c r="E121" s="120"/>
    </row>
    <row r="122" spans="1:5" ht="13.2">
      <c r="A122" s="118"/>
      <c r="B122" s="144"/>
      <c r="C122" s="136"/>
      <c r="D122" s="136" t="s">
        <v>1139</v>
      </c>
      <c r="E122" s="120"/>
    </row>
    <row r="123" spans="1:5" ht="13.2">
      <c r="A123" s="118"/>
      <c r="B123" s="141"/>
      <c r="C123" s="136"/>
      <c r="D123" s="119"/>
      <c r="E123" s="120"/>
    </row>
    <row r="124" spans="1:5" ht="13.2">
      <c r="A124" s="118">
        <v>4</v>
      </c>
      <c r="B124" s="141" t="s">
        <v>1140</v>
      </c>
      <c r="C124" s="119" t="s">
        <v>1118</v>
      </c>
      <c r="D124" s="136" t="s">
        <v>1141</v>
      </c>
      <c r="E124" s="120"/>
    </row>
    <row r="125" spans="1:5" ht="13.2">
      <c r="A125" s="118">
        <v>5</v>
      </c>
      <c r="B125" s="141" t="s">
        <v>1142</v>
      </c>
      <c r="C125" s="136" t="s">
        <v>1143</v>
      </c>
      <c r="D125" s="136"/>
      <c r="E125" s="120"/>
    </row>
    <row r="126" spans="1:5" ht="13.2">
      <c r="A126" s="118"/>
      <c r="B126" s="141"/>
      <c r="C126" s="136"/>
      <c r="D126" s="136"/>
      <c r="E126" s="120"/>
    </row>
    <row r="127" spans="1:5" ht="13.2">
      <c r="A127" s="118">
        <v>6</v>
      </c>
      <c r="B127" s="141" t="s">
        <v>1144</v>
      </c>
      <c r="C127" s="136" t="s">
        <v>1143</v>
      </c>
      <c r="D127" s="119" t="s">
        <v>1145</v>
      </c>
      <c r="E127" s="120" t="s">
        <v>1146</v>
      </c>
    </row>
    <row r="128" spans="1:5" ht="13.2">
      <c r="A128" s="118"/>
      <c r="B128" s="141"/>
      <c r="C128" s="136" t="s">
        <v>1143</v>
      </c>
      <c r="D128" s="119" t="s">
        <v>1145</v>
      </c>
      <c r="E128" s="120" t="s">
        <v>1147</v>
      </c>
    </row>
    <row r="129" spans="1:5" ht="9" customHeight="1">
      <c r="A129" s="126"/>
      <c r="B129" s="127"/>
      <c r="C129" s="127"/>
      <c r="D129" s="127"/>
      <c r="E129" s="128"/>
    </row>
  </sheetData>
  <printOptions horizontalCentered="1"/>
  <pageMargins left="0.47244094488188998" right="0.23622047244094499" top="1.14173228346457" bottom="0.98425196850393704" header="0.511811023622047" footer="0.511811023622047"/>
  <pageSetup paperSize="9" scale="84" firstPageNumber="0" orientation="portrait" useFirstPageNumber="1" r:id="rId1"/>
  <headerFooter alignWithMargins="0">
    <oddFooter>&amp;R&amp;9Halaman : &amp;P</oddFooter>
  </headerFooter>
  <rowBreaks count="2" manualBreakCount="2">
    <brk id="47" max="4" man="1"/>
    <brk id="103" max="4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45"/>
  <sheetViews>
    <sheetView view="pageBreakPreview" topLeftCell="A6" zoomScale="60" zoomScaleNormal="100" workbookViewId="0">
      <selection activeCell="C33" sqref="C33"/>
    </sheetView>
  </sheetViews>
  <sheetFormatPr defaultColWidth="9" defaultRowHeight="14.4"/>
  <cols>
    <col min="1" max="1" width="4.6640625" style="2" customWidth="1"/>
    <col min="2" max="2" width="2.5546875" style="3" customWidth="1"/>
    <col min="3" max="3" width="103.88671875" style="3" customWidth="1"/>
    <col min="4" max="4" width="6.33203125" style="4" customWidth="1"/>
    <col min="5" max="5" width="11.6640625" style="5" customWidth="1"/>
    <col min="6" max="6" width="18" style="6" customWidth="1"/>
    <col min="7" max="7" width="17.5546875" style="6" customWidth="1"/>
  </cols>
  <sheetData>
    <row r="1" spans="1:7" ht="15">
      <c r="A1" s="7" t="s">
        <v>1148</v>
      </c>
      <c r="B1" s="8"/>
      <c r="C1" s="8"/>
      <c r="D1" s="9"/>
      <c r="E1" s="9"/>
      <c r="F1" s="10"/>
      <c r="G1" s="10"/>
    </row>
    <row r="2" spans="1:7">
      <c r="A2" s="11" t="s">
        <v>5</v>
      </c>
      <c r="B2" s="12"/>
      <c r="C2" s="12"/>
      <c r="D2" s="13"/>
      <c r="E2" s="13"/>
      <c r="F2" s="14"/>
      <c r="G2" s="14"/>
    </row>
    <row r="3" spans="1:7">
      <c r="A3" s="15" t="s">
        <v>1149</v>
      </c>
      <c r="B3" s="16"/>
      <c r="C3" s="16"/>
      <c r="D3" s="17"/>
      <c r="E3" s="17"/>
      <c r="F3" s="18"/>
      <c r="G3" s="18"/>
    </row>
    <row r="4" spans="1:7">
      <c r="A4" s="15" t="s">
        <v>7</v>
      </c>
      <c r="B4" s="19"/>
      <c r="C4" s="19"/>
      <c r="D4" s="20"/>
      <c r="E4" s="21"/>
      <c r="F4" s="22"/>
      <c r="G4" s="22"/>
    </row>
    <row r="5" spans="1:7">
      <c r="A5" s="23"/>
      <c r="B5" s="23"/>
      <c r="C5" s="23"/>
      <c r="D5" s="24"/>
      <c r="E5" s="25"/>
      <c r="F5" s="26"/>
      <c r="G5" s="27"/>
    </row>
    <row r="6" spans="1:7">
      <c r="A6" s="28"/>
      <c r="B6" s="29"/>
      <c r="C6" s="30"/>
      <c r="D6" s="31"/>
      <c r="E6" s="32"/>
      <c r="F6" s="33"/>
      <c r="G6" s="34"/>
    </row>
    <row r="7" spans="1:7">
      <c r="A7" s="35" t="s">
        <v>58</v>
      </c>
      <c r="B7" s="36"/>
      <c r="C7" s="37" t="s">
        <v>11</v>
      </c>
      <c r="D7" s="38" t="s">
        <v>59</v>
      </c>
      <c r="E7" s="39" t="s">
        <v>60</v>
      </c>
      <c r="F7" s="40" t="s">
        <v>62</v>
      </c>
      <c r="G7" s="41" t="s">
        <v>1150</v>
      </c>
    </row>
    <row r="8" spans="1:7">
      <c r="A8" s="42"/>
      <c r="B8" s="43"/>
      <c r="C8" s="44"/>
      <c r="D8" s="45"/>
      <c r="E8" s="46"/>
      <c r="F8" s="47" t="s">
        <v>19</v>
      </c>
      <c r="G8" s="48" t="s">
        <v>19</v>
      </c>
    </row>
    <row r="9" spans="1:7">
      <c r="A9" s="49"/>
      <c r="B9" s="50"/>
      <c r="C9" s="51"/>
      <c r="D9" s="52"/>
      <c r="E9" s="53"/>
      <c r="F9" s="54"/>
      <c r="G9" s="55"/>
    </row>
    <row r="10" spans="1:7">
      <c r="A10" s="49"/>
      <c r="B10" s="50"/>
      <c r="C10" s="56" t="s">
        <v>67</v>
      </c>
      <c r="D10" s="52"/>
      <c r="E10" s="53"/>
      <c r="F10" s="54"/>
      <c r="G10" s="55"/>
    </row>
    <row r="11" spans="1:7">
      <c r="A11" s="49"/>
      <c r="B11" s="50"/>
      <c r="C11" s="57"/>
      <c r="D11" s="52"/>
      <c r="E11" s="53"/>
      <c r="F11" s="54"/>
      <c r="G11" s="55"/>
    </row>
    <row r="12" spans="1:7">
      <c r="A12" s="58" t="s">
        <v>30</v>
      </c>
      <c r="B12" s="59"/>
      <c r="C12" s="60" t="s">
        <v>1151</v>
      </c>
      <c r="D12" s="52"/>
      <c r="E12" s="53"/>
      <c r="F12" s="54"/>
      <c r="G12" s="55"/>
    </row>
    <row r="13" spans="1:7">
      <c r="A13" s="58"/>
      <c r="B13" s="59"/>
      <c r="C13" s="60"/>
      <c r="D13" s="52"/>
      <c r="E13" s="53"/>
      <c r="F13" s="54"/>
      <c r="G13" s="55"/>
    </row>
    <row r="14" spans="1:7">
      <c r="A14" s="58">
        <f>A24</f>
        <v>1</v>
      </c>
      <c r="B14" s="50"/>
      <c r="C14" s="61" t="s">
        <v>1152</v>
      </c>
      <c r="D14" s="52"/>
      <c r="E14" s="62"/>
      <c r="F14" s="54"/>
      <c r="G14" s="55"/>
    </row>
    <row r="15" spans="1:7">
      <c r="A15" s="49"/>
      <c r="B15" s="50"/>
      <c r="D15" s="52"/>
      <c r="E15" s="62"/>
      <c r="F15" s="54"/>
      <c r="G15" s="55"/>
    </row>
    <row r="16" spans="1:7">
      <c r="A16" s="63" t="str">
        <f>A26</f>
        <v>A</v>
      </c>
      <c r="B16" s="50"/>
      <c r="C16" s="3" t="str">
        <f>C26</f>
        <v>PEKERJAAN BACKDROP</v>
      </c>
      <c r="D16" s="52"/>
      <c r="E16" s="53"/>
      <c r="F16" s="54"/>
      <c r="G16" s="55">
        <f>G228</f>
        <v>636810154.62</v>
      </c>
    </row>
    <row r="17" spans="1:7">
      <c r="A17" s="63" t="str">
        <f>A230</f>
        <v>B</v>
      </c>
      <c r="B17" s="50"/>
      <c r="C17" s="3" t="str">
        <f>C230</f>
        <v>PEKERJAAN PELAPIS DINDING</v>
      </c>
      <c r="D17" s="52"/>
      <c r="E17" s="53"/>
      <c r="F17" s="54"/>
      <c r="G17" s="55">
        <f>G239</f>
        <v>0</v>
      </c>
    </row>
    <row r="18" spans="1:7">
      <c r="A18" s="64" t="str">
        <f>A241</f>
        <v>C</v>
      </c>
      <c r="B18" s="2"/>
      <c r="C18" s="3" t="str">
        <f>C241</f>
        <v>PEKERJAAN LAIN-LAIN</v>
      </c>
      <c r="D18" s="52"/>
      <c r="E18" s="53"/>
      <c r="F18" s="54"/>
      <c r="G18" s="55">
        <f>G245</f>
        <v>0</v>
      </c>
    </row>
    <row r="19" spans="1:7">
      <c r="A19" s="49"/>
      <c r="B19" s="50"/>
      <c r="D19" s="52"/>
      <c r="E19" s="62"/>
      <c r="F19" s="54"/>
      <c r="G19" s="65"/>
    </row>
    <row r="20" spans="1:7">
      <c r="A20" s="49"/>
      <c r="B20" s="50"/>
      <c r="C20" s="66" t="s">
        <v>1153</v>
      </c>
      <c r="D20" s="52"/>
      <c r="E20" s="53"/>
      <c r="F20" s="54"/>
      <c r="G20" s="67">
        <f>SUM(G16:G18)</f>
        <v>636810154.62</v>
      </c>
    </row>
    <row r="21" spans="1:7">
      <c r="A21" s="68"/>
      <c r="C21" s="66"/>
      <c r="D21" s="52"/>
      <c r="E21" s="53"/>
      <c r="F21" s="54"/>
      <c r="G21" s="67"/>
    </row>
    <row r="22" spans="1:7">
      <c r="A22" s="69"/>
      <c r="B22" s="70"/>
      <c r="C22" s="71"/>
      <c r="D22" s="72"/>
      <c r="E22" s="73"/>
      <c r="F22" s="74"/>
      <c r="G22" s="75"/>
    </row>
    <row r="23" spans="1:7">
      <c r="A23" s="76"/>
      <c r="B23" s="77"/>
      <c r="C23" s="78"/>
      <c r="D23" s="31"/>
      <c r="E23" s="79"/>
      <c r="F23" s="80"/>
      <c r="G23" s="81"/>
    </row>
    <row r="24" spans="1:7">
      <c r="A24" s="58">
        <v>1</v>
      </c>
      <c r="B24" s="59"/>
      <c r="C24" s="82" t="s">
        <v>35</v>
      </c>
      <c r="D24" s="52"/>
      <c r="E24" s="53"/>
      <c r="F24" s="54"/>
      <c r="G24" s="55"/>
    </row>
    <row r="25" spans="1:7">
      <c r="A25" s="58"/>
      <c r="B25" s="59"/>
      <c r="C25" s="82"/>
      <c r="D25" s="52"/>
      <c r="E25" s="53"/>
      <c r="F25" s="54"/>
      <c r="G25" s="55"/>
    </row>
    <row r="26" spans="1:7">
      <c r="A26" s="58" t="s">
        <v>32</v>
      </c>
      <c r="B26" s="83"/>
      <c r="C26" s="60" t="s">
        <v>1154</v>
      </c>
      <c r="D26" s="52"/>
      <c r="E26" s="53"/>
      <c r="F26" s="54"/>
      <c r="G26" s="55"/>
    </row>
    <row r="27" spans="1:7">
      <c r="A27" s="58"/>
      <c r="B27" s="83"/>
      <c r="C27" s="60"/>
      <c r="D27" s="52"/>
      <c r="E27" s="53"/>
      <c r="F27" s="54"/>
      <c r="G27" s="55"/>
    </row>
    <row r="28" spans="1:7">
      <c r="A28" s="49">
        <v>1</v>
      </c>
      <c r="B28" s="84"/>
      <c r="C28" s="85" t="s">
        <v>1155</v>
      </c>
      <c r="D28" s="52" t="s">
        <v>1156</v>
      </c>
      <c r="E28" s="53">
        <f>1</f>
        <v>1</v>
      </c>
      <c r="F28" s="54">
        <f>(5*6.3*1250000)</f>
        <v>39375000</v>
      </c>
      <c r="G28" s="55">
        <f>E28*F28</f>
        <v>39375000</v>
      </c>
    </row>
    <row r="29" spans="1:7">
      <c r="A29" s="63"/>
      <c r="B29" s="84"/>
      <c r="C29" s="85" t="s">
        <v>1157</v>
      </c>
      <c r="D29" s="52"/>
      <c r="E29" s="86"/>
      <c r="F29" s="87"/>
      <c r="G29" s="55"/>
    </row>
    <row r="30" spans="1:7">
      <c r="A30" s="63"/>
      <c r="B30" s="84"/>
      <c r="C30" s="85" t="s">
        <v>1158</v>
      </c>
      <c r="D30" s="52"/>
      <c r="E30" s="53"/>
      <c r="F30" s="88"/>
      <c r="G30" s="55"/>
    </row>
    <row r="31" spans="1:7">
      <c r="A31" s="63"/>
      <c r="B31" s="84"/>
      <c r="C31" s="89" t="s">
        <v>1159</v>
      </c>
      <c r="D31" s="52"/>
      <c r="E31" s="53"/>
      <c r="F31" s="54"/>
      <c r="G31" s="55"/>
    </row>
    <row r="32" spans="1:7">
      <c r="A32" s="49"/>
      <c r="B32" s="84"/>
      <c r="C32" s="85" t="s">
        <v>1160</v>
      </c>
      <c r="D32" s="52"/>
      <c r="E32" s="53"/>
      <c r="F32" s="54"/>
      <c r="G32" s="55"/>
    </row>
    <row r="33" spans="1:7">
      <c r="A33" s="63"/>
      <c r="B33" s="84"/>
      <c r="D33" s="52"/>
      <c r="E33" s="53"/>
      <c r="F33" s="87"/>
      <c r="G33" s="55"/>
    </row>
    <row r="34" spans="1:7">
      <c r="A34" s="49">
        <f>A28+1</f>
        <v>2</v>
      </c>
      <c r="B34" s="84"/>
      <c r="C34" s="85" t="s">
        <v>1161</v>
      </c>
      <c r="D34" s="52" t="s">
        <v>1156</v>
      </c>
      <c r="E34" s="53">
        <f>1</f>
        <v>1</v>
      </c>
      <c r="F34" s="88">
        <f>(3.023*2.8*1250000)</f>
        <v>10580500</v>
      </c>
      <c r="G34" s="55">
        <f>E34*F34</f>
        <v>10580500</v>
      </c>
    </row>
    <row r="35" spans="1:7">
      <c r="A35" s="63"/>
      <c r="B35" s="84"/>
      <c r="C35" s="85" t="s">
        <v>1157</v>
      </c>
      <c r="D35" s="52"/>
      <c r="E35" s="86"/>
      <c r="F35" s="87"/>
      <c r="G35" s="55"/>
    </row>
    <row r="36" spans="1:7">
      <c r="A36" s="63"/>
      <c r="B36" s="84"/>
      <c r="C36" s="85" t="s">
        <v>1158</v>
      </c>
      <c r="D36" s="52"/>
      <c r="E36" s="53"/>
      <c r="F36" s="88"/>
      <c r="G36" s="55"/>
    </row>
    <row r="37" spans="1:7">
      <c r="A37" s="63"/>
      <c r="B37" s="84"/>
      <c r="C37" s="89" t="s">
        <v>1162</v>
      </c>
      <c r="D37" s="52"/>
      <c r="E37" s="53"/>
      <c r="F37" s="54"/>
      <c r="G37" s="55"/>
    </row>
    <row r="38" spans="1:7">
      <c r="A38" s="49"/>
      <c r="B38" s="84"/>
      <c r="C38" s="85" t="s">
        <v>1160</v>
      </c>
      <c r="D38" s="52"/>
      <c r="E38" s="53"/>
      <c r="F38" s="54"/>
      <c r="G38" s="55"/>
    </row>
    <row r="39" spans="1:7">
      <c r="A39" s="63"/>
      <c r="B39" s="84"/>
      <c r="C39" s="89" t="s">
        <v>1163</v>
      </c>
      <c r="D39" s="52"/>
      <c r="E39" s="53"/>
      <c r="F39" s="87"/>
      <c r="G39" s="55"/>
    </row>
    <row r="40" spans="1:7" ht="13.5" customHeight="1">
      <c r="A40" s="63"/>
      <c r="B40" s="84"/>
      <c r="D40" s="52"/>
      <c r="E40" s="53"/>
      <c r="F40" s="88"/>
      <c r="G40" s="55"/>
    </row>
    <row r="41" spans="1:7" ht="13.5" customHeight="1">
      <c r="A41" s="63">
        <f>A34+1</f>
        <v>3</v>
      </c>
      <c r="B41" s="84"/>
      <c r="C41" s="85" t="s">
        <v>1164</v>
      </c>
      <c r="D41" s="52" t="s">
        <v>1156</v>
      </c>
      <c r="E41" s="53">
        <f>1</f>
        <v>1</v>
      </c>
      <c r="F41" s="88">
        <f>(2.3*2.8*1250000)</f>
        <v>8050000</v>
      </c>
      <c r="G41" s="55">
        <f>E41*F41</f>
        <v>8050000</v>
      </c>
    </row>
    <row r="42" spans="1:7" ht="13.5" customHeight="1">
      <c r="A42" s="63"/>
      <c r="B42" s="84"/>
      <c r="C42" s="85" t="s">
        <v>1157</v>
      </c>
      <c r="D42" s="52"/>
      <c r="E42" s="53"/>
      <c r="F42" s="88"/>
      <c r="G42" s="55"/>
    </row>
    <row r="43" spans="1:7" ht="13.5" customHeight="1">
      <c r="A43" s="63"/>
      <c r="B43" s="84"/>
      <c r="C43" s="85" t="s">
        <v>1158</v>
      </c>
      <c r="D43" s="52"/>
      <c r="E43" s="53"/>
      <c r="F43" s="88"/>
      <c r="G43" s="55"/>
    </row>
    <row r="44" spans="1:7" ht="13.5" customHeight="1">
      <c r="A44" s="63"/>
      <c r="B44" s="84"/>
      <c r="C44" s="89" t="s">
        <v>1165</v>
      </c>
      <c r="D44" s="52"/>
      <c r="E44" s="53"/>
      <c r="F44" s="88"/>
      <c r="G44" s="55"/>
    </row>
    <row r="45" spans="1:7" ht="13.5" customHeight="1">
      <c r="A45" s="63"/>
      <c r="B45" s="84"/>
      <c r="C45" s="85" t="s">
        <v>1160</v>
      </c>
      <c r="D45" s="52"/>
      <c r="E45" s="53"/>
      <c r="F45" s="88"/>
      <c r="G45" s="55"/>
    </row>
    <row r="46" spans="1:7" ht="13.5" customHeight="1">
      <c r="A46" s="63"/>
      <c r="B46" s="84"/>
      <c r="C46" s="89" t="s">
        <v>1166</v>
      </c>
      <c r="D46" s="52"/>
      <c r="E46" s="53"/>
      <c r="F46" s="88"/>
      <c r="G46" s="55"/>
    </row>
    <row r="47" spans="1:7" ht="13.5" customHeight="1">
      <c r="A47" s="63"/>
      <c r="B47" s="84"/>
      <c r="C47" s="85"/>
      <c r="D47" s="52"/>
      <c r="E47" s="53"/>
      <c r="F47" s="88"/>
      <c r="G47" s="55"/>
    </row>
    <row r="48" spans="1:7" ht="13.5" customHeight="1">
      <c r="A48" s="63">
        <f>A41+1</f>
        <v>4</v>
      </c>
      <c r="B48" s="84"/>
      <c r="C48" s="85" t="s">
        <v>1167</v>
      </c>
      <c r="D48" s="52" t="s">
        <v>1156</v>
      </c>
      <c r="E48" s="53">
        <f>1</f>
        <v>1</v>
      </c>
      <c r="F48" s="88">
        <f>(3.6*2.8*1250000)</f>
        <v>12600000</v>
      </c>
      <c r="G48" s="55">
        <f>E48*F48</f>
        <v>12600000</v>
      </c>
    </row>
    <row r="49" spans="1:7" ht="13.5" customHeight="1">
      <c r="A49" s="63"/>
      <c r="B49" s="84"/>
      <c r="C49" s="85" t="s">
        <v>1157</v>
      </c>
      <c r="D49" s="52"/>
      <c r="E49" s="53"/>
      <c r="F49" s="88"/>
      <c r="G49" s="55"/>
    </row>
    <row r="50" spans="1:7" ht="13.5" customHeight="1">
      <c r="A50" s="63"/>
      <c r="B50" s="84"/>
      <c r="C50" s="85" t="s">
        <v>1158</v>
      </c>
      <c r="D50" s="52"/>
      <c r="E50" s="53"/>
      <c r="F50" s="88"/>
      <c r="G50" s="55"/>
    </row>
    <row r="51" spans="1:7" ht="13.5" customHeight="1">
      <c r="A51" s="63"/>
      <c r="B51" s="84"/>
      <c r="C51" s="89" t="s">
        <v>1168</v>
      </c>
      <c r="D51" s="52"/>
      <c r="E51" s="53"/>
      <c r="F51" s="88"/>
      <c r="G51" s="55"/>
    </row>
    <row r="52" spans="1:7" ht="13.5" customHeight="1">
      <c r="A52" s="63"/>
      <c r="B52" s="84"/>
      <c r="C52" s="89" t="s">
        <v>1169</v>
      </c>
      <c r="D52" s="52"/>
      <c r="E52" s="53"/>
      <c r="F52" s="88"/>
      <c r="G52" s="55"/>
    </row>
    <row r="53" spans="1:7" ht="13.5" customHeight="1">
      <c r="A53" s="63"/>
      <c r="B53" s="84"/>
      <c r="C53" s="89" t="s">
        <v>1170</v>
      </c>
      <c r="D53" s="52"/>
      <c r="E53" s="53"/>
      <c r="F53" s="88"/>
      <c r="G53" s="55"/>
    </row>
    <row r="54" spans="1:7" ht="13.5" customHeight="1">
      <c r="A54" s="63"/>
      <c r="B54" s="84"/>
      <c r="C54" s="89" t="s">
        <v>1171</v>
      </c>
      <c r="D54" s="52"/>
      <c r="E54" s="53"/>
      <c r="F54" s="88"/>
      <c r="G54" s="55"/>
    </row>
    <row r="55" spans="1:7" ht="13.5" customHeight="1">
      <c r="A55" s="63"/>
      <c r="B55" s="84"/>
      <c r="C55" s="85" t="s">
        <v>1160</v>
      </c>
      <c r="D55" s="52"/>
      <c r="E55" s="53"/>
      <c r="F55" s="88"/>
      <c r="G55" s="55"/>
    </row>
    <row r="56" spans="1:7" ht="13.5" customHeight="1">
      <c r="A56" s="63"/>
      <c r="B56" s="84"/>
      <c r="C56" s="89" t="s">
        <v>1172</v>
      </c>
      <c r="D56" s="52"/>
      <c r="E56" s="53"/>
      <c r="F56" s="88"/>
      <c r="G56" s="55"/>
    </row>
    <row r="57" spans="1:7" ht="13.5" customHeight="1">
      <c r="A57" s="63"/>
      <c r="B57" s="84"/>
      <c r="C57" s="85"/>
      <c r="D57" s="52"/>
      <c r="E57" s="53"/>
      <c r="F57" s="88"/>
      <c r="G57" s="55"/>
    </row>
    <row r="58" spans="1:7" ht="13.5" customHeight="1">
      <c r="A58" s="63">
        <f>A48+1</f>
        <v>5</v>
      </c>
      <c r="B58" s="84"/>
      <c r="C58" s="85" t="s">
        <v>1173</v>
      </c>
      <c r="D58" s="52" t="s">
        <v>1156</v>
      </c>
      <c r="E58" s="53">
        <f>1+1+1+1</f>
        <v>4</v>
      </c>
      <c r="F58" s="88">
        <f>(2.2*1.2*1250000)</f>
        <v>3300000</v>
      </c>
      <c r="G58" s="55">
        <f>E58*F58</f>
        <v>13200000</v>
      </c>
    </row>
    <row r="59" spans="1:7" ht="13.5" customHeight="1">
      <c r="A59" s="63"/>
      <c r="B59" s="84"/>
      <c r="C59" s="85" t="s">
        <v>1157</v>
      </c>
      <c r="D59" s="52"/>
      <c r="E59" s="53"/>
      <c r="F59" s="88"/>
      <c r="G59" s="55"/>
    </row>
    <row r="60" spans="1:7" ht="13.5" customHeight="1">
      <c r="A60" s="63"/>
      <c r="B60" s="84"/>
      <c r="C60" s="89" t="s">
        <v>1174</v>
      </c>
      <c r="D60" s="52"/>
      <c r="E60" s="53"/>
      <c r="F60" s="88"/>
      <c r="G60" s="55"/>
    </row>
    <row r="61" spans="1:7" ht="13.5" customHeight="1">
      <c r="A61" s="63"/>
      <c r="B61" s="84"/>
      <c r="C61" s="85"/>
      <c r="D61" s="52"/>
      <c r="E61" s="53"/>
      <c r="F61" s="88"/>
      <c r="G61" s="55"/>
    </row>
    <row r="62" spans="1:7" ht="13.5" customHeight="1">
      <c r="A62" s="63">
        <f>A58+1</f>
        <v>6</v>
      </c>
      <c r="B62" s="84"/>
      <c r="C62" s="85" t="s">
        <v>1175</v>
      </c>
      <c r="D62" s="52" t="s">
        <v>1156</v>
      </c>
      <c r="E62" s="53">
        <f>1</f>
        <v>1</v>
      </c>
      <c r="F62" s="88">
        <f>(3.3*2.8*1250000)</f>
        <v>11550000</v>
      </c>
      <c r="G62" s="55">
        <f>E62*F62</f>
        <v>11550000</v>
      </c>
    </row>
    <row r="63" spans="1:7" ht="13.5" customHeight="1">
      <c r="A63" s="63"/>
      <c r="B63" s="84"/>
      <c r="C63" s="85" t="s">
        <v>1157</v>
      </c>
      <c r="D63" s="52"/>
      <c r="E63" s="53"/>
      <c r="F63" s="88"/>
      <c r="G63" s="55"/>
    </row>
    <row r="64" spans="1:7" ht="13.5" customHeight="1">
      <c r="A64" s="63"/>
      <c r="B64" s="84"/>
      <c r="C64" s="85" t="s">
        <v>1158</v>
      </c>
      <c r="D64" s="52"/>
      <c r="E64" s="53"/>
      <c r="F64" s="88"/>
      <c r="G64" s="55"/>
    </row>
    <row r="65" spans="1:7" ht="13.5" customHeight="1">
      <c r="A65" s="63"/>
      <c r="B65" s="84"/>
      <c r="C65" s="89" t="s">
        <v>1165</v>
      </c>
      <c r="D65" s="52"/>
      <c r="E65" s="53"/>
      <c r="F65" s="88"/>
      <c r="G65" s="55"/>
    </row>
    <row r="66" spans="1:7" ht="13.5" customHeight="1">
      <c r="A66" s="63"/>
      <c r="B66" s="84"/>
      <c r="C66" s="85" t="s">
        <v>1160</v>
      </c>
      <c r="D66" s="52"/>
      <c r="E66" s="53"/>
      <c r="F66" s="88"/>
      <c r="G66" s="55"/>
    </row>
    <row r="67" spans="1:7" ht="13.5" customHeight="1">
      <c r="A67" s="63"/>
      <c r="B67" s="84"/>
      <c r="C67" s="89" t="s">
        <v>1176</v>
      </c>
      <c r="D67" s="52"/>
      <c r="E67" s="53"/>
      <c r="F67" s="88"/>
      <c r="G67" s="55"/>
    </row>
    <row r="68" spans="1:7" ht="13.5" customHeight="1">
      <c r="A68" s="63"/>
      <c r="B68" s="84"/>
      <c r="C68" s="85"/>
      <c r="D68" s="52"/>
      <c r="E68" s="53"/>
      <c r="F68" s="88"/>
      <c r="G68" s="55"/>
    </row>
    <row r="69" spans="1:7" ht="13.5" customHeight="1">
      <c r="A69" s="63">
        <f>A62+1</f>
        <v>7</v>
      </c>
      <c r="B69" s="84"/>
      <c r="C69" s="85" t="s">
        <v>1177</v>
      </c>
      <c r="D69" s="52" t="s">
        <v>1156</v>
      </c>
      <c r="E69" s="53">
        <f>1</f>
        <v>1</v>
      </c>
      <c r="F69" s="88">
        <f>(10.244*2.8*1250000)</f>
        <v>35854000</v>
      </c>
      <c r="G69" s="55">
        <f>E69*F69</f>
        <v>35854000</v>
      </c>
    </row>
    <row r="70" spans="1:7" ht="13.5" customHeight="1">
      <c r="A70" s="63"/>
      <c r="B70" s="84"/>
      <c r="C70" s="85" t="s">
        <v>1157</v>
      </c>
      <c r="D70" s="52"/>
      <c r="E70" s="53"/>
      <c r="F70" s="88"/>
      <c r="G70" s="55"/>
    </row>
    <row r="71" spans="1:7" ht="13.5" customHeight="1">
      <c r="A71" s="63"/>
      <c r="B71" s="84"/>
      <c r="C71" s="85" t="s">
        <v>1158</v>
      </c>
      <c r="D71" s="52"/>
      <c r="E71" s="53"/>
      <c r="F71" s="88"/>
      <c r="G71" s="55"/>
    </row>
    <row r="72" spans="1:7" ht="13.5" customHeight="1">
      <c r="A72" s="63"/>
      <c r="B72" s="84"/>
      <c r="C72" s="89" t="s">
        <v>1178</v>
      </c>
      <c r="D72" s="52"/>
      <c r="E72" s="53"/>
      <c r="F72" s="88"/>
      <c r="G72" s="55"/>
    </row>
    <row r="73" spans="1:7" ht="13.5" customHeight="1">
      <c r="A73" s="63"/>
      <c r="B73" s="84"/>
      <c r="C73" s="89" t="s">
        <v>1179</v>
      </c>
      <c r="D73" s="52"/>
      <c r="E73" s="53"/>
      <c r="F73" s="88"/>
      <c r="G73" s="55"/>
    </row>
    <row r="74" spans="1:7" ht="13.5" customHeight="1">
      <c r="A74" s="63"/>
      <c r="B74" s="84"/>
      <c r="C74" s="85" t="s">
        <v>1160</v>
      </c>
      <c r="D74" s="52"/>
      <c r="E74" s="53"/>
      <c r="F74" s="88"/>
      <c r="G74" s="55"/>
    </row>
    <row r="75" spans="1:7" ht="13.5" customHeight="1">
      <c r="A75" s="63"/>
      <c r="B75" s="84"/>
      <c r="C75" s="85"/>
      <c r="D75" s="52"/>
      <c r="E75" s="53"/>
      <c r="F75" s="88"/>
      <c r="G75" s="55"/>
    </row>
    <row r="76" spans="1:7" ht="13.5" customHeight="1">
      <c r="A76" s="63">
        <f>A69+1</f>
        <v>8</v>
      </c>
      <c r="B76" s="84"/>
      <c r="C76" s="85" t="s">
        <v>1180</v>
      </c>
      <c r="D76" s="52" t="s">
        <v>1156</v>
      </c>
      <c r="E76" s="53">
        <f>1</f>
        <v>1</v>
      </c>
      <c r="F76" s="88">
        <f>2*2.8*1250000</f>
        <v>7000000</v>
      </c>
      <c r="G76" s="55">
        <f>E76*F76</f>
        <v>7000000</v>
      </c>
    </row>
    <row r="77" spans="1:7" ht="13.5" customHeight="1">
      <c r="A77" s="63"/>
      <c r="B77" s="84"/>
      <c r="C77" s="85" t="s">
        <v>1157</v>
      </c>
      <c r="D77" s="52"/>
      <c r="E77" s="53"/>
      <c r="F77" s="88"/>
      <c r="G77" s="55"/>
    </row>
    <row r="78" spans="1:7" ht="13.5" customHeight="1">
      <c r="A78" s="63"/>
      <c r="B78" s="84"/>
      <c r="C78" s="85" t="s">
        <v>1158</v>
      </c>
      <c r="D78" s="52"/>
      <c r="E78" s="53"/>
      <c r="F78" s="88"/>
      <c r="G78" s="55"/>
    </row>
    <row r="79" spans="1:7" ht="13.5" customHeight="1">
      <c r="A79" s="63"/>
      <c r="B79" s="84"/>
      <c r="C79" s="89" t="s">
        <v>1165</v>
      </c>
      <c r="D79" s="52"/>
      <c r="E79" s="53"/>
      <c r="F79" s="88"/>
      <c r="G79" s="55"/>
    </row>
    <row r="80" spans="1:7" ht="13.5" customHeight="1">
      <c r="A80" s="63"/>
      <c r="B80" s="84"/>
      <c r="C80" s="85" t="s">
        <v>1160</v>
      </c>
      <c r="D80" s="52"/>
      <c r="E80" s="53"/>
      <c r="F80" s="88"/>
      <c r="G80" s="55"/>
    </row>
    <row r="81" spans="1:7" ht="13.5" customHeight="1">
      <c r="A81" s="63"/>
      <c r="B81" s="84"/>
      <c r="C81" s="89" t="s">
        <v>1181</v>
      </c>
      <c r="D81" s="52"/>
      <c r="E81" s="53"/>
      <c r="F81" s="88"/>
      <c r="G81" s="55"/>
    </row>
    <row r="82" spans="1:7" ht="13.5" customHeight="1">
      <c r="A82" s="63"/>
      <c r="B82" s="84"/>
      <c r="C82" s="85"/>
      <c r="D82" s="52"/>
      <c r="E82" s="53"/>
      <c r="F82" s="88"/>
      <c r="G82" s="55"/>
    </row>
    <row r="83" spans="1:7" ht="13.5" customHeight="1">
      <c r="A83" s="63">
        <f>A76+1</f>
        <v>9</v>
      </c>
      <c r="B83" s="84"/>
      <c r="C83" s="85" t="s">
        <v>1182</v>
      </c>
      <c r="D83" s="52" t="s">
        <v>1156</v>
      </c>
      <c r="E83" s="53">
        <f>1</f>
        <v>1</v>
      </c>
      <c r="F83" s="88">
        <f>1.2*2.8*1250000</f>
        <v>4200000</v>
      </c>
      <c r="G83" s="55">
        <f>E83*F83</f>
        <v>4200000</v>
      </c>
    </row>
    <row r="84" spans="1:7" ht="13.5" customHeight="1">
      <c r="A84" s="63"/>
      <c r="B84" s="84"/>
      <c r="C84" s="85" t="s">
        <v>1183</v>
      </c>
      <c r="D84" s="52"/>
      <c r="E84" s="53"/>
      <c r="F84" s="88"/>
      <c r="G84" s="55"/>
    </row>
    <row r="85" spans="1:7" ht="13.5" customHeight="1">
      <c r="A85" s="63"/>
      <c r="B85" s="84"/>
      <c r="C85" s="85" t="s">
        <v>1157</v>
      </c>
      <c r="D85" s="52"/>
      <c r="E85" s="53"/>
      <c r="F85" s="88"/>
      <c r="G85" s="55"/>
    </row>
    <row r="86" spans="1:7" ht="13.5" customHeight="1">
      <c r="A86" s="63"/>
      <c r="B86" s="84"/>
      <c r="C86" s="85" t="s">
        <v>1158</v>
      </c>
      <c r="D86" s="52"/>
      <c r="E86" s="53"/>
      <c r="F86" s="88"/>
      <c r="G86" s="55"/>
    </row>
    <row r="87" spans="1:7" ht="13.5" customHeight="1">
      <c r="A87" s="63"/>
      <c r="B87" s="84"/>
      <c r="C87" s="89" t="s">
        <v>1165</v>
      </c>
      <c r="D87" s="52"/>
      <c r="E87" s="53"/>
      <c r="F87" s="88"/>
      <c r="G87" s="55"/>
    </row>
    <row r="88" spans="1:7" ht="13.5" customHeight="1">
      <c r="A88" s="63"/>
      <c r="B88" s="84"/>
      <c r="C88" s="89" t="s">
        <v>1184</v>
      </c>
      <c r="D88" s="52"/>
      <c r="E88" s="53"/>
      <c r="F88" s="88"/>
      <c r="G88" s="55"/>
    </row>
    <row r="89" spans="1:7" ht="13.5" customHeight="1">
      <c r="A89" s="63"/>
      <c r="B89" s="84"/>
      <c r="C89" s="89" t="s">
        <v>1185</v>
      </c>
      <c r="D89" s="52"/>
      <c r="E89" s="53"/>
      <c r="F89" s="88"/>
      <c r="G89" s="55"/>
    </row>
    <row r="90" spans="1:7" ht="13.5" customHeight="1">
      <c r="A90" s="63"/>
      <c r="B90" s="84"/>
      <c r="C90" s="85" t="s">
        <v>1160</v>
      </c>
      <c r="D90" s="52"/>
      <c r="E90" s="53"/>
      <c r="F90" s="88"/>
      <c r="G90" s="55"/>
    </row>
    <row r="91" spans="1:7" ht="13.5" customHeight="1">
      <c r="A91" s="63"/>
      <c r="B91" s="84"/>
      <c r="C91" s="85"/>
      <c r="D91" s="52"/>
      <c r="E91" s="53"/>
      <c r="F91" s="88"/>
      <c r="G91" s="55"/>
    </row>
    <row r="92" spans="1:7" ht="13.5" customHeight="1">
      <c r="A92" s="63">
        <f>A83+1</f>
        <v>10</v>
      </c>
      <c r="B92" s="84"/>
      <c r="C92" s="85" t="s">
        <v>1186</v>
      </c>
      <c r="D92" s="52" t="s">
        <v>1156</v>
      </c>
      <c r="E92" s="53">
        <f>1</f>
        <v>1</v>
      </c>
      <c r="F92" s="88">
        <f>4.3*3*1250000</f>
        <v>16125000</v>
      </c>
      <c r="G92" s="55">
        <f>E92*F92</f>
        <v>16125000</v>
      </c>
    </row>
    <row r="93" spans="1:7" ht="13.5" customHeight="1">
      <c r="A93" s="63"/>
      <c r="B93" s="84"/>
      <c r="C93" s="85" t="s">
        <v>1157</v>
      </c>
      <c r="D93" s="52"/>
      <c r="E93" s="53"/>
      <c r="F93" s="88"/>
      <c r="G93" s="55"/>
    </row>
    <row r="94" spans="1:7" ht="13.5" customHeight="1">
      <c r="A94" s="63"/>
      <c r="B94" s="84"/>
      <c r="C94" s="85" t="s">
        <v>1158</v>
      </c>
      <c r="D94" s="52"/>
      <c r="E94" s="53"/>
      <c r="F94" s="88"/>
      <c r="G94" s="55"/>
    </row>
    <row r="95" spans="1:7" ht="13.5" customHeight="1">
      <c r="A95" s="63"/>
      <c r="B95" s="84"/>
      <c r="C95" s="89" t="s">
        <v>1165</v>
      </c>
      <c r="D95" s="52"/>
      <c r="E95" s="53"/>
      <c r="F95" s="88"/>
      <c r="G95" s="55"/>
    </row>
    <row r="96" spans="1:7" ht="13.5" customHeight="1">
      <c r="A96" s="63"/>
      <c r="B96" s="84"/>
      <c r="C96" s="85" t="s">
        <v>1160</v>
      </c>
      <c r="D96" s="52"/>
      <c r="E96" s="53"/>
      <c r="F96" s="88"/>
      <c r="G96" s="55"/>
    </row>
    <row r="97" spans="1:7" ht="13.5" customHeight="1">
      <c r="A97" s="63"/>
      <c r="B97" s="84"/>
      <c r="C97" s="89" t="s">
        <v>1187</v>
      </c>
      <c r="D97" s="52"/>
      <c r="E97" s="53"/>
      <c r="F97" s="88"/>
      <c r="G97" s="55"/>
    </row>
    <row r="98" spans="1:7" ht="13.5" customHeight="1">
      <c r="A98" s="63"/>
      <c r="B98" s="84"/>
      <c r="C98" s="85"/>
      <c r="D98" s="52"/>
      <c r="E98" s="53"/>
      <c r="F98" s="88"/>
      <c r="G98" s="55"/>
    </row>
    <row r="99" spans="1:7" ht="13.5" customHeight="1">
      <c r="A99" s="63">
        <f>A92+1</f>
        <v>11</v>
      </c>
      <c r="B99" s="84"/>
      <c r="C99" s="85" t="s">
        <v>1188</v>
      </c>
      <c r="D99" s="52" t="s">
        <v>1156</v>
      </c>
      <c r="E99" s="53">
        <f>1</f>
        <v>1</v>
      </c>
      <c r="F99" s="88">
        <f>8.5*3.8*1250000</f>
        <v>40375000</v>
      </c>
      <c r="G99" s="55">
        <f>E99*F99</f>
        <v>40375000</v>
      </c>
    </row>
    <row r="100" spans="1:7" ht="13.5" customHeight="1">
      <c r="A100" s="63"/>
      <c r="B100" s="84"/>
      <c r="C100" s="85" t="s">
        <v>1189</v>
      </c>
      <c r="D100" s="52"/>
      <c r="E100" s="53"/>
      <c r="F100" s="88"/>
      <c r="G100" s="55"/>
    </row>
    <row r="101" spans="1:7" ht="13.5" customHeight="1">
      <c r="A101" s="63"/>
      <c r="B101" s="84"/>
      <c r="C101" s="85" t="s">
        <v>1157</v>
      </c>
      <c r="D101" s="52"/>
      <c r="E101" s="53"/>
      <c r="F101" s="88"/>
      <c r="G101" s="55"/>
    </row>
    <row r="102" spans="1:7" ht="13.5" customHeight="1">
      <c r="A102" s="63"/>
      <c r="B102" s="84"/>
      <c r="C102" s="85" t="s">
        <v>1158</v>
      </c>
      <c r="D102" s="52"/>
      <c r="E102" s="53"/>
      <c r="F102" s="88"/>
      <c r="G102" s="55"/>
    </row>
    <row r="103" spans="1:7" ht="13.5" customHeight="1">
      <c r="A103" s="63"/>
      <c r="B103" s="84"/>
      <c r="C103" s="89" t="s">
        <v>1190</v>
      </c>
      <c r="D103" s="52"/>
      <c r="E103" s="53"/>
      <c r="F103" s="88"/>
      <c r="G103" s="55"/>
    </row>
    <row r="104" spans="1:7" ht="13.5" customHeight="1">
      <c r="A104" s="63"/>
      <c r="B104" s="84"/>
      <c r="C104" s="89" t="s">
        <v>1191</v>
      </c>
      <c r="D104" s="52"/>
      <c r="E104" s="53"/>
      <c r="F104" s="88"/>
      <c r="G104" s="55"/>
    </row>
    <row r="105" spans="1:7" ht="13.5" customHeight="1">
      <c r="A105" s="63"/>
      <c r="B105" s="84"/>
      <c r="C105" s="85" t="s">
        <v>1160</v>
      </c>
      <c r="D105" s="52"/>
      <c r="E105" s="53"/>
      <c r="F105" s="88"/>
      <c r="G105" s="55"/>
    </row>
    <row r="106" spans="1:7" ht="13.5" customHeight="1">
      <c r="A106" s="63"/>
      <c r="B106" s="84"/>
      <c r="C106" s="85"/>
      <c r="D106" s="52"/>
      <c r="E106" s="53"/>
      <c r="F106" s="88"/>
      <c r="G106" s="55"/>
    </row>
    <row r="107" spans="1:7" ht="13.5" customHeight="1">
      <c r="A107" s="63">
        <f>A99+1</f>
        <v>12</v>
      </c>
      <c r="B107" s="84"/>
      <c r="C107" s="85" t="s">
        <v>1192</v>
      </c>
      <c r="D107" s="52" t="s">
        <v>1156</v>
      </c>
      <c r="E107" s="53">
        <f>1</f>
        <v>1</v>
      </c>
      <c r="F107" s="88">
        <f>5.533*3.8*1250000</f>
        <v>26281750</v>
      </c>
      <c r="G107" s="55">
        <f>E107*F107</f>
        <v>26281750</v>
      </c>
    </row>
    <row r="108" spans="1:7" ht="13.5" customHeight="1">
      <c r="A108" s="63"/>
      <c r="B108" s="84"/>
      <c r="C108" s="85" t="s">
        <v>1157</v>
      </c>
      <c r="D108" s="52"/>
      <c r="E108" s="53"/>
      <c r="F108" s="88"/>
      <c r="G108" s="55"/>
    </row>
    <row r="109" spans="1:7" ht="13.5" customHeight="1">
      <c r="A109" s="63"/>
      <c r="B109" s="84"/>
      <c r="C109" s="85" t="s">
        <v>1158</v>
      </c>
      <c r="D109" s="52"/>
      <c r="E109" s="53"/>
      <c r="F109" s="88"/>
      <c r="G109" s="55"/>
    </row>
    <row r="110" spans="1:7" ht="13.5" customHeight="1">
      <c r="A110" s="63"/>
      <c r="B110" s="84"/>
      <c r="C110" s="89" t="s">
        <v>1193</v>
      </c>
      <c r="D110" s="52"/>
      <c r="E110" s="53"/>
      <c r="F110" s="88"/>
      <c r="G110" s="55"/>
    </row>
    <row r="111" spans="1:7" ht="13.5" customHeight="1">
      <c r="A111" s="63"/>
      <c r="B111" s="84"/>
      <c r="C111" s="89" t="s">
        <v>1194</v>
      </c>
      <c r="D111" s="52"/>
      <c r="E111" s="53"/>
      <c r="F111" s="88"/>
      <c r="G111" s="55"/>
    </row>
    <row r="112" spans="1:7" ht="13.5" customHeight="1">
      <c r="A112" s="63"/>
      <c r="B112" s="84"/>
      <c r="C112" s="89" t="s">
        <v>1195</v>
      </c>
      <c r="D112" s="52"/>
      <c r="E112" s="53"/>
      <c r="F112" s="88"/>
      <c r="G112" s="55"/>
    </row>
    <row r="113" spans="1:7" ht="13.5" customHeight="1">
      <c r="A113" s="63"/>
      <c r="B113" s="84"/>
      <c r="C113" s="89" t="s">
        <v>1170</v>
      </c>
      <c r="D113" s="52"/>
      <c r="E113" s="53"/>
      <c r="F113" s="88"/>
      <c r="G113" s="55"/>
    </row>
    <row r="114" spans="1:7" ht="13.5" customHeight="1">
      <c r="A114" s="63"/>
      <c r="B114" s="84"/>
      <c r="C114" s="89" t="s">
        <v>1196</v>
      </c>
      <c r="D114" s="52"/>
      <c r="E114" s="53"/>
      <c r="F114" s="88"/>
      <c r="G114" s="55"/>
    </row>
    <row r="115" spans="1:7" ht="13.5" customHeight="1">
      <c r="A115" s="63"/>
      <c r="B115" s="84"/>
      <c r="C115" s="85" t="s">
        <v>1160</v>
      </c>
      <c r="D115" s="52"/>
      <c r="E115" s="53"/>
      <c r="F115" s="88"/>
      <c r="G115" s="55"/>
    </row>
    <row r="116" spans="1:7" ht="13.5" customHeight="1">
      <c r="A116" s="63"/>
      <c r="B116" s="84"/>
      <c r="C116" s="85"/>
      <c r="D116" s="52"/>
      <c r="E116" s="53"/>
      <c r="F116" s="88"/>
      <c r="G116" s="55"/>
    </row>
    <row r="117" spans="1:7" ht="13.5" customHeight="1">
      <c r="A117" s="63">
        <f>A107+1</f>
        <v>13</v>
      </c>
      <c r="B117" s="84"/>
      <c r="C117" s="85" t="s">
        <v>1197</v>
      </c>
      <c r="D117" s="52" t="s">
        <v>1156</v>
      </c>
      <c r="E117" s="53">
        <f>1</f>
        <v>1</v>
      </c>
      <c r="F117" s="88">
        <f>11.27*3.8*1250000</f>
        <v>53532500</v>
      </c>
      <c r="G117" s="55">
        <f>E117*F117</f>
        <v>53532500</v>
      </c>
    </row>
    <row r="118" spans="1:7" ht="13.5" customHeight="1">
      <c r="A118" s="63"/>
      <c r="B118" s="84"/>
      <c r="C118" s="85" t="s">
        <v>1157</v>
      </c>
      <c r="D118" s="52"/>
      <c r="E118" s="53"/>
      <c r="F118" s="88"/>
      <c r="G118" s="55"/>
    </row>
    <row r="119" spans="1:7" ht="13.5" customHeight="1">
      <c r="A119" s="63"/>
      <c r="B119" s="84"/>
      <c r="C119" s="85" t="s">
        <v>1158</v>
      </c>
      <c r="D119" s="52"/>
      <c r="E119" s="53"/>
      <c r="F119" s="88"/>
      <c r="G119" s="55"/>
    </row>
    <row r="120" spans="1:7" ht="13.5" customHeight="1">
      <c r="A120" s="63"/>
      <c r="B120" s="84"/>
      <c r="C120" s="89" t="s">
        <v>1194</v>
      </c>
      <c r="D120" s="52"/>
      <c r="E120" s="53"/>
      <c r="F120" s="88"/>
      <c r="G120" s="55"/>
    </row>
    <row r="121" spans="1:7" ht="13.5" customHeight="1">
      <c r="A121" s="63"/>
      <c r="B121" s="84"/>
      <c r="C121" s="89" t="s">
        <v>1195</v>
      </c>
      <c r="D121" s="52"/>
      <c r="E121" s="53"/>
      <c r="F121" s="88"/>
      <c r="G121" s="55"/>
    </row>
    <row r="122" spans="1:7" ht="13.5" customHeight="1">
      <c r="A122" s="63"/>
      <c r="B122" s="84"/>
      <c r="C122" s="89" t="s">
        <v>1198</v>
      </c>
      <c r="D122" s="52"/>
      <c r="E122" s="53"/>
      <c r="F122" s="88"/>
      <c r="G122" s="55"/>
    </row>
    <row r="123" spans="1:7" ht="13.5" customHeight="1">
      <c r="A123" s="63"/>
      <c r="B123" s="84"/>
      <c r="C123" s="89" t="s">
        <v>1199</v>
      </c>
      <c r="D123" s="52"/>
      <c r="E123" s="53"/>
      <c r="F123" s="88"/>
      <c r="G123" s="55"/>
    </row>
    <row r="124" spans="1:7" ht="13.5" customHeight="1">
      <c r="A124" s="63"/>
      <c r="B124" s="84"/>
      <c r="C124" s="85" t="s">
        <v>1160</v>
      </c>
      <c r="D124" s="52"/>
      <c r="E124" s="53"/>
      <c r="F124" s="88"/>
      <c r="G124" s="55"/>
    </row>
    <row r="125" spans="1:7" ht="13.5" customHeight="1">
      <c r="A125" s="63"/>
      <c r="B125" s="84"/>
      <c r="D125" s="52"/>
      <c r="E125" s="53"/>
      <c r="F125" s="88"/>
      <c r="G125" s="55"/>
    </row>
    <row r="126" spans="1:7" ht="13.5" customHeight="1">
      <c r="A126" s="63">
        <f>A117+1</f>
        <v>14</v>
      </c>
      <c r="B126" s="84"/>
      <c r="C126" s="85" t="s">
        <v>1200</v>
      </c>
      <c r="D126" s="52" t="s">
        <v>1156</v>
      </c>
      <c r="E126" s="53">
        <f>2</f>
        <v>2</v>
      </c>
      <c r="F126" s="88">
        <f>1.8*1.2*1250000</f>
        <v>2700000</v>
      </c>
      <c r="G126" s="55">
        <f>E126*F126</f>
        <v>5400000</v>
      </c>
    </row>
    <row r="127" spans="1:7" ht="13.5" customHeight="1">
      <c r="A127" s="63"/>
      <c r="B127" s="84"/>
      <c r="C127" s="85" t="s">
        <v>1201</v>
      </c>
      <c r="D127" s="52"/>
      <c r="E127" s="53"/>
      <c r="F127" s="88"/>
      <c r="G127" s="55"/>
    </row>
    <row r="128" spans="1:7">
      <c r="A128" s="63"/>
      <c r="B128" s="84"/>
      <c r="C128" s="85" t="s">
        <v>1202</v>
      </c>
      <c r="D128" s="52"/>
      <c r="E128" s="53"/>
      <c r="F128" s="88"/>
      <c r="G128" s="55"/>
    </row>
    <row r="129" spans="1:7">
      <c r="A129" s="63"/>
      <c r="B129" s="84"/>
      <c r="C129" s="89" t="s">
        <v>1203</v>
      </c>
      <c r="D129" s="52"/>
      <c r="E129" s="86"/>
      <c r="F129" s="88"/>
      <c r="G129" s="55"/>
    </row>
    <row r="130" spans="1:7">
      <c r="A130" s="63"/>
      <c r="B130" s="84"/>
      <c r="C130" s="85"/>
      <c r="D130" s="52"/>
      <c r="E130" s="53"/>
      <c r="F130" s="88"/>
      <c r="G130" s="55"/>
    </row>
    <row r="131" spans="1:7">
      <c r="A131" s="49">
        <f>A126+1</f>
        <v>15</v>
      </c>
      <c r="B131" s="84"/>
      <c r="C131" s="85" t="s">
        <v>1204</v>
      </c>
      <c r="D131" s="52" t="s">
        <v>1156</v>
      </c>
      <c r="E131" s="53">
        <f>1</f>
        <v>1</v>
      </c>
      <c r="F131" s="88">
        <f>10.23*4*1250000</f>
        <v>51150000</v>
      </c>
      <c r="G131" s="55">
        <f>E131*F131</f>
        <v>51150000</v>
      </c>
    </row>
    <row r="132" spans="1:7">
      <c r="A132" s="63"/>
      <c r="B132" s="84"/>
      <c r="C132" s="85" t="s">
        <v>1157</v>
      </c>
      <c r="D132" s="52"/>
      <c r="E132" s="53"/>
      <c r="F132" s="88"/>
      <c r="G132" s="55"/>
    </row>
    <row r="133" spans="1:7">
      <c r="A133" s="63"/>
      <c r="B133" s="84"/>
      <c r="C133" s="85" t="s">
        <v>1158</v>
      </c>
      <c r="D133" s="52"/>
      <c r="E133" s="53"/>
      <c r="F133" s="88"/>
      <c r="G133" s="55"/>
    </row>
    <row r="134" spans="1:7">
      <c r="A134" s="63"/>
      <c r="B134" s="84"/>
      <c r="C134" s="89" t="s">
        <v>1165</v>
      </c>
      <c r="D134" s="52"/>
      <c r="E134" s="53"/>
      <c r="F134" s="88"/>
      <c r="G134" s="55"/>
    </row>
    <row r="135" spans="1:7">
      <c r="A135" s="63"/>
      <c r="B135" s="84"/>
      <c r="C135" s="85" t="s">
        <v>1160</v>
      </c>
      <c r="D135" s="52"/>
      <c r="E135" s="53"/>
      <c r="F135" s="88"/>
      <c r="G135" s="55"/>
    </row>
    <row r="136" spans="1:7" ht="13.5" customHeight="1">
      <c r="A136" s="63"/>
      <c r="B136" s="84"/>
      <c r="C136" s="89" t="s">
        <v>1163</v>
      </c>
      <c r="D136" s="52"/>
      <c r="E136" s="53"/>
      <c r="F136" s="88"/>
      <c r="G136" s="55"/>
    </row>
    <row r="137" spans="1:7" ht="13.5" customHeight="1">
      <c r="A137" s="63"/>
      <c r="B137" s="84"/>
      <c r="C137" s="89" t="s">
        <v>1205</v>
      </c>
      <c r="D137" s="52"/>
      <c r="E137" s="53"/>
      <c r="F137" s="88"/>
      <c r="G137" s="55"/>
    </row>
    <row r="138" spans="1:7">
      <c r="A138" s="63"/>
      <c r="B138" s="84"/>
      <c r="C138" s="85"/>
      <c r="D138" s="52"/>
      <c r="E138" s="53"/>
      <c r="F138" s="88"/>
      <c r="G138" s="55"/>
    </row>
    <row r="139" spans="1:7">
      <c r="A139" s="63">
        <f>A131+1</f>
        <v>16</v>
      </c>
      <c r="B139" s="84"/>
      <c r="C139" s="85" t="s">
        <v>1206</v>
      </c>
      <c r="D139" s="52"/>
      <c r="E139" s="86"/>
      <c r="F139" s="88"/>
      <c r="G139" s="55"/>
    </row>
    <row r="140" spans="1:7">
      <c r="A140" s="63"/>
      <c r="B140" s="84"/>
      <c r="C140" s="85" t="s">
        <v>1157</v>
      </c>
      <c r="D140" s="52" t="s">
        <v>1156</v>
      </c>
      <c r="E140" s="53">
        <f>1</f>
        <v>1</v>
      </c>
      <c r="F140" s="88">
        <f>11.537*4*1250000</f>
        <v>57685000</v>
      </c>
      <c r="G140" s="55">
        <f>E140*F140</f>
        <v>57685000</v>
      </c>
    </row>
    <row r="141" spans="1:7">
      <c r="A141" s="49"/>
      <c r="B141" s="84"/>
      <c r="C141" s="85" t="s">
        <v>1158</v>
      </c>
      <c r="D141" s="52"/>
      <c r="E141" s="53"/>
      <c r="F141" s="88"/>
      <c r="G141" s="55"/>
    </row>
    <row r="142" spans="1:7">
      <c r="A142" s="63"/>
      <c r="B142" s="84"/>
      <c r="C142" s="89" t="s">
        <v>1207</v>
      </c>
      <c r="D142" s="52"/>
      <c r="E142" s="53"/>
      <c r="F142" s="88"/>
      <c r="G142" s="55"/>
    </row>
    <row r="143" spans="1:7">
      <c r="A143" s="63"/>
      <c r="B143" s="84"/>
      <c r="C143" s="89" t="s">
        <v>1208</v>
      </c>
      <c r="D143" s="52"/>
      <c r="E143" s="53"/>
      <c r="F143" s="88"/>
      <c r="G143" s="55"/>
    </row>
    <row r="144" spans="1:7">
      <c r="A144" s="63"/>
      <c r="B144" s="84"/>
      <c r="C144" s="89" t="s">
        <v>1209</v>
      </c>
      <c r="D144" s="52"/>
      <c r="E144" s="53"/>
      <c r="F144" s="88"/>
      <c r="G144" s="55"/>
    </row>
    <row r="145" spans="1:7">
      <c r="A145" s="63"/>
      <c r="B145" s="84"/>
      <c r="C145" s="85" t="s">
        <v>1160</v>
      </c>
      <c r="D145" s="52"/>
      <c r="E145" s="53"/>
      <c r="F145" s="88"/>
      <c r="G145" s="55"/>
    </row>
    <row r="146" spans="1:7" ht="13.5" customHeight="1">
      <c r="A146" s="63"/>
      <c r="B146" s="84"/>
      <c r="C146" s="85"/>
      <c r="D146" s="52"/>
      <c r="E146" s="53"/>
      <c r="F146" s="88"/>
      <c r="G146" s="55"/>
    </row>
    <row r="147" spans="1:7" ht="13.5" customHeight="1">
      <c r="A147" s="63">
        <f>A139+1</f>
        <v>17</v>
      </c>
      <c r="B147" s="84"/>
      <c r="C147" s="85" t="s">
        <v>1210</v>
      </c>
      <c r="D147" s="52" t="s">
        <v>1156</v>
      </c>
      <c r="E147" s="53">
        <f>1</f>
        <v>1</v>
      </c>
      <c r="F147" s="88">
        <f>1.6*3.8*1250000</f>
        <v>7600000</v>
      </c>
      <c r="G147" s="55">
        <f>E147*F147</f>
        <v>7600000</v>
      </c>
    </row>
    <row r="148" spans="1:7">
      <c r="A148" s="63"/>
      <c r="B148" s="84"/>
      <c r="C148" s="85" t="s">
        <v>1157</v>
      </c>
      <c r="D148" s="52"/>
      <c r="E148" s="53"/>
      <c r="F148" s="88"/>
      <c r="G148" s="55"/>
    </row>
    <row r="149" spans="1:7" ht="13.5" customHeight="1">
      <c r="A149" s="63"/>
      <c r="B149" s="84"/>
      <c r="C149" s="85" t="s">
        <v>1158</v>
      </c>
      <c r="D149" s="52"/>
      <c r="E149" s="53"/>
      <c r="F149" s="88"/>
      <c r="G149" s="55"/>
    </row>
    <row r="150" spans="1:7" ht="13.5" customHeight="1">
      <c r="A150" s="63"/>
      <c r="B150" s="84"/>
      <c r="C150" s="89" t="s">
        <v>1211</v>
      </c>
      <c r="D150" s="52"/>
      <c r="E150" s="53"/>
      <c r="F150" s="88"/>
      <c r="G150" s="55"/>
    </row>
    <row r="151" spans="1:7">
      <c r="A151" s="63"/>
      <c r="B151" s="84"/>
      <c r="C151" s="89" t="s">
        <v>1212</v>
      </c>
      <c r="D151" s="52"/>
      <c r="E151" s="53"/>
      <c r="F151" s="88"/>
      <c r="G151" s="55"/>
    </row>
    <row r="152" spans="1:7">
      <c r="A152" s="63"/>
      <c r="B152" s="84"/>
      <c r="C152" s="85" t="s">
        <v>1160</v>
      </c>
      <c r="D152" s="52"/>
      <c r="E152" s="86"/>
      <c r="F152" s="88"/>
      <c r="G152" s="55"/>
    </row>
    <row r="153" spans="1:7">
      <c r="A153" s="63"/>
      <c r="B153" s="84"/>
      <c r="C153" s="85"/>
      <c r="D153" s="52"/>
      <c r="E153" s="53"/>
      <c r="F153" s="88"/>
      <c r="G153" s="55"/>
    </row>
    <row r="154" spans="1:7">
      <c r="A154" s="49">
        <f>A147+1</f>
        <v>18</v>
      </c>
      <c r="B154" s="84"/>
      <c r="C154" s="85" t="s">
        <v>1213</v>
      </c>
      <c r="D154" s="52" t="s">
        <v>1156</v>
      </c>
      <c r="E154" s="53">
        <f>1</f>
        <v>1</v>
      </c>
      <c r="F154" s="88">
        <f>5.2*4*1250000</f>
        <v>26000000</v>
      </c>
      <c r="G154" s="55">
        <f>E154*F154</f>
        <v>26000000</v>
      </c>
    </row>
    <row r="155" spans="1:7">
      <c r="A155" s="63"/>
      <c r="B155" s="84"/>
      <c r="C155" s="85" t="s">
        <v>1157</v>
      </c>
      <c r="D155" s="52"/>
      <c r="E155" s="53"/>
      <c r="F155" s="88"/>
      <c r="G155" s="55"/>
    </row>
    <row r="156" spans="1:7">
      <c r="A156" s="63"/>
      <c r="B156" s="84"/>
      <c r="C156" s="85" t="s">
        <v>1158</v>
      </c>
      <c r="D156" s="52"/>
      <c r="E156" s="53"/>
      <c r="F156" s="88"/>
      <c r="G156" s="55"/>
    </row>
    <row r="157" spans="1:7">
      <c r="A157" s="63"/>
      <c r="B157" s="84"/>
      <c r="C157" s="89" t="s">
        <v>1207</v>
      </c>
      <c r="D157" s="52"/>
      <c r="E157" s="53"/>
      <c r="F157" s="88"/>
      <c r="G157" s="55"/>
    </row>
    <row r="158" spans="1:7">
      <c r="A158" s="63"/>
      <c r="B158" s="84"/>
      <c r="C158" s="85" t="s">
        <v>1160</v>
      </c>
      <c r="D158" s="52"/>
      <c r="E158" s="53"/>
      <c r="F158" s="88"/>
      <c r="G158" s="55"/>
    </row>
    <row r="159" spans="1:7" ht="13.5" customHeight="1">
      <c r="A159" s="63"/>
      <c r="B159" s="84"/>
      <c r="C159" s="89" t="s">
        <v>1214</v>
      </c>
      <c r="D159" s="52"/>
      <c r="E159" s="53"/>
      <c r="F159" s="88"/>
      <c r="G159" s="55"/>
    </row>
    <row r="160" spans="1:7" ht="13.5" customHeight="1">
      <c r="A160" s="63"/>
      <c r="B160" s="84"/>
      <c r="C160" s="89" t="s">
        <v>1215</v>
      </c>
      <c r="D160" s="52"/>
      <c r="E160" s="53"/>
      <c r="F160" s="88"/>
      <c r="G160" s="55"/>
    </row>
    <row r="161" spans="1:7">
      <c r="A161" s="63"/>
      <c r="B161" s="84"/>
      <c r="C161" s="85"/>
      <c r="D161" s="52"/>
      <c r="E161" s="53"/>
      <c r="F161" s="88"/>
      <c r="G161" s="55"/>
    </row>
    <row r="162" spans="1:7">
      <c r="A162" s="63">
        <f>A154+1</f>
        <v>19</v>
      </c>
      <c r="B162" s="84"/>
      <c r="C162" s="85" t="s">
        <v>1216</v>
      </c>
      <c r="D162" s="52" t="s">
        <v>1156</v>
      </c>
      <c r="E162" s="86">
        <f>1</f>
        <v>1</v>
      </c>
      <c r="F162" s="88">
        <f>5.92*4*1250000</f>
        <v>29600000</v>
      </c>
      <c r="G162" s="55">
        <f>E162*F162</f>
        <v>29600000</v>
      </c>
    </row>
    <row r="163" spans="1:7">
      <c r="A163" s="63"/>
      <c r="B163" s="84"/>
      <c r="C163" s="85" t="s">
        <v>1157</v>
      </c>
      <c r="D163" s="52"/>
      <c r="E163" s="53"/>
      <c r="F163" s="88"/>
      <c r="G163" s="55"/>
    </row>
    <row r="164" spans="1:7">
      <c r="A164" s="49"/>
      <c r="B164" s="84"/>
      <c r="C164" s="85" t="s">
        <v>1158</v>
      </c>
      <c r="D164" s="52"/>
      <c r="E164" s="53"/>
      <c r="F164" s="88"/>
      <c r="G164" s="55"/>
    </row>
    <row r="165" spans="1:7">
      <c r="A165" s="63"/>
      <c r="B165" s="84"/>
      <c r="C165" s="89" t="s">
        <v>1217</v>
      </c>
      <c r="D165" s="52"/>
      <c r="E165" s="53"/>
      <c r="F165" s="88"/>
      <c r="G165" s="55"/>
    </row>
    <row r="166" spans="1:7">
      <c r="A166" s="63"/>
      <c r="B166" s="84"/>
      <c r="C166" s="85" t="s">
        <v>1160</v>
      </c>
      <c r="D166" s="52"/>
      <c r="E166" s="53"/>
      <c r="F166" s="88"/>
      <c r="G166" s="55"/>
    </row>
    <row r="167" spans="1:7">
      <c r="A167" s="63"/>
      <c r="B167" s="84"/>
      <c r="C167" s="89" t="s">
        <v>1218</v>
      </c>
      <c r="D167" s="52"/>
      <c r="E167" s="53"/>
      <c r="F167" s="88"/>
      <c r="G167" s="55"/>
    </row>
    <row r="168" spans="1:7">
      <c r="A168" s="63"/>
      <c r="B168" s="84"/>
      <c r="C168" s="85"/>
      <c r="D168" s="52"/>
      <c r="E168" s="53"/>
      <c r="F168" s="88"/>
      <c r="G168" s="55"/>
    </row>
    <row r="169" spans="1:7" ht="13.5" customHeight="1">
      <c r="A169" s="63">
        <f>A162+1</f>
        <v>20</v>
      </c>
      <c r="B169" s="84"/>
      <c r="C169" s="85" t="s">
        <v>1219</v>
      </c>
      <c r="D169" s="52" t="s">
        <v>1156</v>
      </c>
      <c r="E169" s="53">
        <f>1</f>
        <v>1</v>
      </c>
      <c r="F169" s="88">
        <f>5.92*4*1250000</f>
        <v>29600000</v>
      </c>
      <c r="G169" s="55">
        <f>E169*F169</f>
        <v>29600000</v>
      </c>
    </row>
    <row r="170" spans="1:7" ht="13.5" customHeight="1">
      <c r="A170" s="63"/>
      <c r="B170" s="84"/>
      <c r="C170" s="85" t="s">
        <v>1157</v>
      </c>
      <c r="D170" s="52"/>
      <c r="E170" s="53"/>
      <c r="F170" s="88"/>
      <c r="G170" s="55"/>
    </row>
    <row r="171" spans="1:7">
      <c r="A171" s="63"/>
      <c r="B171" s="84"/>
      <c r="C171" s="85" t="s">
        <v>1158</v>
      </c>
      <c r="D171" s="52"/>
      <c r="E171" s="53"/>
      <c r="F171" s="88"/>
      <c r="G171" s="55"/>
    </row>
    <row r="172" spans="1:7">
      <c r="A172" s="63"/>
      <c r="B172" s="84"/>
      <c r="C172" s="89" t="s">
        <v>1211</v>
      </c>
      <c r="D172" s="52"/>
      <c r="E172" s="86"/>
      <c r="F172" s="88"/>
      <c r="G172" s="55"/>
    </row>
    <row r="173" spans="1:7">
      <c r="A173" s="63"/>
      <c r="B173" s="84"/>
      <c r="C173" s="89" t="s">
        <v>1220</v>
      </c>
      <c r="D173" s="52"/>
      <c r="E173" s="53"/>
      <c r="F173" s="88"/>
      <c r="G173" s="55"/>
    </row>
    <row r="174" spans="1:7">
      <c r="A174" s="63"/>
      <c r="B174" s="84"/>
      <c r="C174" s="85" t="s">
        <v>1160</v>
      </c>
      <c r="D174" s="52"/>
      <c r="E174" s="53"/>
      <c r="F174" s="88"/>
      <c r="G174" s="55"/>
    </row>
    <row r="175" spans="1:7">
      <c r="A175" s="63"/>
      <c r="B175" s="84"/>
      <c r="C175" s="85"/>
      <c r="D175" s="52"/>
      <c r="E175" s="53"/>
      <c r="F175" s="88"/>
      <c r="G175" s="55"/>
    </row>
    <row r="176" spans="1:7">
      <c r="A176" s="63">
        <f>A169+1</f>
        <v>21</v>
      </c>
      <c r="B176" s="84"/>
      <c r="C176" s="85" t="s">
        <v>1221</v>
      </c>
      <c r="D176" s="52" t="s">
        <v>1156</v>
      </c>
      <c r="E176" s="53">
        <f>1+1</f>
        <v>2</v>
      </c>
      <c r="F176" s="88">
        <f>7*3.8*1250000</f>
        <v>33250000</v>
      </c>
      <c r="G176" s="55">
        <f>E176*F176</f>
        <v>66500000</v>
      </c>
    </row>
    <row r="177" spans="1:7" ht="13.5" customHeight="1">
      <c r="A177" s="63"/>
      <c r="B177" s="84"/>
      <c r="C177" s="89" t="s">
        <v>1222</v>
      </c>
      <c r="D177" s="52"/>
      <c r="E177" s="53"/>
      <c r="F177" s="88"/>
      <c r="G177" s="55"/>
    </row>
    <row r="178" spans="1:7">
      <c r="A178" s="63"/>
      <c r="B178" s="84"/>
      <c r="C178" s="89" t="s">
        <v>1223</v>
      </c>
      <c r="D178" s="52"/>
      <c r="E178" s="53"/>
      <c r="F178" s="88"/>
      <c r="G178" s="55"/>
    </row>
    <row r="179" spans="1:7">
      <c r="A179" s="63"/>
      <c r="B179" s="84"/>
      <c r="C179" s="89" t="s">
        <v>1224</v>
      </c>
      <c r="D179" s="52"/>
      <c r="E179" s="86"/>
      <c r="F179" s="88"/>
      <c r="G179" s="55"/>
    </row>
    <row r="180" spans="1:7">
      <c r="A180" s="63"/>
      <c r="B180" s="84"/>
      <c r="C180" s="89" t="s">
        <v>1225</v>
      </c>
      <c r="D180" s="52"/>
      <c r="E180" s="53"/>
      <c r="F180" s="88"/>
      <c r="G180" s="55"/>
    </row>
    <row r="181" spans="1:7">
      <c r="A181" s="49"/>
      <c r="B181" s="84"/>
      <c r="C181" s="85"/>
      <c r="D181" s="52"/>
      <c r="E181" s="53"/>
      <c r="F181" s="88"/>
      <c r="G181" s="55"/>
    </row>
    <row r="182" spans="1:7">
      <c r="A182" s="63">
        <f>A176+1</f>
        <v>22</v>
      </c>
      <c r="B182" s="84"/>
      <c r="C182" s="85" t="s">
        <v>1226</v>
      </c>
      <c r="D182" s="52" t="s">
        <v>1156</v>
      </c>
      <c r="E182" s="53">
        <f>1</f>
        <v>1</v>
      </c>
      <c r="F182" s="88">
        <f>4.59*3*1250000</f>
        <v>17212500</v>
      </c>
      <c r="G182" s="55">
        <f>E182*F182</f>
        <v>17212500</v>
      </c>
    </row>
    <row r="183" spans="1:7">
      <c r="A183" s="63"/>
      <c r="B183" s="84"/>
      <c r="C183" s="85" t="s">
        <v>1157</v>
      </c>
      <c r="D183" s="52"/>
      <c r="E183" s="53"/>
      <c r="F183" s="88"/>
      <c r="G183" s="55"/>
    </row>
    <row r="184" spans="1:7">
      <c r="A184" s="63"/>
      <c r="B184" s="84"/>
      <c r="C184" s="85" t="s">
        <v>1158</v>
      </c>
      <c r="D184" s="52"/>
      <c r="E184" s="53"/>
      <c r="F184" s="88"/>
      <c r="G184" s="55"/>
    </row>
    <row r="185" spans="1:7">
      <c r="A185" s="63"/>
      <c r="B185" s="84"/>
      <c r="C185" s="89" t="s">
        <v>1165</v>
      </c>
      <c r="D185" s="52"/>
      <c r="E185" s="53"/>
      <c r="F185" s="88"/>
      <c r="G185" s="55"/>
    </row>
    <row r="186" spans="1:7" ht="13.5" customHeight="1">
      <c r="A186" s="63"/>
      <c r="B186" s="84"/>
      <c r="C186" s="85" t="s">
        <v>1160</v>
      </c>
      <c r="D186" s="52"/>
      <c r="E186" s="53"/>
      <c r="F186" s="88"/>
      <c r="G186" s="55"/>
    </row>
    <row r="187" spans="1:7" ht="13.5" customHeight="1">
      <c r="A187" s="63"/>
      <c r="B187" s="84"/>
      <c r="C187" s="89" t="s">
        <v>1227</v>
      </c>
      <c r="D187" s="52"/>
      <c r="E187" s="53"/>
      <c r="F187" s="88"/>
      <c r="G187" s="55"/>
    </row>
    <row r="188" spans="1:7">
      <c r="A188" s="63"/>
      <c r="B188" s="84"/>
      <c r="C188" s="85"/>
      <c r="D188" s="52"/>
      <c r="E188" s="53"/>
      <c r="F188" s="88"/>
      <c r="G188" s="55"/>
    </row>
    <row r="189" spans="1:7">
      <c r="A189" s="63">
        <f>A182+1</f>
        <v>23</v>
      </c>
      <c r="B189" s="84"/>
      <c r="C189" s="85" t="s">
        <v>1228</v>
      </c>
      <c r="D189" s="52" t="s">
        <v>1156</v>
      </c>
      <c r="E189" s="86">
        <f>1</f>
        <v>1</v>
      </c>
      <c r="F189" s="88">
        <f>3*3*1250000</f>
        <v>11250000</v>
      </c>
      <c r="G189" s="55">
        <f>E189*F189</f>
        <v>11250000</v>
      </c>
    </row>
    <row r="190" spans="1:7">
      <c r="A190" s="63"/>
      <c r="B190" s="84"/>
      <c r="C190" s="85" t="s">
        <v>1157</v>
      </c>
      <c r="D190" s="52"/>
      <c r="E190" s="53"/>
      <c r="F190" s="88"/>
      <c r="G190" s="55"/>
    </row>
    <row r="191" spans="1:7">
      <c r="A191" s="49"/>
      <c r="B191" s="84"/>
      <c r="C191" s="85" t="s">
        <v>1158</v>
      </c>
      <c r="D191" s="52"/>
      <c r="E191" s="53"/>
      <c r="F191" s="88"/>
      <c r="G191" s="55"/>
    </row>
    <row r="192" spans="1:7">
      <c r="A192" s="63"/>
      <c r="B192" s="84"/>
      <c r="C192" s="89" t="s">
        <v>1229</v>
      </c>
      <c r="D192" s="52"/>
      <c r="E192" s="53"/>
      <c r="F192" s="88"/>
      <c r="G192" s="55"/>
    </row>
    <row r="193" spans="1:7">
      <c r="A193" s="63"/>
      <c r="B193" s="84"/>
      <c r="C193" s="85" t="s">
        <v>1160</v>
      </c>
      <c r="D193" s="52"/>
      <c r="E193" s="53"/>
      <c r="F193" s="88"/>
      <c r="G193" s="55"/>
    </row>
    <row r="194" spans="1:7">
      <c r="A194" s="63"/>
      <c r="B194" s="84"/>
      <c r="D194" s="52"/>
      <c r="E194" s="53"/>
      <c r="F194" s="88"/>
      <c r="G194" s="55"/>
    </row>
    <row r="195" spans="1:7">
      <c r="A195" s="63">
        <f>A189+1</f>
        <v>24</v>
      </c>
      <c r="B195" s="84"/>
      <c r="C195" s="85" t="s">
        <v>1230</v>
      </c>
      <c r="D195" s="52" t="s">
        <v>1156</v>
      </c>
      <c r="E195" s="53">
        <f>1</f>
        <v>1</v>
      </c>
      <c r="F195" s="88">
        <f>7*3.5*1250000</f>
        <v>30625000</v>
      </c>
      <c r="G195" s="55">
        <f>E195*F195</f>
        <v>30625000</v>
      </c>
    </row>
    <row r="196" spans="1:7" ht="13.5" customHeight="1">
      <c r="A196" s="63"/>
      <c r="B196" s="84"/>
      <c r="C196" s="85" t="s">
        <v>1231</v>
      </c>
      <c r="D196" s="52"/>
      <c r="E196" s="53"/>
      <c r="F196" s="88"/>
      <c r="G196" s="55"/>
    </row>
    <row r="197" spans="1:7">
      <c r="A197" s="63"/>
      <c r="B197" s="84"/>
      <c r="C197" s="85"/>
      <c r="D197" s="52"/>
      <c r="E197" s="53"/>
      <c r="F197" s="88"/>
      <c r="G197" s="55"/>
    </row>
    <row r="198" spans="1:7">
      <c r="A198" s="63">
        <f>A195+1</f>
        <v>25</v>
      </c>
      <c r="B198" s="84"/>
      <c r="C198" s="85" t="s">
        <v>1232</v>
      </c>
      <c r="D198" s="52"/>
      <c r="E198" s="86"/>
      <c r="F198" s="88"/>
      <c r="G198" s="55"/>
    </row>
    <row r="199" spans="1:7">
      <c r="A199" s="63"/>
      <c r="B199" s="84"/>
      <c r="C199" s="85" t="s">
        <v>1157</v>
      </c>
      <c r="D199" s="52" t="s">
        <v>1156</v>
      </c>
      <c r="E199" s="53">
        <f>1</f>
        <v>1</v>
      </c>
      <c r="F199" s="88">
        <f>5.25*3*1250000</f>
        <v>19687500</v>
      </c>
      <c r="G199" s="55">
        <f>E199*F199</f>
        <v>19687500</v>
      </c>
    </row>
    <row r="200" spans="1:7">
      <c r="A200" s="49"/>
      <c r="B200" s="84"/>
      <c r="C200" s="85" t="s">
        <v>1158</v>
      </c>
      <c r="D200" s="52"/>
      <c r="E200" s="53"/>
      <c r="F200" s="88"/>
      <c r="G200" s="55"/>
    </row>
    <row r="201" spans="1:7">
      <c r="A201" s="63"/>
      <c r="B201" s="84"/>
      <c r="C201" s="89" t="s">
        <v>1193</v>
      </c>
      <c r="D201" s="52"/>
      <c r="E201" s="53"/>
      <c r="F201" s="88"/>
      <c r="G201" s="55"/>
    </row>
    <row r="202" spans="1:7">
      <c r="A202" s="63"/>
      <c r="B202" s="84"/>
      <c r="C202" s="89" t="s">
        <v>1220</v>
      </c>
      <c r="D202" s="52"/>
      <c r="E202" s="53"/>
      <c r="F202" s="88"/>
      <c r="G202" s="55"/>
    </row>
    <row r="203" spans="1:7">
      <c r="A203" s="63"/>
      <c r="B203" s="84"/>
      <c r="C203" s="85" t="s">
        <v>1160</v>
      </c>
      <c r="D203" s="52"/>
      <c r="E203" s="53"/>
      <c r="F203" s="88"/>
      <c r="G203" s="55"/>
    </row>
    <row r="204" spans="1:7" ht="13.5" customHeight="1">
      <c r="A204" s="63"/>
      <c r="B204" s="84"/>
      <c r="C204" s="85" t="s">
        <v>1233</v>
      </c>
      <c r="D204" s="52"/>
      <c r="E204" s="53"/>
      <c r="F204" s="88"/>
      <c r="G204" s="55"/>
    </row>
    <row r="205" spans="1:7">
      <c r="A205" s="63"/>
      <c r="B205" s="84"/>
      <c r="C205" s="85"/>
      <c r="D205" s="52"/>
      <c r="E205" s="86"/>
      <c r="F205" s="88"/>
      <c r="G205" s="55"/>
    </row>
    <row r="206" spans="1:7">
      <c r="A206" s="63">
        <f>A198+1</f>
        <v>26</v>
      </c>
      <c r="B206" s="84"/>
      <c r="C206" s="85" t="s">
        <v>1234</v>
      </c>
      <c r="D206" s="52" t="s">
        <v>1156</v>
      </c>
      <c r="E206" s="53">
        <f>1</f>
        <v>1</v>
      </c>
      <c r="F206" s="88">
        <f>3*3.4*1250000</f>
        <v>12750000</v>
      </c>
      <c r="G206" s="55">
        <f>E206*F206</f>
        <v>12750000</v>
      </c>
    </row>
    <row r="207" spans="1:7">
      <c r="A207" s="49"/>
      <c r="B207" s="84"/>
      <c r="C207" s="85" t="s">
        <v>1157</v>
      </c>
      <c r="D207" s="52"/>
      <c r="E207" s="53"/>
      <c r="F207" s="88"/>
      <c r="G207" s="55"/>
    </row>
    <row r="208" spans="1:7">
      <c r="A208" s="63"/>
      <c r="B208" s="84"/>
      <c r="C208" s="85" t="s">
        <v>1158</v>
      </c>
      <c r="D208" s="52"/>
      <c r="E208" s="53"/>
      <c r="F208" s="88"/>
      <c r="G208" s="55"/>
    </row>
    <row r="209" spans="1:7">
      <c r="A209" s="63"/>
      <c r="B209" s="84"/>
      <c r="C209" s="89" t="s">
        <v>1165</v>
      </c>
      <c r="D209" s="52"/>
      <c r="E209" s="53"/>
      <c r="F209" s="88"/>
      <c r="G209" s="55"/>
    </row>
    <row r="210" spans="1:7">
      <c r="A210" s="63"/>
      <c r="B210" s="84"/>
      <c r="C210" s="85" t="s">
        <v>1160</v>
      </c>
      <c r="D210" s="52"/>
      <c r="E210" s="53"/>
      <c r="F210" s="88"/>
      <c r="G210" s="55"/>
    </row>
    <row r="211" spans="1:7">
      <c r="A211" s="63"/>
      <c r="B211" s="84"/>
      <c r="C211" s="89" t="s">
        <v>1176</v>
      </c>
      <c r="D211" s="52"/>
      <c r="E211" s="53"/>
      <c r="F211" s="88"/>
      <c r="G211" s="55"/>
    </row>
    <row r="212" spans="1:7" ht="13.5" customHeight="1">
      <c r="A212" s="63"/>
      <c r="B212" s="84"/>
      <c r="C212" s="85"/>
      <c r="D212" s="52"/>
      <c r="E212" s="53"/>
      <c r="F212" s="88"/>
      <c r="G212" s="55"/>
    </row>
    <row r="213" spans="1:7" ht="13.5" customHeight="1">
      <c r="A213" s="63">
        <f>A206+1</f>
        <v>27</v>
      </c>
      <c r="B213" s="84"/>
      <c r="C213" s="85" t="s">
        <v>1235</v>
      </c>
      <c r="D213" s="52" t="s">
        <v>1156</v>
      </c>
      <c r="E213" s="53">
        <f>1</f>
        <v>1</v>
      </c>
      <c r="F213" s="88">
        <f>4.5*3.8*1250000</f>
        <v>21375000</v>
      </c>
      <c r="G213" s="55">
        <f>E213*F213</f>
        <v>21375000</v>
      </c>
    </row>
    <row r="214" spans="1:7" ht="13.5" customHeight="1">
      <c r="A214" s="63"/>
      <c r="B214" s="84"/>
      <c r="C214" s="85" t="s">
        <v>1236</v>
      </c>
      <c r="D214" s="52"/>
      <c r="E214" s="53"/>
      <c r="F214" s="88"/>
      <c r="G214" s="55"/>
    </row>
    <row r="215" spans="1:7">
      <c r="A215" s="63"/>
      <c r="B215" s="84"/>
      <c r="C215" s="89" t="s">
        <v>1237</v>
      </c>
      <c r="D215" s="52"/>
      <c r="E215" s="53"/>
      <c r="F215" s="88"/>
      <c r="G215" s="55"/>
    </row>
    <row r="216" spans="1:7">
      <c r="A216" s="63"/>
      <c r="B216" s="84"/>
      <c r="C216" s="89" t="s">
        <v>1238</v>
      </c>
      <c r="D216" s="52"/>
      <c r="E216" s="86"/>
      <c r="F216" s="88"/>
      <c r="G216" s="55"/>
    </row>
    <row r="217" spans="1:7">
      <c r="A217" s="63"/>
      <c r="B217" s="84"/>
      <c r="C217" s="89" t="s">
        <v>1239</v>
      </c>
      <c r="D217" s="52"/>
      <c r="E217" s="53"/>
      <c r="F217" s="88"/>
      <c r="G217" s="55"/>
    </row>
    <row r="218" spans="1:7">
      <c r="A218" s="63"/>
      <c r="B218" s="84"/>
      <c r="C218" s="89" t="s">
        <v>1240</v>
      </c>
      <c r="D218" s="52"/>
      <c r="E218" s="53"/>
      <c r="F218" s="88"/>
      <c r="G218" s="55"/>
    </row>
    <row r="219" spans="1:7">
      <c r="A219" s="49"/>
      <c r="B219" s="84"/>
      <c r="C219" s="89" t="s">
        <v>1241</v>
      </c>
      <c r="D219" s="52"/>
      <c r="E219" s="53"/>
      <c r="F219" s="88"/>
      <c r="G219" s="55"/>
    </row>
    <row r="220" spans="1:7">
      <c r="A220" s="63"/>
      <c r="B220" s="84"/>
      <c r="C220" s="89" t="s">
        <v>1242</v>
      </c>
      <c r="D220" s="52"/>
      <c r="E220" s="53"/>
      <c r="F220" s="88"/>
      <c r="G220" s="55"/>
    </row>
    <row r="221" spans="1:7">
      <c r="A221" s="63"/>
      <c r="B221" s="84"/>
      <c r="C221" s="85" t="s">
        <v>1160</v>
      </c>
      <c r="D221" s="52"/>
      <c r="E221" s="53"/>
      <c r="F221" s="88"/>
      <c r="G221" s="55"/>
    </row>
    <row r="222" spans="1:7">
      <c r="A222" s="63"/>
      <c r="B222" s="84"/>
      <c r="C222" s="85"/>
      <c r="D222" s="52"/>
      <c r="E222" s="53"/>
      <c r="F222" s="88"/>
      <c r="G222" s="55"/>
    </row>
    <row r="223" spans="1:7">
      <c r="A223" s="63">
        <f>A213+1</f>
        <v>28</v>
      </c>
      <c r="B223" s="84"/>
      <c r="C223" s="85" t="s">
        <v>1243</v>
      </c>
      <c r="D223" s="52" t="s">
        <v>1156</v>
      </c>
      <c r="E223" s="53">
        <f>1</f>
        <v>1</v>
      </c>
      <c r="F223" s="88">
        <f>(7.7*0.6)+(7.7*0.8)*1790000</f>
        <v>11026404.619999999</v>
      </c>
      <c r="G223" s="55">
        <f>E223*F223</f>
        <v>11026404.619999999</v>
      </c>
    </row>
    <row r="224" spans="1:7" ht="13.5" customHeight="1">
      <c r="A224" s="63"/>
      <c r="B224" s="84"/>
      <c r="C224" s="85" t="s">
        <v>1244</v>
      </c>
      <c r="D224" s="52"/>
      <c r="E224" s="53"/>
      <c r="F224" s="88"/>
      <c r="G224" s="55"/>
    </row>
    <row r="225" spans="1:7" ht="13.5" customHeight="1">
      <c r="A225" s="63"/>
      <c r="B225" s="84"/>
      <c r="C225" s="85" t="s">
        <v>1245</v>
      </c>
      <c r="D225" s="52"/>
      <c r="E225" s="53"/>
      <c r="F225" s="88"/>
      <c r="G225" s="55"/>
    </row>
    <row r="226" spans="1:7" ht="13.5" customHeight="1">
      <c r="A226" s="63"/>
      <c r="B226" s="84"/>
      <c r="C226" s="89" t="s">
        <v>1246</v>
      </c>
      <c r="D226" s="52"/>
      <c r="E226" s="53"/>
      <c r="F226" s="88"/>
      <c r="G226" s="55"/>
    </row>
    <row r="227" spans="1:7">
      <c r="A227" s="69"/>
      <c r="D227" s="52"/>
      <c r="E227" s="53"/>
      <c r="F227" s="54"/>
      <c r="G227" s="55"/>
    </row>
    <row r="228" spans="1:7">
      <c r="A228" s="90"/>
      <c r="B228" s="91"/>
      <c r="C228" s="92" t="s">
        <v>1247</v>
      </c>
      <c r="D228" s="93"/>
      <c r="E228" s="94"/>
      <c r="F228" s="95"/>
      <c r="G228" s="96">
        <f>SUM(G29:G226)</f>
        <v>636810154.62</v>
      </c>
    </row>
    <row r="229" spans="1:7">
      <c r="A229" s="68"/>
      <c r="C229" s="2"/>
      <c r="D229" s="52"/>
      <c r="E229" s="53"/>
      <c r="F229" s="54"/>
      <c r="G229" s="55"/>
    </row>
    <row r="230" spans="1:7">
      <c r="A230" s="58" t="s">
        <v>34</v>
      </c>
      <c r="B230" s="59"/>
      <c r="C230" s="60" t="s">
        <v>1248</v>
      </c>
      <c r="D230" s="52"/>
      <c r="E230" s="53"/>
      <c r="F230" s="54"/>
      <c r="G230" s="55"/>
    </row>
    <row r="231" spans="1:7">
      <c r="A231" s="58"/>
      <c r="B231" s="59"/>
      <c r="C231" s="60"/>
      <c r="D231" s="52"/>
      <c r="E231" s="53"/>
      <c r="F231" s="54"/>
      <c r="G231" s="55"/>
    </row>
    <row r="232" spans="1:7" s="1" customFormat="1" ht="16.8">
      <c r="A232" s="49">
        <v>1</v>
      </c>
      <c r="B232" s="59"/>
      <c r="C232" s="97" t="s">
        <v>1249</v>
      </c>
      <c r="D232" s="98" t="s">
        <v>1250</v>
      </c>
      <c r="E232" s="53"/>
      <c r="F232" s="54"/>
      <c r="G232" s="55"/>
    </row>
    <row r="233" spans="1:7">
      <c r="A233" s="49"/>
      <c r="B233" s="59"/>
      <c r="C233" s="85" t="s">
        <v>1251</v>
      </c>
      <c r="D233" s="52"/>
      <c r="E233" s="53"/>
      <c r="F233" s="54"/>
      <c r="G233" s="55"/>
    </row>
    <row r="234" spans="1:7" ht="16.8">
      <c r="A234" s="49">
        <f>A232+1</f>
        <v>2</v>
      </c>
      <c r="B234" s="59"/>
      <c r="C234" s="85" t="s">
        <v>1252</v>
      </c>
      <c r="D234" s="98" t="s">
        <v>1250</v>
      </c>
      <c r="E234" s="53"/>
      <c r="F234" s="54"/>
      <c r="G234" s="55"/>
    </row>
    <row r="235" spans="1:7">
      <c r="A235" s="49"/>
      <c r="B235" s="59"/>
      <c r="C235" s="85" t="s">
        <v>1251</v>
      </c>
      <c r="D235" s="52"/>
      <c r="E235" s="53"/>
      <c r="F235" s="54"/>
      <c r="G235" s="55"/>
    </row>
    <row r="236" spans="1:7" ht="16.8">
      <c r="A236" s="49">
        <f>A234+1</f>
        <v>3</v>
      </c>
      <c r="B236" s="59"/>
      <c r="C236" s="85" t="s">
        <v>1253</v>
      </c>
      <c r="D236" s="98" t="s">
        <v>1250</v>
      </c>
      <c r="E236" s="53"/>
      <c r="F236" s="54"/>
      <c r="G236" s="55"/>
    </row>
    <row r="237" spans="1:7" ht="16.8">
      <c r="A237" s="49">
        <f>A236+1</f>
        <v>4</v>
      </c>
      <c r="B237" s="59"/>
      <c r="C237" s="2066" t="s">
        <v>1254</v>
      </c>
      <c r="D237" s="98" t="s">
        <v>1250</v>
      </c>
      <c r="E237" s="53"/>
      <c r="F237" s="54"/>
      <c r="G237" s="55"/>
    </row>
    <row r="238" spans="1:7">
      <c r="A238" s="49"/>
      <c r="B238" s="84"/>
      <c r="D238" s="52"/>
      <c r="E238" s="53"/>
      <c r="F238" s="54"/>
      <c r="G238" s="55"/>
    </row>
    <row r="239" spans="1:7">
      <c r="A239" s="90"/>
      <c r="B239" s="91"/>
      <c r="C239" s="92" t="s">
        <v>1255</v>
      </c>
      <c r="D239" s="93"/>
      <c r="E239" s="94"/>
      <c r="F239" s="95"/>
      <c r="G239" s="96">
        <f>SUM(G236:G238)</f>
        <v>0</v>
      </c>
    </row>
    <row r="240" spans="1:7">
      <c r="A240" s="68"/>
      <c r="B240" s="2"/>
      <c r="C240" s="2"/>
      <c r="D240" s="52"/>
      <c r="E240" s="53"/>
      <c r="F240" s="54"/>
      <c r="G240" s="55"/>
    </row>
    <row r="241" spans="1:7">
      <c r="A241" s="58" t="s">
        <v>24</v>
      </c>
      <c r="B241" s="83"/>
      <c r="C241" s="60" t="s">
        <v>149</v>
      </c>
      <c r="D241" s="52"/>
      <c r="E241" s="53"/>
      <c r="F241" s="54"/>
      <c r="G241" s="55"/>
    </row>
    <row r="242" spans="1:7">
      <c r="A242" s="49"/>
      <c r="B242" s="50"/>
      <c r="D242" s="52"/>
      <c r="E242" s="53"/>
      <c r="F242" s="54"/>
      <c r="G242" s="55"/>
    </row>
    <row r="243" spans="1:7">
      <c r="A243" s="68"/>
      <c r="C243" s="99"/>
      <c r="D243" s="52"/>
      <c r="E243" s="100"/>
      <c r="F243" s="88"/>
      <c r="G243" s="55"/>
    </row>
    <row r="244" spans="1:7">
      <c r="A244" s="49"/>
      <c r="B244" s="50"/>
      <c r="C244" s="3" t="s">
        <v>91</v>
      </c>
      <c r="D244" s="52"/>
      <c r="E244" s="53"/>
      <c r="F244" s="54"/>
      <c r="G244" s="75"/>
    </row>
    <row r="245" spans="1:7">
      <c r="A245" s="90"/>
      <c r="B245" s="91"/>
      <c r="C245" s="92" t="s">
        <v>402</v>
      </c>
      <c r="D245" s="93"/>
      <c r="E245" s="94"/>
      <c r="F245" s="95"/>
      <c r="G245" s="96">
        <f>SUM(G243:G244)</f>
        <v>0</v>
      </c>
    </row>
  </sheetData>
  <pageMargins left="0.7" right="0.7" top="0.75" bottom="0.75" header="0.3" footer="0.3"/>
  <pageSetup scale="50" orientation="portrait" r:id="rId1"/>
  <rowBreaks count="2" manualBreakCount="2">
    <brk id="75" max="16383" man="1"/>
    <brk id="16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45</vt:i4>
      </vt:variant>
    </vt:vector>
  </HeadingPairs>
  <TitlesOfParts>
    <vt:vector size="66" baseType="lpstr">
      <vt:lpstr>COVER</vt:lpstr>
      <vt:lpstr>REKAP TOTAL</vt:lpstr>
      <vt:lpstr>I. PERSIAPAN</vt:lpstr>
      <vt:lpstr>II.PEK. LUAR</vt:lpstr>
      <vt:lpstr>III.BODY REPAIR</vt:lpstr>
      <vt:lpstr>IV.GENERAL REPAIR</vt:lpstr>
      <vt:lpstr>V.OFFICE &amp; SHOWROOM</vt:lpstr>
      <vt:lpstr>VI.KONDISI EXISTING</vt:lpstr>
      <vt:lpstr>REKAP ME</vt:lpstr>
      <vt:lpstr>I. Mek. Infrastruktur</vt:lpstr>
      <vt:lpstr>II. Mek. Body Repair</vt:lpstr>
      <vt:lpstr>III. Mek. General Repair</vt:lpstr>
      <vt:lpstr>I. Elektrikal Infrastruktur</vt:lpstr>
      <vt:lpstr>II. Elektrikal Body Repair</vt:lpstr>
      <vt:lpstr>III. Elektrikal General Repair</vt:lpstr>
      <vt:lpstr>IV. Elekt Office &amp; Showroom</vt:lpstr>
      <vt:lpstr>I. Elektronik Body Repair</vt:lpstr>
      <vt:lpstr>KURVA-S</vt:lpstr>
      <vt:lpstr>DOKUMENTASI</vt:lpstr>
      <vt:lpstr>Daftar Materil </vt:lpstr>
      <vt:lpstr>INTERIOR-SHOWROOM</vt:lpstr>
      <vt:lpstr>Beton</vt:lpstr>
      <vt:lpstr>'II.PEK. LUAR'!bs</vt:lpstr>
      <vt:lpstr>'REKAP ME'!Excel_BuiltIn_Print_Area_17_1</vt:lpstr>
      <vt:lpstr>'I. Elektrikal Infrastruktur'!Excel_BuiltIn_Print_Titles_15</vt:lpstr>
      <vt:lpstr>'II. Elektrikal Body Repair'!Excel_BuiltIn_Print_Titles_15</vt:lpstr>
      <vt:lpstr>'III. Elektrikal General Repair'!Excel_BuiltIn_Print_Titles_15</vt:lpstr>
      <vt:lpstr>'IV. Elekt Office &amp; Showroom'!Excel_BuiltIn_Print_Titles_15</vt:lpstr>
      <vt:lpstr>'I. Elektrikal Infrastruktur'!Excel_BuiltIn_Print_Titles_16</vt:lpstr>
      <vt:lpstr>'II. Elektrikal Body Repair'!Excel_BuiltIn_Print_Titles_16</vt:lpstr>
      <vt:lpstr>'III. Elektrikal General Repair'!Excel_BuiltIn_Print_Titles_16</vt:lpstr>
      <vt:lpstr>'IV. Elekt Office &amp; Showroom'!Excel_BuiltIn_Print_Titles_16</vt:lpstr>
      <vt:lpstr>'I. Elektronik Body Repair'!Excel_BuiltIn_Print_Titles_16_1</vt:lpstr>
      <vt:lpstr>'I. Elektronik Body Repair'!Excel_BuiltIn_Print_Titles_17</vt:lpstr>
      <vt:lpstr>'REKAP ME'!Excel_BuiltIn_Print_Titles_18</vt:lpstr>
      <vt:lpstr>'Daftar Materil '!Print_Area</vt:lpstr>
      <vt:lpstr>'I. Elektrikal Infrastruktur'!Print_Area</vt:lpstr>
      <vt:lpstr>'I. Elektronik Body Repair'!Print_Area</vt:lpstr>
      <vt:lpstr>'I. Mek. Infrastruktur'!Print_Area</vt:lpstr>
      <vt:lpstr>'I. PERSIAPAN'!Print_Area</vt:lpstr>
      <vt:lpstr>'II. Elektrikal Body Repair'!Print_Area</vt:lpstr>
      <vt:lpstr>'II. Mek. Body Repair'!Print_Area</vt:lpstr>
      <vt:lpstr>'II.PEK. LUAR'!Print_Area</vt:lpstr>
      <vt:lpstr>'III. Elektrikal General Repair'!Print_Area</vt:lpstr>
      <vt:lpstr>'III. Mek. General Repair'!Print_Area</vt:lpstr>
      <vt:lpstr>'III.BODY REPAIR'!Print_Area</vt:lpstr>
      <vt:lpstr>'INTERIOR-SHOWROOM'!Print_Area</vt:lpstr>
      <vt:lpstr>'IV. Elekt Office &amp; Showroom'!Print_Area</vt:lpstr>
      <vt:lpstr>'IV.GENERAL REPAIR'!Print_Area</vt:lpstr>
      <vt:lpstr>'REKAP ME'!Print_Area</vt:lpstr>
      <vt:lpstr>'REKAP TOTAL'!Print_Area</vt:lpstr>
      <vt:lpstr>'V.OFFICE &amp; SHOWROOM'!Print_Area</vt:lpstr>
      <vt:lpstr>'VI.KONDISI EXISTING'!Print_Area</vt:lpstr>
      <vt:lpstr>'Daftar Materil '!Print_Titles</vt:lpstr>
      <vt:lpstr>'I. Elektrikal Infrastruktur'!Print_Titles</vt:lpstr>
      <vt:lpstr>'I. Elektronik Body Repair'!Print_Titles</vt:lpstr>
      <vt:lpstr>'II. Elektrikal Body Repair'!Print_Titles</vt:lpstr>
      <vt:lpstr>'II. Mek. Body Repair'!Print_Titles</vt:lpstr>
      <vt:lpstr>'II.PEK. LUAR'!Print_Titles</vt:lpstr>
      <vt:lpstr>'III. Elektrikal General Repair'!Print_Titles</vt:lpstr>
      <vt:lpstr>'III. Mek. General Repair'!Print_Titles</vt:lpstr>
      <vt:lpstr>'III.BODY REPAIR'!Print_Titles</vt:lpstr>
      <vt:lpstr>'IV. Elekt Office &amp; Showroom'!Print_Titles</vt:lpstr>
      <vt:lpstr>'IV.GENERAL REPAIR'!Print_Titles</vt:lpstr>
      <vt:lpstr>'V.OFFICE &amp; SHOWROOM'!Print_Titles</vt:lpstr>
      <vt:lpstr>'VI.KONDISI EXISTING'!Print_Titles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Arupadatu</dc:creator>
  <cp:lastModifiedBy>MSI 10</cp:lastModifiedBy>
  <cp:lastPrinted>2026-04-27T05:47:29Z</cp:lastPrinted>
  <dcterms:created xsi:type="dcterms:W3CDTF">2021-11-22T10:56:00Z</dcterms:created>
  <dcterms:modified xsi:type="dcterms:W3CDTF">2026-04-27T07:42:32Z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D338ECE4982345DBB39C6A2B32C15DBB_13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