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36" activeTab="14"/>
  </bookViews>
  <sheets>
    <sheet name="РГЗ" sheetId="16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</sheets>
  <definedNames>
    <definedName name="_xlnm._FilterDatabase" localSheetId="3" hidden="1">'3'!$G$2:$G$201</definedName>
    <definedName name="height">'1'!$B$2:$B$201</definedName>
    <definedName name="weight">'1'!$C$2:$C$201</definedName>
    <definedName name="_xlnm.Extract" localSheetId="3">'3'!$H$3</definedName>
    <definedName name="_xlnm.Criteria" localSheetId="3">'3'!$H$1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4" l="1"/>
  <c r="B1" i="14"/>
  <c r="W7" i="10"/>
  <c r="F24" i="10"/>
  <c r="W6" i="10"/>
  <c r="F23" i="10"/>
  <c r="W5" i="10"/>
  <c r="F22" i="10"/>
  <c r="T15" i="10"/>
  <c r="T14" i="10"/>
  <c r="T13" i="10"/>
  <c r="T12" i="10"/>
  <c r="T11" i="10"/>
  <c r="T10" i="10"/>
  <c r="T9" i="10"/>
  <c r="T8" i="10"/>
  <c r="T7" i="10"/>
  <c r="T6" i="10"/>
  <c r="O20" i="10"/>
  <c r="N20" i="10"/>
  <c r="M20" i="10"/>
  <c r="L20" i="10"/>
  <c r="K20" i="10"/>
  <c r="J20" i="10"/>
  <c r="I20" i="10"/>
  <c r="H20" i="10"/>
  <c r="G20" i="10"/>
  <c r="F20" i="10"/>
  <c r="Q16" i="10"/>
  <c r="P17" i="10"/>
  <c r="S15" i="10"/>
  <c r="S14" i="10"/>
  <c r="S13" i="10"/>
  <c r="S12" i="10"/>
  <c r="S11" i="10"/>
  <c r="S10" i="10"/>
  <c r="S9" i="10"/>
  <c r="S8" i="10"/>
  <c r="S7" i="10"/>
  <c r="S6" i="10"/>
  <c r="O19" i="10"/>
  <c r="N19" i="10"/>
  <c r="M19" i="10"/>
  <c r="L19" i="10"/>
  <c r="K19" i="10"/>
  <c r="J19" i="10"/>
  <c r="I19" i="10"/>
  <c r="H19" i="10"/>
  <c r="G19" i="10"/>
  <c r="F19" i="10"/>
  <c r="R15" i="10"/>
  <c r="R14" i="10"/>
  <c r="R13" i="10"/>
  <c r="R12" i="10"/>
  <c r="R11" i="10"/>
  <c r="R10" i="10"/>
  <c r="R9" i="10"/>
  <c r="R8" i="10"/>
  <c r="R7" i="10"/>
  <c r="R6" i="10"/>
  <c r="O18" i="10"/>
  <c r="N18" i="10"/>
  <c r="M18" i="10"/>
  <c r="L18" i="10"/>
  <c r="K18" i="10"/>
  <c r="J18" i="10"/>
  <c r="I18" i="10"/>
  <c r="H18" i="10"/>
  <c r="G18" i="10"/>
  <c r="F18" i="10"/>
  <c r="O15" i="10"/>
  <c r="N15" i="10"/>
  <c r="M15" i="10"/>
  <c r="L15" i="10"/>
  <c r="K15" i="10"/>
  <c r="J15" i="10"/>
  <c r="I15" i="10"/>
  <c r="H15" i="10"/>
  <c r="G15" i="10"/>
  <c r="F15" i="10"/>
  <c r="D15" i="10"/>
  <c r="O14" i="10"/>
  <c r="N14" i="10"/>
  <c r="M14" i="10"/>
  <c r="L14" i="10"/>
  <c r="K14" i="10"/>
  <c r="J14" i="10"/>
  <c r="I14" i="10"/>
  <c r="H14" i="10"/>
  <c r="G14" i="10"/>
  <c r="F14" i="10"/>
  <c r="D14" i="10"/>
  <c r="O13" i="10"/>
  <c r="N13" i="10"/>
  <c r="M13" i="10"/>
  <c r="L13" i="10"/>
  <c r="K13" i="10"/>
  <c r="J13" i="10"/>
  <c r="I13" i="10"/>
  <c r="H13" i="10"/>
  <c r="P13" i="10" s="1"/>
  <c r="Q13" i="10" s="1"/>
  <c r="G13" i="10"/>
  <c r="F13" i="10"/>
  <c r="D13" i="10"/>
  <c r="O12" i="10"/>
  <c r="N12" i="10"/>
  <c r="M12" i="10"/>
  <c r="L12" i="10"/>
  <c r="K12" i="10"/>
  <c r="J12" i="10"/>
  <c r="I12" i="10"/>
  <c r="H12" i="10"/>
  <c r="G12" i="10"/>
  <c r="F12" i="10"/>
  <c r="P12" i="10" s="1"/>
  <c r="Q12" i="10" s="1"/>
  <c r="D12" i="10"/>
  <c r="O11" i="10"/>
  <c r="N11" i="10"/>
  <c r="M11" i="10"/>
  <c r="L11" i="10"/>
  <c r="K11" i="10"/>
  <c r="J11" i="10"/>
  <c r="I11" i="10"/>
  <c r="H11" i="10"/>
  <c r="G11" i="10"/>
  <c r="F11" i="10"/>
  <c r="D11" i="10"/>
  <c r="O10" i="10"/>
  <c r="N10" i="10"/>
  <c r="M10" i="10"/>
  <c r="L10" i="10"/>
  <c r="K10" i="10"/>
  <c r="J10" i="10"/>
  <c r="I10" i="10"/>
  <c r="H10" i="10"/>
  <c r="G10" i="10"/>
  <c r="P10" i="10" s="1"/>
  <c r="F10" i="10"/>
  <c r="Q10" i="10" s="1"/>
  <c r="D10" i="10"/>
  <c r="O9" i="10"/>
  <c r="N9" i="10"/>
  <c r="M9" i="10"/>
  <c r="L9" i="10"/>
  <c r="K9" i="10"/>
  <c r="J9" i="10"/>
  <c r="I9" i="10"/>
  <c r="H9" i="10"/>
  <c r="G9" i="10"/>
  <c r="F9" i="10"/>
  <c r="D9" i="10"/>
  <c r="O8" i="10"/>
  <c r="N8" i="10"/>
  <c r="M8" i="10"/>
  <c r="L8" i="10"/>
  <c r="K8" i="10"/>
  <c r="J8" i="10"/>
  <c r="I8" i="10"/>
  <c r="H8" i="10"/>
  <c r="G8" i="10"/>
  <c r="F8" i="10"/>
  <c r="P8" i="10" s="1"/>
  <c r="Q8" i="10" s="1"/>
  <c r="D8" i="10"/>
  <c r="O7" i="10"/>
  <c r="N7" i="10"/>
  <c r="M7" i="10"/>
  <c r="L7" i="10"/>
  <c r="K7" i="10"/>
  <c r="J7" i="10"/>
  <c r="I7" i="10"/>
  <c r="H7" i="10"/>
  <c r="G7" i="10"/>
  <c r="F7" i="10"/>
  <c r="P7" i="10" s="1"/>
  <c r="Q7" i="10" s="1"/>
  <c r="D7" i="10"/>
  <c r="O6" i="10"/>
  <c r="O16" i="10" s="1"/>
  <c r="O17" i="10" s="1"/>
  <c r="N6" i="10"/>
  <c r="M6" i="10"/>
  <c r="L6" i="10"/>
  <c r="K6" i="10"/>
  <c r="J6" i="10"/>
  <c r="J16" i="10" s="1"/>
  <c r="I6" i="10"/>
  <c r="I16" i="10" s="1"/>
  <c r="H6" i="10"/>
  <c r="H16" i="10" s="1"/>
  <c r="H17" i="10" s="1"/>
  <c r="G6" i="10"/>
  <c r="G16" i="10" s="1"/>
  <c r="G17" i="10" s="1"/>
  <c r="F6" i="10"/>
  <c r="D6" i="10"/>
  <c r="Q15" i="10" l="1"/>
  <c r="K17" i="10"/>
  <c r="Q14" i="10"/>
  <c r="Q9" i="10"/>
  <c r="K16" i="10"/>
  <c r="P15" i="10"/>
  <c r="L16" i="10"/>
  <c r="L17" i="10" s="1"/>
  <c r="I17" i="10"/>
  <c r="M16" i="10"/>
  <c r="M17" i="10" s="1"/>
  <c r="J17" i="10"/>
  <c r="P9" i="10"/>
  <c r="F16" i="10"/>
  <c r="N16" i="10"/>
  <c r="N17" i="10" s="1"/>
  <c r="P6" i="10"/>
  <c r="P14" i="10"/>
  <c r="Q6" i="10"/>
  <c r="P11" i="10"/>
  <c r="Q11" i="10" s="1"/>
  <c r="P16" i="10" l="1"/>
  <c r="F17" i="10"/>
  <c r="D8" i="13" l="1"/>
  <c r="C8" i="13"/>
  <c r="D2" i="13" l="1"/>
  <c r="D1" i="13"/>
  <c r="N11" i="12"/>
  <c r="N10" i="12"/>
  <c r="N5" i="12"/>
  <c r="N6" i="12"/>
  <c r="N13" i="12"/>
  <c r="N12" i="12"/>
  <c r="N9" i="12"/>
  <c r="N8" i="12"/>
  <c r="N7" i="12"/>
  <c r="H11" i="12"/>
  <c r="I8" i="12"/>
  <c r="H8" i="12"/>
  <c r="G7" i="12"/>
  <c r="G6" i="12"/>
  <c r="E14" i="12"/>
  <c r="E9" i="12"/>
  <c r="K5" i="12" l="1"/>
  <c r="J5" i="12"/>
  <c r="I5" i="12"/>
  <c r="G5" i="12"/>
  <c r="H5" i="12"/>
  <c r="M12" i="12"/>
  <c r="L12" i="12"/>
  <c r="K12" i="12"/>
  <c r="J12" i="12"/>
  <c r="I12" i="12"/>
  <c r="K10" i="12"/>
  <c r="M11" i="12"/>
  <c r="F6" i="12"/>
  <c r="J7" i="12"/>
  <c r="J8" i="12"/>
  <c r="L10" i="12"/>
  <c r="F10" i="12"/>
  <c r="F11" i="12"/>
  <c r="I13" i="12"/>
  <c r="G14" i="12"/>
  <c r="F14" i="12"/>
  <c r="H14" i="12"/>
  <c r="J14" i="12"/>
  <c r="K14" i="12"/>
  <c r="L14" i="12"/>
  <c r="M14" i="12"/>
  <c r="I14" i="12"/>
  <c r="E5" i="12"/>
  <c r="E6" i="12"/>
  <c r="E7" i="12"/>
  <c r="C22" i="15"/>
  <c r="A22" i="15"/>
  <c r="B21" i="15"/>
  <c r="F18" i="15"/>
  <c r="B18" i="15"/>
  <c r="F17" i="15"/>
  <c r="B17" i="15"/>
  <c r="F14" i="15"/>
  <c r="B14" i="15"/>
  <c r="E13" i="15"/>
  <c r="B13" i="15"/>
  <c r="E12" i="15"/>
  <c r="E11" i="15"/>
  <c r="B11" i="15"/>
  <c r="C7" i="15"/>
  <c r="B7" i="15"/>
  <c r="B2" i="15" a="1"/>
  <c r="B2" i="15" s="1"/>
  <c r="B6" i="11"/>
  <c r="C5" i="15" l="1"/>
  <c r="B5" i="15"/>
  <c r="C2" i="15"/>
  <c r="C4" i="15"/>
  <c r="B4" i="15"/>
  <c r="C3" i="15"/>
  <c r="B3" i="15"/>
  <c r="C6" i="15"/>
  <c r="B6" i="15"/>
  <c r="N14" i="12" l="1"/>
  <c r="N15" i="12" s="1"/>
  <c r="M15" i="12"/>
  <c r="L15" i="12"/>
  <c r="K15" i="12"/>
  <c r="J15" i="12"/>
  <c r="H15" i="12"/>
  <c r="F15" i="12"/>
  <c r="B24" i="12"/>
  <c r="B23" i="12"/>
  <c r="B22" i="12"/>
  <c r="B21" i="12"/>
  <c r="P12" i="12"/>
  <c r="P11" i="12"/>
  <c r="P9" i="12"/>
  <c r="P8" i="12"/>
  <c r="P7" i="12"/>
  <c r="O13" i="12"/>
  <c r="P13" i="12" s="1"/>
  <c r="O12" i="12"/>
  <c r="O11" i="12"/>
  <c r="O10" i="12"/>
  <c r="P10" i="12" s="1"/>
  <c r="O9" i="12"/>
  <c r="O8" i="12"/>
  <c r="O7" i="12"/>
  <c r="O6" i="12"/>
  <c r="P6" i="12" s="1"/>
  <c r="O5" i="12"/>
  <c r="P5" i="12" s="1"/>
  <c r="M13" i="12"/>
  <c r="M10" i="12"/>
  <c r="M9" i="12"/>
  <c r="M8" i="12"/>
  <c r="M7" i="12"/>
  <c r="M6" i="12"/>
  <c r="L13" i="12"/>
  <c r="L11" i="12"/>
  <c r="L9" i="12"/>
  <c r="L8" i="12"/>
  <c r="L7" i="12"/>
  <c r="L6" i="12"/>
  <c r="K13" i="12"/>
  <c r="K11" i="12"/>
  <c r="K9" i="12"/>
  <c r="K8" i="12"/>
  <c r="K7" i="12"/>
  <c r="K6" i="12"/>
  <c r="J13" i="12"/>
  <c r="J11" i="12"/>
  <c r="J10" i="12"/>
  <c r="J9" i="12"/>
  <c r="J6" i="12"/>
  <c r="I11" i="12"/>
  <c r="I10" i="12"/>
  <c r="I9" i="12"/>
  <c r="I7" i="12"/>
  <c r="I6" i="12"/>
  <c r="H13" i="12"/>
  <c r="H12" i="12"/>
  <c r="H10" i="12"/>
  <c r="H9" i="12"/>
  <c r="H7" i="12"/>
  <c r="H6" i="12"/>
  <c r="G13" i="12"/>
  <c r="G12" i="12"/>
  <c r="G11" i="12"/>
  <c r="G10" i="12"/>
  <c r="G9" i="12"/>
  <c r="G8" i="12"/>
  <c r="F13" i="12"/>
  <c r="F12" i="12"/>
  <c r="F9" i="12"/>
  <c r="F8" i="12"/>
  <c r="F7" i="12"/>
  <c r="E13" i="12"/>
  <c r="E12" i="12"/>
  <c r="E11" i="12"/>
  <c r="E10" i="12"/>
  <c r="E8" i="12"/>
  <c r="M5" i="12"/>
  <c r="L5" i="12"/>
  <c r="F5" i="12"/>
  <c r="C14" i="12"/>
  <c r="C13" i="12"/>
  <c r="C12" i="12"/>
  <c r="C11" i="12"/>
  <c r="C10" i="12"/>
  <c r="C9" i="12"/>
  <c r="C8" i="12"/>
  <c r="C7" i="12"/>
  <c r="C6" i="12"/>
  <c r="C5" i="12"/>
  <c r="O57" i="9"/>
  <c r="O56" i="9"/>
  <c r="O55" i="9"/>
  <c r="O54" i="9"/>
  <c r="O53" i="9"/>
  <c r="O52" i="9"/>
  <c r="O51" i="9"/>
  <c r="O50" i="9"/>
  <c r="O49" i="9"/>
  <c r="O48" i="9"/>
  <c r="N16" i="12" l="1"/>
  <c r="M16" i="12"/>
  <c r="L16" i="12"/>
  <c r="K16" i="12"/>
  <c r="J16" i="12"/>
  <c r="I15" i="12"/>
  <c r="I16" i="12" s="1"/>
  <c r="H16" i="12"/>
  <c r="G15" i="12"/>
  <c r="G16" i="12" s="1"/>
  <c r="F16" i="12"/>
  <c r="O14" i="12"/>
  <c r="P14" i="12" s="1"/>
  <c r="E15" i="12"/>
  <c r="E16" i="12" s="1"/>
  <c r="B25" i="12"/>
  <c r="O47" i="9"/>
  <c r="G56" i="9"/>
  <c r="G55" i="9"/>
  <c r="G54" i="9"/>
  <c r="H56" i="9"/>
  <c r="H55" i="9"/>
  <c r="H54" i="9"/>
  <c r="I56" i="9"/>
  <c r="I55" i="9"/>
  <c r="I54" i="9"/>
  <c r="J56" i="9"/>
  <c r="J55" i="9"/>
  <c r="J54" i="9"/>
  <c r="K56" i="9"/>
  <c r="K55" i="9"/>
  <c r="K54" i="9"/>
  <c r="L56" i="9"/>
  <c r="L55" i="9"/>
  <c r="L54" i="9"/>
  <c r="M56" i="9"/>
  <c r="M55" i="9"/>
  <c r="N56" i="9"/>
  <c r="N55" i="9"/>
  <c r="M54" i="9"/>
  <c r="N54" i="9"/>
  <c r="N53" i="9"/>
  <c r="M53" i="9"/>
  <c r="L53" i="9"/>
  <c r="K53" i="9"/>
  <c r="J53" i="9"/>
  <c r="I53" i="9"/>
  <c r="H53" i="9"/>
  <c r="G53" i="9"/>
  <c r="N52" i="9"/>
  <c r="M52" i="9"/>
  <c r="L52" i="9"/>
  <c r="K52" i="9"/>
  <c r="J52" i="9"/>
  <c r="I52" i="9"/>
  <c r="H52" i="9"/>
  <c r="G52" i="9"/>
  <c r="G51" i="9"/>
  <c r="H51" i="9"/>
  <c r="I51" i="9"/>
  <c r="J51" i="9"/>
  <c r="K51" i="9"/>
  <c r="L51" i="9"/>
  <c r="M51" i="9"/>
  <c r="N51" i="9"/>
  <c r="F56" i="9"/>
  <c r="F55" i="9"/>
  <c r="F54" i="9"/>
  <c r="F53" i="9"/>
  <c r="F52" i="9"/>
  <c r="F51" i="9"/>
  <c r="N50" i="9"/>
  <c r="M50" i="9"/>
  <c r="L50" i="9"/>
  <c r="K50" i="9"/>
  <c r="J50" i="9"/>
  <c r="I50" i="9"/>
  <c r="H50" i="9"/>
  <c r="G50" i="9"/>
  <c r="F50" i="9"/>
  <c r="G49" i="9"/>
  <c r="H49" i="9"/>
  <c r="I49" i="9"/>
  <c r="J49" i="9"/>
  <c r="K49" i="9"/>
  <c r="L49" i="9"/>
  <c r="M49" i="9"/>
  <c r="N49" i="9"/>
  <c r="F49" i="9"/>
  <c r="J48" i="9"/>
  <c r="K48" i="9"/>
  <c r="L48" i="9"/>
  <c r="M48" i="9"/>
  <c r="N48" i="9"/>
  <c r="I48" i="9"/>
  <c r="H48" i="9"/>
  <c r="N47" i="9"/>
  <c r="M47" i="9"/>
  <c r="L47" i="9"/>
  <c r="K47" i="9"/>
  <c r="J47" i="9"/>
  <c r="I47" i="9"/>
  <c r="H47" i="9"/>
  <c r="G48" i="9"/>
  <c r="F48" i="9"/>
  <c r="F47" i="9"/>
  <c r="G47" i="9"/>
  <c r="P42" i="9"/>
  <c r="P41" i="9"/>
  <c r="P40" i="9"/>
  <c r="P39" i="9"/>
  <c r="P38" i="9"/>
  <c r="P37" i="9"/>
  <c r="P36" i="9"/>
  <c r="P35" i="9"/>
  <c r="P34" i="9"/>
  <c r="P33" i="9"/>
  <c r="N44" i="9"/>
  <c r="M44" i="9"/>
  <c r="L44" i="9"/>
  <c r="K44" i="9"/>
  <c r="J44" i="9"/>
  <c r="I44" i="9"/>
  <c r="H44" i="9"/>
  <c r="G44" i="9"/>
  <c r="F44" i="9"/>
  <c r="Q22" i="9"/>
  <c r="Q21" i="9"/>
  <c r="Q20" i="9"/>
  <c r="Q19" i="9"/>
  <c r="Q18" i="9"/>
  <c r="Q17" i="9"/>
  <c r="Q16" i="9"/>
  <c r="Q15" i="9"/>
  <c r="Q14" i="9"/>
  <c r="Q13" i="9"/>
  <c r="O24" i="9"/>
  <c r="N24" i="9"/>
  <c r="M24" i="9"/>
  <c r="L24" i="9"/>
  <c r="K24" i="9"/>
  <c r="J24" i="9"/>
  <c r="I24" i="9"/>
  <c r="H24" i="9"/>
  <c r="G24" i="9"/>
  <c r="F24" i="9"/>
  <c r="N42" i="9"/>
  <c r="O42" i="9" s="1"/>
  <c r="N41" i="9"/>
  <c r="O41" i="9" s="1"/>
  <c r="N40" i="9"/>
  <c r="O40" i="9" s="1"/>
  <c r="N39" i="9"/>
  <c r="O39" i="9" s="1"/>
  <c r="N38" i="9"/>
  <c r="O38" i="9" s="1"/>
  <c r="N37" i="9"/>
  <c r="O37" i="9" s="1"/>
  <c r="N36" i="9"/>
  <c r="O36" i="9" s="1"/>
  <c r="N35" i="9"/>
  <c r="O35" i="9" s="1"/>
  <c r="N34" i="9"/>
  <c r="O34" i="9" s="1"/>
  <c r="N33" i="9"/>
  <c r="O33" i="9" s="1"/>
  <c r="P23" i="9"/>
  <c r="O22" i="9"/>
  <c r="P22" i="9" s="1"/>
  <c r="M43" i="9"/>
  <c r="L43" i="9"/>
  <c r="K43" i="9"/>
  <c r="J43" i="9"/>
  <c r="I43" i="9"/>
  <c r="H43" i="9"/>
  <c r="G43" i="9"/>
  <c r="F43" i="9"/>
  <c r="P21" i="9"/>
  <c r="P20" i="9"/>
  <c r="P19" i="9"/>
  <c r="P18" i="9"/>
  <c r="P17" i="9"/>
  <c r="P16" i="9"/>
  <c r="P15" i="9"/>
  <c r="P14" i="9"/>
  <c r="P13" i="9"/>
  <c r="N23" i="9"/>
  <c r="M23" i="9"/>
  <c r="L23" i="9"/>
  <c r="K23" i="9"/>
  <c r="J23" i="9"/>
  <c r="I23" i="9"/>
  <c r="H23" i="9"/>
  <c r="G23" i="9"/>
  <c r="F23" i="9"/>
  <c r="M42" i="9"/>
  <c r="J42" i="9"/>
  <c r="K42" i="9"/>
  <c r="L42" i="9"/>
  <c r="I42" i="9"/>
  <c r="H42" i="9"/>
  <c r="G42" i="9"/>
  <c r="F42" i="9"/>
  <c r="M41" i="9"/>
  <c r="M40" i="9"/>
  <c r="M39" i="9"/>
  <c r="M38" i="9"/>
  <c r="M37" i="9"/>
  <c r="M36" i="9"/>
  <c r="M35" i="9"/>
  <c r="M34" i="9"/>
  <c r="M33" i="9"/>
  <c r="L41" i="9"/>
  <c r="L40" i="9"/>
  <c r="L39" i="9"/>
  <c r="L38" i="9"/>
  <c r="L37" i="9"/>
  <c r="L36" i="9"/>
  <c r="L35" i="9"/>
  <c r="L34" i="9"/>
  <c r="L33" i="9"/>
  <c r="K41" i="9"/>
  <c r="K40" i="9"/>
  <c r="K39" i="9"/>
  <c r="K38" i="9"/>
  <c r="K37" i="9"/>
  <c r="K36" i="9"/>
  <c r="K35" i="9"/>
  <c r="K34" i="9"/>
  <c r="K33" i="9"/>
  <c r="J41" i="9"/>
  <c r="J40" i="9"/>
  <c r="J39" i="9"/>
  <c r="J38" i="9"/>
  <c r="J37" i="9"/>
  <c r="J36" i="9"/>
  <c r="J35" i="9"/>
  <c r="J34" i="9"/>
  <c r="J33" i="9"/>
  <c r="I41" i="9"/>
  <c r="I40" i="9"/>
  <c r="I39" i="9"/>
  <c r="I38" i="9"/>
  <c r="I37" i="9"/>
  <c r="I36" i="9"/>
  <c r="I35" i="9"/>
  <c r="I34" i="9"/>
  <c r="I33" i="9"/>
  <c r="H41" i="9"/>
  <c r="H40" i="9"/>
  <c r="H39" i="9"/>
  <c r="H38" i="9"/>
  <c r="H37" i="9"/>
  <c r="H36" i="9"/>
  <c r="H35" i="9"/>
  <c r="H34" i="9"/>
  <c r="H33" i="9"/>
  <c r="G41" i="9"/>
  <c r="G40" i="9"/>
  <c r="G39" i="9"/>
  <c r="G38" i="9"/>
  <c r="G37" i="9"/>
  <c r="G36" i="9"/>
  <c r="G35" i="9"/>
  <c r="G34" i="9"/>
  <c r="G33" i="9"/>
  <c r="F41" i="9"/>
  <c r="F40" i="9"/>
  <c r="F39" i="9"/>
  <c r="F38" i="9"/>
  <c r="F37" i="9"/>
  <c r="F36" i="9"/>
  <c r="F35" i="9"/>
  <c r="F34" i="9"/>
  <c r="F33" i="9"/>
  <c r="O21" i="9"/>
  <c r="O20" i="9"/>
  <c r="O19" i="9"/>
  <c r="O18" i="9"/>
  <c r="O17" i="9"/>
  <c r="O16" i="9"/>
  <c r="O15" i="9"/>
  <c r="O13" i="9"/>
  <c r="O14" i="9"/>
  <c r="N13" i="9"/>
  <c r="N22" i="9"/>
  <c r="M22" i="9"/>
  <c r="L22" i="9"/>
  <c r="K22" i="9"/>
  <c r="J22" i="9"/>
  <c r="I22" i="9"/>
  <c r="H22" i="9"/>
  <c r="G22" i="9"/>
  <c r="N21" i="9"/>
  <c r="N20" i="9"/>
  <c r="N19" i="9"/>
  <c r="N18" i="9"/>
  <c r="N17" i="9"/>
  <c r="N16" i="9"/>
  <c r="N15" i="9"/>
  <c r="N14" i="9"/>
  <c r="M21" i="9"/>
  <c r="M20" i="9"/>
  <c r="M19" i="9"/>
  <c r="M18" i="9"/>
  <c r="M17" i="9"/>
  <c r="M16" i="9"/>
  <c r="M15" i="9"/>
  <c r="M14" i="9"/>
  <c r="M13" i="9"/>
  <c r="L21" i="9"/>
  <c r="L20" i="9"/>
  <c r="L19" i="9"/>
  <c r="L18" i="9"/>
  <c r="L17" i="9"/>
  <c r="L16" i="9"/>
  <c r="L15" i="9"/>
  <c r="L14" i="9"/>
  <c r="L13" i="9"/>
  <c r="K21" i="9"/>
  <c r="K20" i="9"/>
  <c r="K19" i="9"/>
  <c r="K18" i="9"/>
  <c r="K17" i="9"/>
  <c r="K16" i="9"/>
  <c r="K15" i="9"/>
  <c r="K14" i="9"/>
  <c r="K13" i="9"/>
  <c r="J21" i="9"/>
  <c r="J20" i="9"/>
  <c r="J19" i="9"/>
  <c r="J18" i="9"/>
  <c r="J17" i="9"/>
  <c r="J16" i="9"/>
  <c r="J15" i="9"/>
  <c r="J14" i="9"/>
  <c r="J13" i="9"/>
  <c r="I21" i="9"/>
  <c r="I20" i="9"/>
  <c r="I19" i="9"/>
  <c r="I18" i="9"/>
  <c r="I17" i="9"/>
  <c r="I16" i="9"/>
  <c r="I15" i="9"/>
  <c r="I14" i="9"/>
  <c r="I13" i="9"/>
  <c r="H21" i="9"/>
  <c r="H20" i="9"/>
  <c r="H19" i="9"/>
  <c r="H18" i="9"/>
  <c r="H17" i="9"/>
  <c r="H16" i="9"/>
  <c r="H15" i="9"/>
  <c r="H14" i="9"/>
  <c r="H13" i="9"/>
  <c r="G21" i="9"/>
  <c r="G20" i="9"/>
  <c r="G19" i="9"/>
  <c r="G18" i="9"/>
  <c r="G17" i="9"/>
  <c r="F22" i="9"/>
  <c r="G16" i="9"/>
  <c r="G15" i="9"/>
  <c r="G14" i="9"/>
  <c r="G13" i="9"/>
  <c r="F21" i="9"/>
  <c r="F20" i="9"/>
  <c r="F19" i="9"/>
  <c r="F18" i="9"/>
  <c r="F17" i="9"/>
  <c r="F16" i="9"/>
  <c r="F15" i="9"/>
  <c r="F13" i="9"/>
  <c r="F14" i="9"/>
  <c r="D42" i="9"/>
  <c r="D41" i="9"/>
  <c r="D40" i="9"/>
  <c r="D39" i="9"/>
  <c r="D38" i="9"/>
  <c r="D37" i="9"/>
  <c r="D36" i="9"/>
  <c r="D35" i="9"/>
  <c r="D34" i="9"/>
  <c r="D33" i="9"/>
  <c r="D22" i="9"/>
  <c r="D21" i="9"/>
  <c r="D20" i="9"/>
  <c r="D19" i="9"/>
  <c r="D18" i="9"/>
  <c r="D17" i="9"/>
  <c r="D16" i="9"/>
  <c r="D15" i="9"/>
  <c r="D14" i="9"/>
  <c r="D13" i="9"/>
  <c r="O13" i="7"/>
  <c r="O14" i="7"/>
  <c r="O12" i="7"/>
  <c r="L13" i="7"/>
  <c r="I13" i="7"/>
  <c r="H13" i="7"/>
  <c r="L10" i="7"/>
  <c r="L9" i="7"/>
  <c r="L8" i="7"/>
  <c r="L7" i="7"/>
  <c r="L6" i="7"/>
  <c r="L5" i="7"/>
  <c r="L4" i="7"/>
  <c r="L3" i="7"/>
  <c r="L2" i="7"/>
  <c r="K10" i="7"/>
  <c r="K9" i="7"/>
  <c r="K8" i="7"/>
  <c r="K7" i="7"/>
  <c r="K6" i="7"/>
  <c r="K5" i="7"/>
  <c r="K4" i="7"/>
  <c r="K3" i="7"/>
  <c r="K2" i="7"/>
  <c r="J10" i="7"/>
  <c r="J9" i="7"/>
  <c r="J8" i="7"/>
  <c r="J7" i="7"/>
  <c r="J6" i="7"/>
  <c r="J5" i="7"/>
  <c r="J4" i="7"/>
  <c r="J3" i="7"/>
  <c r="J2" i="7"/>
  <c r="I10" i="7"/>
  <c r="I9" i="7"/>
  <c r="I8" i="7"/>
  <c r="I7" i="7"/>
  <c r="I6" i="7"/>
  <c r="I5" i="7"/>
  <c r="I4" i="7"/>
  <c r="I3" i="7"/>
  <c r="I2" i="7"/>
  <c r="H10" i="7"/>
  <c r="H9" i="7"/>
  <c r="H8" i="7"/>
  <c r="H7" i="7"/>
  <c r="H6" i="7"/>
  <c r="H5" i="7"/>
  <c r="H4" i="7"/>
  <c r="H3" i="7"/>
  <c r="H2" i="7"/>
  <c r="G10" i="7"/>
  <c r="G9" i="7"/>
  <c r="G8" i="7"/>
  <c r="G7" i="7"/>
  <c r="G6" i="7"/>
  <c r="G5" i="7"/>
  <c r="G4" i="7"/>
  <c r="B28" i="12" l="1"/>
  <c r="B27" i="12" s="1"/>
  <c r="B26" i="12"/>
  <c r="N43" i="9"/>
  <c r="O43" i="9" s="1"/>
  <c r="O23" i="9"/>
  <c r="G3" i="7"/>
  <c r="F10" i="7" l="1"/>
  <c r="F9" i="7"/>
  <c r="F8" i="7"/>
  <c r="F7" i="7"/>
  <c r="F6" i="7"/>
  <c r="F5" i="7"/>
  <c r="F4" i="7"/>
  <c r="F3" i="7"/>
  <c r="F2" i="7"/>
  <c r="D10" i="7" l="1"/>
  <c r="D9" i="7"/>
  <c r="D8" i="7"/>
  <c r="D7" i="7"/>
  <c r="D6" i="7"/>
  <c r="D5" i="7"/>
  <c r="D4" i="7"/>
  <c r="D3" i="7"/>
  <c r="D2" i="7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4" i="4" a="1"/>
  <c r="F13" i="4"/>
  <c r="F15" i="4"/>
  <c r="F16" i="4"/>
  <c r="D42" i="6"/>
  <c r="C42" i="6"/>
  <c r="C41" i="6"/>
  <c r="H48" i="6"/>
  <c r="H47" i="6"/>
  <c r="H46" i="6"/>
  <c r="H45" i="6"/>
  <c r="H44" i="6"/>
  <c r="H43" i="6"/>
  <c r="H42" i="6"/>
  <c r="H41" i="6"/>
  <c r="H40" i="6"/>
  <c r="H39" i="6"/>
  <c r="C40" i="6"/>
  <c r="C39" i="6"/>
  <c r="D33" i="6"/>
  <c r="C33" i="6"/>
  <c r="C32" i="6"/>
  <c r="C31" i="6"/>
  <c r="C30" i="6"/>
  <c r="D25" i="6"/>
  <c r="C25" i="6"/>
  <c r="C24" i="6"/>
  <c r="C23" i="6"/>
  <c r="D18" i="6"/>
  <c r="C18" i="6"/>
  <c r="C17" i="6"/>
  <c r="C16" i="6"/>
  <c r="C15" i="6"/>
  <c r="C14" i="6"/>
  <c r="F5" i="5"/>
  <c r="I6" i="5" l="1"/>
  <c r="I5" i="5"/>
  <c r="I4" i="5"/>
  <c r="J3" i="5"/>
  <c r="I3" i="5"/>
  <c r="I2" i="5"/>
  <c r="E8" i="5"/>
  <c r="E7" i="5"/>
  <c r="E6" i="5"/>
  <c r="E5" i="5"/>
  <c r="E4" i="5"/>
  <c r="L28" i="4"/>
  <c r="L6" i="4"/>
  <c r="L27" i="4"/>
  <c r="L5" i="4"/>
  <c r="L26" i="4"/>
  <c r="L4" i="4"/>
  <c r="L25" i="4"/>
  <c r="L3" i="4"/>
  <c r="H38" i="4"/>
  <c r="H37" i="4"/>
  <c r="H16" i="4"/>
  <c r="H15" i="4"/>
  <c r="H35" i="4"/>
  <c r="H34" i="4"/>
  <c r="H33" i="4"/>
  <c r="H32" i="4"/>
  <c r="H31" i="4"/>
  <c r="H30" i="4"/>
  <c r="H29" i="4"/>
  <c r="H28" i="4"/>
  <c r="H27" i="4"/>
  <c r="H26" i="4"/>
  <c r="H13" i="4"/>
  <c r="H12" i="4"/>
  <c r="H11" i="4"/>
  <c r="H10" i="4"/>
  <c r="H9" i="4"/>
  <c r="H8" i="4"/>
  <c r="H7" i="4"/>
  <c r="H6" i="4"/>
  <c r="H5" i="4"/>
  <c r="H4" i="4"/>
  <c r="G38" i="4"/>
  <c r="G37" i="4"/>
  <c r="G16" i="4"/>
  <c r="G15" i="4"/>
  <c r="F38" i="4"/>
  <c r="F37" i="4"/>
  <c r="G35" i="4"/>
  <c r="G34" i="4"/>
  <c r="G33" i="4"/>
  <c r="G32" i="4"/>
  <c r="G31" i="4"/>
  <c r="G30" i="4"/>
  <c r="G29" i="4"/>
  <c r="G28" i="4"/>
  <c r="G27" i="4"/>
  <c r="G26" i="4"/>
  <c r="G13" i="4"/>
  <c r="G12" i="4"/>
  <c r="G11" i="4"/>
  <c r="G10" i="4"/>
  <c r="G9" i="4"/>
  <c r="G8" i="4"/>
  <c r="G7" i="4"/>
  <c r="G6" i="4"/>
  <c r="G5" i="4"/>
  <c r="G4" i="4"/>
  <c r="F26" i="4" a="1"/>
  <c r="F27" i="4" s="1"/>
  <c r="E35" i="4"/>
  <c r="E34" i="4"/>
  <c r="E33" i="4"/>
  <c r="E32" i="4"/>
  <c r="E31" i="4"/>
  <c r="E30" i="4"/>
  <c r="E29" i="4"/>
  <c r="E28" i="4"/>
  <c r="E27" i="4"/>
  <c r="E26" i="4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B7" i="2"/>
  <c r="B6" i="2"/>
  <c r="B4" i="2"/>
  <c r="B3" i="2"/>
  <c r="B2" i="2"/>
  <c r="B1" i="2"/>
  <c r="F26" i="4" l="1"/>
  <c r="F33" i="4"/>
  <c r="F32" i="4"/>
  <c r="F31" i="4"/>
  <c r="F30" i="4"/>
  <c r="F29" i="4"/>
  <c r="F28" i="4"/>
  <c r="F34" i="4"/>
  <c r="F35" i="4"/>
</calcChain>
</file>

<file path=xl/sharedStrings.xml><?xml version="1.0" encoding="utf-8"?>
<sst xmlns="http://schemas.openxmlformats.org/spreadsheetml/2006/main" count="264" uniqueCount="123">
  <si>
    <t>№</t>
  </si>
  <si>
    <t>Рост</t>
  </si>
  <si>
    <t>Вес</t>
  </si>
  <si>
    <t>Отсортированный рост</t>
  </si>
  <si>
    <t>Отсортированный вес</t>
  </si>
  <si>
    <t>Минимальный рост</t>
  </si>
  <si>
    <t>Минимальный вес</t>
  </si>
  <si>
    <t>Максимальный рост</t>
  </si>
  <si>
    <t>Максимальный вес</t>
  </si>
  <si>
    <t>Количество интервалов</t>
  </si>
  <si>
    <t>Длина интервалов для роста</t>
  </si>
  <si>
    <t>Длина интервалов для веса</t>
  </si>
  <si>
    <t>Интервальный вариационный ряд для роста</t>
  </si>
  <si>
    <t>Интервальный вариационный ряд для веса</t>
  </si>
  <si>
    <t>a_1</t>
  </si>
  <si>
    <t>a_(i + 1)</t>
  </si>
  <si>
    <t>Уникальные значения роста</t>
  </si>
  <si>
    <t>Частота уникальных значения роста</t>
  </si>
  <si>
    <t>Выборочная функция распределения</t>
  </si>
  <si>
    <t xml:space="preserve">Размер выборки </t>
  </si>
  <si>
    <t>Середина интервала</t>
  </si>
  <si>
    <t>Частота интервала</t>
  </si>
  <si>
    <t>Выборочное среднее</t>
  </si>
  <si>
    <t>Выборочное среднее второй порядок</t>
  </si>
  <si>
    <t>Сумма</t>
  </si>
  <si>
    <t>Сумма/количество</t>
  </si>
  <si>
    <t>Выборочная дисперсия</t>
  </si>
  <si>
    <t>Исправленные выборочные средние квадратические</t>
  </si>
  <si>
    <t>Мода</t>
  </si>
  <si>
    <t>Точечные оценки для роста</t>
  </si>
  <si>
    <t>Точечные оценки для веса</t>
  </si>
  <si>
    <t>Медиана</t>
  </si>
  <si>
    <t xml:space="preserve">Надеждность </t>
  </si>
  <si>
    <t>а)</t>
  </si>
  <si>
    <t>б)</t>
  </si>
  <si>
    <t>в)</t>
  </si>
  <si>
    <t>г)</t>
  </si>
  <si>
    <t>𝜎^2</t>
  </si>
  <si>
    <t>𝜎</t>
  </si>
  <si>
    <t>2Ф(t_y)</t>
  </si>
  <si>
    <t>Ф(t_y)</t>
  </si>
  <si>
    <t>t_y</t>
  </si>
  <si>
    <t>t_y * 𝜎/sqrt(n)</t>
  </si>
  <si>
    <t>Ответ</t>
  </si>
  <si>
    <t>Размер выборки</t>
  </si>
  <si>
    <t>t_y * S / sqrt(n)</t>
  </si>
  <si>
    <t>χ_1^2</t>
  </si>
  <si>
    <t>χ_2^2</t>
  </si>
  <si>
    <t>(n-1)*S2</t>
  </si>
  <si>
    <t>a</t>
  </si>
  <si>
    <t>(С_i-a)^2*M_i</t>
  </si>
  <si>
    <t>(a_i-X')/S</t>
  </si>
  <si>
    <t>F((a_i-X')/S)</t>
  </si>
  <si>
    <t>P_i</t>
  </si>
  <si>
    <t>n * P_i</t>
  </si>
  <si>
    <t>M_i-(n*P_i)</t>
  </si>
  <si>
    <t>(M_i-(n*P_i))^2</t>
  </si>
  <si>
    <t>Х'</t>
  </si>
  <si>
    <t>S</t>
  </si>
  <si>
    <t>частота больше 5</t>
  </si>
  <si>
    <t>(M_i-(n*P_i))^2/(n*P_i)</t>
  </si>
  <si>
    <t>alpha</t>
  </si>
  <si>
    <t>x</t>
  </si>
  <si>
    <t>y</t>
  </si>
  <si>
    <t>T_теор</t>
  </si>
  <si>
    <t>𝜒^2</t>
  </si>
  <si>
    <t>Видим что 𝜒^2 &lt; T_теор тогда наша гипотиза потверждается!</t>
  </si>
  <si>
    <t>Сожмем интервалы где частота &lt; 5</t>
  </si>
  <si>
    <t>N вес</t>
  </si>
  <si>
    <t>Условное среднее</t>
  </si>
  <si>
    <t>N рост</t>
  </si>
  <si>
    <t>общая сумма</t>
  </si>
  <si>
    <t>что меньше общей суммы, значит гипотеза отвергается</t>
  </si>
  <si>
    <t>Рост'</t>
  </si>
  <si>
    <t>Вес'</t>
  </si>
  <si>
    <t>𝛔_Рост</t>
  </si>
  <si>
    <t>𝛔_Вес</t>
  </si>
  <si>
    <t>𝛈</t>
  </si>
  <si>
    <t>условное среднее</t>
  </si>
  <si>
    <t>размер выборки</t>
  </si>
  <si>
    <t>b</t>
  </si>
  <si>
    <t>общий рост и вес</t>
  </si>
  <si>
    <t>a)</t>
  </si>
  <si>
    <t>параметр b</t>
  </si>
  <si>
    <t>стандартная ошибка а</t>
  </si>
  <si>
    <t>коэфициент детерминации</t>
  </si>
  <si>
    <t>значение F статистики</t>
  </si>
  <si>
    <t>дисперсия значений</t>
  </si>
  <si>
    <t>Из задачи 9 можно легко сделать вот такой вывод при окончаии наших вычислений</t>
  </si>
  <si>
    <t>Вывод</t>
  </si>
  <si>
    <t>Из наших вычислений можно легко сделать вывод, что при увеленчении росто увиличивается и вес</t>
  </si>
  <si>
    <t>параметр а</t>
  </si>
  <si>
    <t>стандартная ошибка b</t>
  </si>
  <si>
    <t>стандартная ошибка регрессии</t>
  </si>
  <si>
    <t>лисперсия остатков</t>
  </si>
  <si>
    <t>Прогноз веса</t>
  </si>
  <si>
    <t>S2</t>
  </si>
  <si>
    <t>Стандартная ошибка прогноза</t>
  </si>
  <si>
    <t>Довирительный интервал</t>
  </si>
  <si>
    <t>t</t>
  </si>
  <si>
    <t>&lt;</t>
  </si>
  <si>
    <t xml:space="preserve">cur </t>
  </si>
  <si>
    <t>х</t>
  </si>
  <si>
    <t>t_T</t>
  </si>
  <si>
    <t>&gt;</t>
  </si>
  <si>
    <t>Тогда подверждается гипотиза о статической значимости уравнения линейной ригрессии при уровне 0,04</t>
  </si>
  <si>
    <t>заметная (шкале)</t>
  </si>
  <si>
    <t>Уравнение вида y = a + bx</t>
  </si>
  <si>
    <t>Для постройки графика найдем точки x y</t>
  </si>
  <si>
    <t xml:space="preserve">a </t>
  </si>
  <si>
    <t>Уравнение y = a + bx</t>
  </si>
  <si>
    <t>y = -33,5782 + 0,581204 * x</t>
  </si>
  <si>
    <t>выборочное среднее вес (y)</t>
  </si>
  <si>
    <t>выборочное среднее рост (x)</t>
  </si>
  <si>
    <t>Условное среднее в квадрате</t>
  </si>
  <si>
    <t>Дисперсия</t>
  </si>
  <si>
    <t>дисперсия</t>
  </si>
  <si>
    <t>Внутригрупповая дисперсия</t>
  </si>
  <si>
    <t>Межгрупповая дисперсия</t>
  </si>
  <si>
    <t>Общая выборочная дисперсия</t>
  </si>
  <si>
    <t>Р_В</t>
  </si>
  <si>
    <t>0,63&gt;0,57</t>
  </si>
  <si>
    <t>Так как выборочное корреляционное соотношение и выборочный коэффициент корреляции почти одинаковые, можем сделать вывод что выбранная модель линейной регрессии правильная.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</si>
</sst>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Обычный" xfId="0" builtinId="0"/>
    <cellStyle name="Обычный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>
        <c:manualLayout>
          <c:xMode val="edge"/>
          <c:yMode val="edge"/>
          <c:x val="0.623347112860892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2728018372703409"/>
          <c:w val="0.9000671478565179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'3'!$B$2:$B$31</c:f>
              <c:numCache>
                <c:formatCode>General</c:formatCode>
                <c:ptCount val="30"/>
                <c:pt idx="0">
                  <c:v>156</c:v>
                </c:pt>
                <c:pt idx="1">
                  <c:v>157</c:v>
                </c:pt>
                <c:pt idx="2">
                  <c:v>158</c:v>
                </c:pt>
                <c:pt idx="3">
                  <c:v>159</c:v>
                </c:pt>
                <c:pt idx="4">
                  <c:v>160</c:v>
                </c:pt>
                <c:pt idx="5">
                  <c:v>161</c:v>
                </c:pt>
                <c:pt idx="6">
                  <c:v>162</c:v>
                </c:pt>
                <c:pt idx="7">
                  <c:v>163</c:v>
                </c:pt>
                <c:pt idx="8">
                  <c:v>164</c:v>
                </c:pt>
                <c:pt idx="9">
                  <c:v>165</c:v>
                </c:pt>
                <c:pt idx="10">
                  <c:v>166</c:v>
                </c:pt>
                <c:pt idx="11">
                  <c:v>167</c:v>
                </c:pt>
                <c:pt idx="12">
                  <c:v>168</c:v>
                </c:pt>
                <c:pt idx="13">
                  <c:v>169</c:v>
                </c:pt>
                <c:pt idx="14">
                  <c:v>170</c:v>
                </c:pt>
                <c:pt idx="15">
                  <c:v>171</c:v>
                </c:pt>
                <c:pt idx="16">
                  <c:v>172</c:v>
                </c:pt>
                <c:pt idx="17">
                  <c:v>173</c:v>
                </c:pt>
                <c:pt idx="18">
                  <c:v>174</c:v>
                </c:pt>
                <c:pt idx="19">
                  <c:v>175</c:v>
                </c:pt>
                <c:pt idx="20">
                  <c:v>176</c:v>
                </c:pt>
                <c:pt idx="21">
                  <c:v>177</c:v>
                </c:pt>
                <c:pt idx="22">
                  <c:v>178</c:v>
                </c:pt>
                <c:pt idx="23">
                  <c:v>179</c:v>
                </c:pt>
                <c:pt idx="24">
                  <c:v>180</c:v>
                </c:pt>
                <c:pt idx="25">
                  <c:v>181</c:v>
                </c:pt>
                <c:pt idx="26">
                  <c:v>182</c:v>
                </c:pt>
                <c:pt idx="27">
                  <c:v>184</c:v>
                </c:pt>
                <c:pt idx="28">
                  <c:v>187</c:v>
                </c:pt>
                <c:pt idx="29">
                  <c:v>188</c:v>
                </c:pt>
              </c:numCache>
            </c:numRef>
          </c:cat>
          <c:val>
            <c:numRef>
              <c:f>'3'!$C$2:$C$31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12</c:v>
                </c:pt>
                <c:pt idx="9">
                  <c:v>14</c:v>
                </c:pt>
                <c:pt idx="10">
                  <c:v>10</c:v>
                </c:pt>
                <c:pt idx="11">
                  <c:v>14</c:v>
                </c:pt>
                <c:pt idx="12">
                  <c:v>13</c:v>
                </c:pt>
                <c:pt idx="13">
                  <c:v>11</c:v>
                </c:pt>
                <c:pt idx="14">
                  <c:v>15</c:v>
                </c:pt>
                <c:pt idx="15">
                  <c:v>10</c:v>
                </c:pt>
                <c:pt idx="16">
                  <c:v>7</c:v>
                </c:pt>
                <c:pt idx="17">
                  <c:v>14</c:v>
                </c:pt>
                <c:pt idx="18">
                  <c:v>9</c:v>
                </c:pt>
                <c:pt idx="19">
                  <c:v>7</c:v>
                </c:pt>
                <c:pt idx="20">
                  <c:v>8</c:v>
                </c:pt>
                <c:pt idx="21">
                  <c:v>6</c:v>
                </c:pt>
                <c:pt idx="22">
                  <c:v>9</c:v>
                </c:pt>
                <c:pt idx="23">
                  <c:v>4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C-4989-BF44-C2B2B2BDE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194160"/>
        <c:axId val="328190552"/>
      </c:barChart>
      <c:catAx>
        <c:axId val="32819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8190552"/>
        <c:crosses val="autoZero"/>
        <c:auto val="1"/>
        <c:lblAlgn val="ctr"/>
        <c:lblOffset val="100"/>
        <c:noMultiLvlLbl val="0"/>
      </c:catAx>
      <c:valAx>
        <c:axId val="32819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819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>
        <c:manualLayout>
          <c:xMode val="edge"/>
          <c:yMode val="edge"/>
          <c:x val="0.320569335083114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5073053368328961E-2"/>
          <c:y val="0.17171296296296298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'3'!$B$2:$B$31</c:f>
              <c:numCache>
                <c:formatCode>General</c:formatCode>
                <c:ptCount val="30"/>
                <c:pt idx="0">
                  <c:v>156</c:v>
                </c:pt>
                <c:pt idx="1">
                  <c:v>157</c:v>
                </c:pt>
                <c:pt idx="2">
                  <c:v>158</c:v>
                </c:pt>
                <c:pt idx="3">
                  <c:v>159</c:v>
                </c:pt>
                <c:pt idx="4">
                  <c:v>160</c:v>
                </c:pt>
                <c:pt idx="5">
                  <c:v>161</c:v>
                </c:pt>
                <c:pt idx="6">
                  <c:v>162</c:v>
                </c:pt>
                <c:pt idx="7">
                  <c:v>163</c:v>
                </c:pt>
                <c:pt idx="8">
                  <c:v>164</c:v>
                </c:pt>
                <c:pt idx="9">
                  <c:v>165</c:v>
                </c:pt>
                <c:pt idx="10">
                  <c:v>166</c:v>
                </c:pt>
                <c:pt idx="11">
                  <c:v>167</c:v>
                </c:pt>
                <c:pt idx="12">
                  <c:v>168</c:v>
                </c:pt>
                <c:pt idx="13">
                  <c:v>169</c:v>
                </c:pt>
                <c:pt idx="14">
                  <c:v>170</c:v>
                </c:pt>
                <c:pt idx="15">
                  <c:v>171</c:v>
                </c:pt>
                <c:pt idx="16">
                  <c:v>172</c:v>
                </c:pt>
                <c:pt idx="17">
                  <c:v>173</c:v>
                </c:pt>
                <c:pt idx="18">
                  <c:v>174</c:v>
                </c:pt>
                <c:pt idx="19">
                  <c:v>175</c:v>
                </c:pt>
                <c:pt idx="20">
                  <c:v>176</c:v>
                </c:pt>
                <c:pt idx="21">
                  <c:v>177</c:v>
                </c:pt>
                <c:pt idx="22">
                  <c:v>178</c:v>
                </c:pt>
                <c:pt idx="23">
                  <c:v>179</c:v>
                </c:pt>
                <c:pt idx="24">
                  <c:v>180</c:v>
                </c:pt>
                <c:pt idx="25">
                  <c:v>181</c:v>
                </c:pt>
                <c:pt idx="26">
                  <c:v>182</c:v>
                </c:pt>
                <c:pt idx="27">
                  <c:v>184</c:v>
                </c:pt>
                <c:pt idx="28">
                  <c:v>187</c:v>
                </c:pt>
                <c:pt idx="29">
                  <c:v>188</c:v>
                </c:pt>
              </c:numCache>
            </c:numRef>
          </c:cat>
          <c:val>
            <c:numRef>
              <c:f>'3'!$C$2:$C$31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12</c:v>
                </c:pt>
                <c:pt idx="9">
                  <c:v>14</c:v>
                </c:pt>
                <c:pt idx="10">
                  <c:v>10</c:v>
                </c:pt>
                <c:pt idx="11">
                  <c:v>14</c:v>
                </c:pt>
                <c:pt idx="12">
                  <c:v>13</c:v>
                </c:pt>
                <c:pt idx="13">
                  <c:v>11</c:v>
                </c:pt>
                <c:pt idx="14">
                  <c:v>15</c:v>
                </c:pt>
                <c:pt idx="15">
                  <c:v>10</c:v>
                </c:pt>
                <c:pt idx="16">
                  <c:v>7</c:v>
                </c:pt>
                <c:pt idx="17">
                  <c:v>14</c:v>
                </c:pt>
                <c:pt idx="18">
                  <c:v>9</c:v>
                </c:pt>
                <c:pt idx="19">
                  <c:v>7</c:v>
                </c:pt>
                <c:pt idx="20">
                  <c:v>8</c:v>
                </c:pt>
                <c:pt idx="21">
                  <c:v>6</c:v>
                </c:pt>
                <c:pt idx="22">
                  <c:v>9</c:v>
                </c:pt>
                <c:pt idx="23">
                  <c:v>4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F-429B-82AC-E880E14E7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581384"/>
        <c:axId val="395587616"/>
      </c:lineChart>
      <c:catAx>
        <c:axId val="39558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587616"/>
        <c:crosses val="autoZero"/>
        <c:auto val="1"/>
        <c:lblAlgn val="ctr"/>
        <c:lblOffset val="100"/>
        <c:noMultiLvlLbl val="0"/>
      </c:catAx>
      <c:valAx>
        <c:axId val="3955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58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</a:t>
            </a:r>
            <a:r>
              <a:rPr lang="ru-RU" baseline="0"/>
              <a:t> функция распределения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983158355205594E-2"/>
          <c:y val="0.15319444444444447"/>
          <c:w val="0.8966272965879265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'3'!$B$2:$B$31</c:f>
              <c:numCache>
                <c:formatCode>General</c:formatCode>
                <c:ptCount val="30"/>
                <c:pt idx="0">
                  <c:v>156</c:v>
                </c:pt>
                <c:pt idx="1">
                  <c:v>157</c:v>
                </c:pt>
                <c:pt idx="2">
                  <c:v>158</c:v>
                </c:pt>
                <c:pt idx="3">
                  <c:v>159</c:v>
                </c:pt>
                <c:pt idx="4">
                  <c:v>160</c:v>
                </c:pt>
                <c:pt idx="5">
                  <c:v>161</c:v>
                </c:pt>
                <c:pt idx="6">
                  <c:v>162</c:v>
                </c:pt>
                <c:pt idx="7">
                  <c:v>163</c:v>
                </c:pt>
                <c:pt idx="8">
                  <c:v>164</c:v>
                </c:pt>
                <c:pt idx="9">
                  <c:v>165</c:v>
                </c:pt>
                <c:pt idx="10">
                  <c:v>166</c:v>
                </c:pt>
                <c:pt idx="11">
                  <c:v>167</c:v>
                </c:pt>
                <c:pt idx="12">
                  <c:v>168</c:v>
                </c:pt>
                <c:pt idx="13">
                  <c:v>169</c:v>
                </c:pt>
                <c:pt idx="14">
                  <c:v>170</c:v>
                </c:pt>
                <c:pt idx="15">
                  <c:v>171</c:v>
                </c:pt>
                <c:pt idx="16">
                  <c:v>172</c:v>
                </c:pt>
                <c:pt idx="17">
                  <c:v>173</c:v>
                </c:pt>
                <c:pt idx="18">
                  <c:v>174</c:v>
                </c:pt>
                <c:pt idx="19">
                  <c:v>175</c:v>
                </c:pt>
                <c:pt idx="20">
                  <c:v>176</c:v>
                </c:pt>
                <c:pt idx="21">
                  <c:v>177</c:v>
                </c:pt>
                <c:pt idx="22">
                  <c:v>178</c:v>
                </c:pt>
                <c:pt idx="23">
                  <c:v>179</c:v>
                </c:pt>
                <c:pt idx="24">
                  <c:v>180</c:v>
                </c:pt>
                <c:pt idx="25">
                  <c:v>181</c:v>
                </c:pt>
                <c:pt idx="26">
                  <c:v>182</c:v>
                </c:pt>
                <c:pt idx="27">
                  <c:v>184</c:v>
                </c:pt>
                <c:pt idx="28">
                  <c:v>187</c:v>
                </c:pt>
                <c:pt idx="29">
                  <c:v>188</c:v>
                </c:pt>
              </c:numCache>
            </c:numRef>
          </c:cat>
          <c:val>
            <c:numRef>
              <c:f>'3'!$D$2:$D$31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9.5000000000000001E-2</c:v>
                </c:pt>
                <c:pt idx="6">
                  <c:v>0.115</c:v>
                </c:pt>
                <c:pt idx="7">
                  <c:v>0.14000000000000001</c:v>
                </c:pt>
                <c:pt idx="8">
                  <c:v>0.2</c:v>
                </c:pt>
                <c:pt idx="9">
                  <c:v>0.27</c:v>
                </c:pt>
                <c:pt idx="10">
                  <c:v>0.32</c:v>
                </c:pt>
                <c:pt idx="11">
                  <c:v>0.39</c:v>
                </c:pt>
                <c:pt idx="12">
                  <c:v>0.45500000000000002</c:v>
                </c:pt>
                <c:pt idx="13">
                  <c:v>0.51</c:v>
                </c:pt>
                <c:pt idx="14">
                  <c:v>0.58499999999999996</c:v>
                </c:pt>
                <c:pt idx="15">
                  <c:v>0.63500000000000001</c:v>
                </c:pt>
                <c:pt idx="16">
                  <c:v>0.67</c:v>
                </c:pt>
                <c:pt idx="17">
                  <c:v>0.74</c:v>
                </c:pt>
                <c:pt idx="18">
                  <c:v>0.78500000000000003</c:v>
                </c:pt>
                <c:pt idx="19">
                  <c:v>0.82000000000000006</c:v>
                </c:pt>
                <c:pt idx="20">
                  <c:v>0.8600000000000001</c:v>
                </c:pt>
                <c:pt idx="21">
                  <c:v>0.89000000000000012</c:v>
                </c:pt>
                <c:pt idx="22">
                  <c:v>0.93500000000000016</c:v>
                </c:pt>
                <c:pt idx="23">
                  <c:v>0.95500000000000018</c:v>
                </c:pt>
                <c:pt idx="24">
                  <c:v>0.96000000000000019</c:v>
                </c:pt>
                <c:pt idx="25">
                  <c:v>0.96500000000000019</c:v>
                </c:pt>
                <c:pt idx="26">
                  <c:v>0.9800000000000002</c:v>
                </c:pt>
                <c:pt idx="27">
                  <c:v>0.99000000000000021</c:v>
                </c:pt>
                <c:pt idx="28">
                  <c:v>0.99500000000000022</c:v>
                </c:pt>
                <c:pt idx="29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2-408B-B057-E9826634B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779464"/>
        <c:axId val="548781432"/>
      </c:lineChart>
      <c:catAx>
        <c:axId val="54877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781432"/>
        <c:crosses val="autoZero"/>
        <c:auto val="1"/>
        <c:lblAlgn val="ctr"/>
        <c:lblOffset val="100"/>
        <c:noMultiLvlLbl val="0"/>
      </c:catAx>
      <c:valAx>
        <c:axId val="54878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779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2791557305336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0108992400046381E-2"/>
          <c:y val="8.5554250706436755E-2"/>
          <c:w val="0.930038263289378"/>
          <c:h val="0.836217691614953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'8'!$B$2:$B$201</c:f>
              <c:numCache>
                <c:formatCode>General</c:formatCode>
                <c:ptCount val="200"/>
                <c:pt idx="0">
                  <c:v>168</c:v>
                </c:pt>
                <c:pt idx="1">
                  <c:v>177</c:v>
                </c:pt>
                <c:pt idx="2">
                  <c:v>175</c:v>
                </c:pt>
                <c:pt idx="3">
                  <c:v>160</c:v>
                </c:pt>
                <c:pt idx="4">
                  <c:v>172</c:v>
                </c:pt>
                <c:pt idx="5">
                  <c:v>171</c:v>
                </c:pt>
                <c:pt idx="6">
                  <c:v>159</c:v>
                </c:pt>
                <c:pt idx="7">
                  <c:v>165</c:v>
                </c:pt>
                <c:pt idx="8">
                  <c:v>173</c:v>
                </c:pt>
                <c:pt idx="9">
                  <c:v>174</c:v>
                </c:pt>
                <c:pt idx="10">
                  <c:v>161</c:v>
                </c:pt>
                <c:pt idx="11">
                  <c:v>165</c:v>
                </c:pt>
                <c:pt idx="12">
                  <c:v>175</c:v>
                </c:pt>
                <c:pt idx="13">
                  <c:v>176</c:v>
                </c:pt>
                <c:pt idx="14">
                  <c:v>170</c:v>
                </c:pt>
                <c:pt idx="15">
                  <c:v>184</c:v>
                </c:pt>
                <c:pt idx="16">
                  <c:v>171</c:v>
                </c:pt>
                <c:pt idx="17">
                  <c:v>172</c:v>
                </c:pt>
                <c:pt idx="18">
                  <c:v>176</c:v>
                </c:pt>
                <c:pt idx="19">
                  <c:v>159</c:v>
                </c:pt>
                <c:pt idx="20">
                  <c:v>178</c:v>
                </c:pt>
                <c:pt idx="21">
                  <c:v>164</c:v>
                </c:pt>
                <c:pt idx="22">
                  <c:v>173</c:v>
                </c:pt>
                <c:pt idx="23">
                  <c:v>175</c:v>
                </c:pt>
                <c:pt idx="24">
                  <c:v>159</c:v>
                </c:pt>
                <c:pt idx="25">
                  <c:v>169</c:v>
                </c:pt>
                <c:pt idx="26">
                  <c:v>173</c:v>
                </c:pt>
                <c:pt idx="27">
                  <c:v>173</c:v>
                </c:pt>
                <c:pt idx="28">
                  <c:v>161</c:v>
                </c:pt>
                <c:pt idx="29">
                  <c:v>168</c:v>
                </c:pt>
                <c:pt idx="30">
                  <c:v>168</c:v>
                </c:pt>
                <c:pt idx="31">
                  <c:v>164</c:v>
                </c:pt>
                <c:pt idx="32">
                  <c:v>168</c:v>
                </c:pt>
                <c:pt idx="33">
                  <c:v>181</c:v>
                </c:pt>
                <c:pt idx="34">
                  <c:v>170</c:v>
                </c:pt>
                <c:pt idx="35">
                  <c:v>184</c:v>
                </c:pt>
                <c:pt idx="36">
                  <c:v>169</c:v>
                </c:pt>
                <c:pt idx="37">
                  <c:v>170</c:v>
                </c:pt>
                <c:pt idx="38">
                  <c:v>176</c:v>
                </c:pt>
                <c:pt idx="39">
                  <c:v>169</c:v>
                </c:pt>
                <c:pt idx="40">
                  <c:v>170</c:v>
                </c:pt>
                <c:pt idx="41">
                  <c:v>171</c:v>
                </c:pt>
                <c:pt idx="42">
                  <c:v>168</c:v>
                </c:pt>
                <c:pt idx="43">
                  <c:v>161</c:v>
                </c:pt>
                <c:pt idx="44">
                  <c:v>165</c:v>
                </c:pt>
                <c:pt idx="45">
                  <c:v>168</c:v>
                </c:pt>
                <c:pt idx="46">
                  <c:v>175</c:v>
                </c:pt>
                <c:pt idx="47">
                  <c:v>174</c:v>
                </c:pt>
                <c:pt idx="48">
                  <c:v>188</c:v>
                </c:pt>
                <c:pt idx="49">
                  <c:v>166</c:v>
                </c:pt>
                <c:pt idx="50">
                  <c:v>178</c:v>
                </c:pt>
                <c:pt idx="51">
                  <c:v>163</c:v>
                </c:pt>
                <c:pt idx="52">
                  <c:v>170</c:v>
                </c:pt>
                <c:pt idx="53">
                  <c:v>164</c:v>
                </c:pt>
                <c:pt idx="54">
                  <c:v>164</c:v>
                </c:pt>
                <c:pt idx="55">
                  <c:v>168</c:v>
                </c:pt>
                <c:pt idx="56">
                  <c:v>167</c:v>
                </c:pt>
                <c:pt idx="57">
                  <c:v>166</c:v>
                </c:pt>
                <c:pt idx="58">
                  <c:v>162</c:v>
                </c:pt>
                <c:pt idx="59">
                  <c:v>171</c:v>
                </c:pt>
                <c:pt idx="60">
                  <c:v>168</c:v>
                </c:pt>
                <c:pt idx="61">
                  <c:v>173</c:v>
                </c:pt>
                <c:pt idx="62">
                  <c:v>167</c:v>
                </c:pt>
                <c:pt idx="63">
                  <c:v>170</c:v>
                </c:pt>
                <c:pt idx="64">
                  <c:v>171</c:v>
                </c:pt>
                <c:pt idx="65">
                  <c:v>173</c:v>
                </c:pt>
                <c:pt idx="66">
                  <c:v>187</c:v>
                </c:pt>
                <c:pt idx="67">
                  <c:v>166</c:v>
                </c:pt>
                <c:pt idx="68">
                  <c:v>170</c:v>
                </c:pt>
                <c:pt idx="69">
                  <c:v>178</c:v>
                </c:pt>
                <c:pt idx="70">
                  <c:v>173</c:v>
                </c:pt>
                <c:pt idx="71">
                  <c:v>179</c:v>
                </c:pt>
                <c:pt idx="72">
                  <c:v>171</c:v>
                </c:pt>
                <c:pt idx="73">
                  <c:v>174</c:v>
                </c:pt>
                <c:pt idx="74">
                  <c:v>164</c:v>
                </c:pt>
                <c:pt idx="75">
                  <c:v>173</c:v>
                </c:pt>
                <c:pt idx="76">
                  <c:v>168</c:v>
                </c:pt>
                <c:pt idx="77">
                  <c:v>166</c:v>
                </c:pt>
                <c:pt idx="78">
                  <c:v>177</c:v>
                </c:pt>
                <c:pt idx="79">
                  <c:v>170</c:v>
                </c:pt>
                <c:pt idx="80">
                  <c:v>167</c:v>
                </c:pt>
                <c:pt idx="81">
                  <c:v>174</c:v>
                </c:pt>
                <c:pt idx="82">
                  <c:v>164</c:v>
                </c:pt>
                <c:pt idx="83">
                  <c:v>164</c:v>
                </c:pt>
                <c:pt idx="84">
                  <c:v>178</c:v>
                </c:pt>
                <c:pt idx="85">
                  <c:v>173</c:v>
                </c:pt>
                <c:pt idx="86">
                  <c:v>179</c:v>
                </c:pt>
                <c:pt idx="87">
                  <c:v>165</c:v>
                </c:pt>
                <c:pt idx="88">
                  <c:v>171</c:v>
                </c:pt>
                <c:pt idx="89">
                  <c:v>171</c:v>
                </c:pt>
                <c:pt idx="90">
                  <c:v>170</c:v>
                </c:pt>
                <c:pt idx="91">
                  <c:v>170</c:v>
                </c:pt>
                <c:pt idx="92">
                  <c:v>165</c:v>
                </c:pt>
                <c:pt idx="93">
                  <c:v>156</c:v>
                </c:pt>
                <c:pt idx="94">
                  <c:v>164</c:v>
                </c:pt>
                <c:pt idx="95">
                  <c:v>158</c:v>
                </c:pt>
                <c:pt idx="96">
                  <c:v>165</c:v>
                </c:pt>
                <c:pt idx="97">
                  <c:v>172</c:v>
                </c:pt>
                <c:pt idx="98">
                  <c:v>178</c:v>
                </c:pt>
                <c:pt idx="99">
                  <c:v>159</c:v>
                </c:pt>
                <c:pt idx="100">
                  <c:v>167</c:v>
                </c:pt>
                <c:pt idx="101">
                  <c:v>174</c:v>
                </c:pt>
                <c:pt idx="102">
                  <c:v>175</c:v>
                </c:pt>
                <c:pt idx="103">
                  <c:v>167</c:v>
                </c:pt>
                <c:pt idx="104">
                  <c:v>180</c:v>
                </c:pt>
                <c:pt idx="105">
                  <c:v>166</c:v>
                </c:pt>
                <c:pt idx="106">
                  <c:v>176</c:v>
                </c:pt>
                <c:pt idx="107">
                  <c:v>174</c:v>
                </c:pt>
                <c:pt idx="108">
                  <c:v>169</c:v>
                </c:pt>
                <c:pt idx="109">
                  <c:v>177</c:v>
                </c:pt>
                <c:pt idx="110">
                  <c:v>167</c:v>
                </c:pt>
                <c:pt idx="111">
                  <c:v>170</c:v>
                </c:pt>
                <c:pt idx="112">
                  <c:v>158</c:v>
                </c:pt>
                <c:pt idx="113">
                  <c:v>171</c:v>
                </c:pt>
                <c:pt idx="114">
                  <c:v>176</c:v>
                </c:pt>
                <c:pt idx="115">
                  <c:v>172</c:v>
                </c:pt>
                <c:pt idx="116">
                  <c:v>165</c:v>
                </c:pt>
                <c:pt idx="117">
                  <c:v>178</c:v>
                </c:pt>
                <c:pt idx="118">
                  <c:v>157</c:v>
                </c:pt>
                <c:pt idx="119">
                  <c:v>169</c:v>
                </c:pt>
                <c:pt idx="120">
                  <c:v>169</c:v>
                </c:pt>
                <c:pt idx="121">
                  <c:v>167</c:v>
                </c:pt>
                <c:pt idx="122">
                  <c:v>177</c:v>
                </c:pt>
                <c:pt idx="123">
                  <c:v>159</c:v>
                </c:pt>
                <c:pt idx="124">
                  <c:v>172</c:v>
                </c:pt>
                <c:pt idx="125">
                  <c:v>167</c:v>
                </c:pt>
                <c:pt idx="126">
                  <c:v>164</c:v>
                </c:pt>
                <c:pt idx="127">
                  <c:v>174</c:v>
                </c:pt>
                <c:pt idx="128">
                  <c:v>176</c:v>
                </c:pt>
                <c:pt idx="129">
                  <c:v>159</c:v>
                </c:pt>
                <c:pt idx="130">
                  <c:v>169</c:v>
                </c:pt>
                <c:pt idx="131">
                  <c:v>167</c:v>
                </c:pt>
                <c:pt idx="132">
                  <c:v>157</c:v>
                </c:pt>
                <c:pt idx="133">
                  <c:v>175</c:v>
                </c:pt>
                <c:pt idx="134">
                  <c:v>165</c:v>
                </c:pt>
                <c:pt idx="135">
                  <c:v>168</c:v>
                </c:pt>
                <c:pt idx="136">
                  <c:v>172</c:v>
                </c:pt>
                <c:pt idx="137">
                  <c:v>173</c:v>
                </c:pt>
                <c:pt idx="138">
                  <c:v>167</c:v>
                </c:pt>
                <c:pt idx="139">
                  <c:v>163</c:v>
                </c:pt>
                <c:pt idx="140">
                  <c:v>166</c:v>
                </c:pt>
                <c:pt idx="141">
                  <c:v>168</c:v>
                </c:pt>
                <c:pt idx="142">
                  <c:v>169</c:v>
                </c:pt>
                <c:pt idx="143">
                  <c:v>177</c:v>
                </c:pt>
                <c:pt idx="144">
                  <c:v>170</c:v>
                </c:pt>
                <c:pt idx="145">
                  <c:v>170</c:v>
                </c:pt>
                <c:pt idx="146">
                  <c:v>176</c:v>
                </c:pt>
                <c:pt idx="147">
                  <c:v>165</c:v>
                </c:pt>
                <c:pt idx="148">
                  <c:v>182</c:v>
                </c:pt>
                <c:pt idx="149">
                  <c:v>173</c:v>
                </c:pt>
                <c:pt idx="150">
                  <c:v>170</c:v>
                </c:pt>
                <c:pt idx="151">
                  <c:v>174</c:v>
                </c:pt>
                <c:pt idx="152">
                  <c:v>178</c:v>
                </c:pt>
                <c:pt idx="153">
                  <c:v>178</c:v>
                </c:pt>
                <c:pt idx="154">
                  <c:v>161</c:v>
                </c:pt>
                <c:pt idx="155">
                  <c:v>173</c:v>
                </c:pt>
                <c:pt idx="156">
                  <c:v>164</c:v>
                </c:pt>
                <c:pt idx="157">
                  <c:v>176</c:v>
                </c:pt>
                <c:pt idx="158">
                  <c:v>165</c:v>
                </c:pt>
                <c:pt idx="159">
                  <c:v>174</c:v>
                </c:pt>
                <c:pt idx="160">
                  <c:v>164</c:v>
                </c:pt>
                <c:pt idx="161">
                  <c:v>169</c:v>
                </c:pt>
                <c:pt idx="162">
                  <c:v>164</c:v>
                </c:pt>
                <c:pt idx="163">
                  <c:v>178</c:v>
                </c:pt>
                <c:pt idx="164">
                  <c:v>156</c:v>
                </c:pt>
                <c:pt idx="165">
                  <c:v>165</c:v>
                </c:pt>
                <c:pt idx="166">
                  <c:v>162</c:v>
                </c:pt>
                <c:pt idx="167">
                  <c:v>167</c:v>
                </c:pt>
                <c:pt idx="168">
                  <c:v>165</c:v>
                </c:pt>
                <c:pt idx="169">
                  <c:v>177</c:v>
                </c:pt>
                <c:pt idx="170">
                  <c:v>161</c:v>
                </c:pt>
                <c:pt idx="171">
                  <c:v>163</c:v>
                </c:pt>
                <c:pt idx="172">
                  <c:v>166</c:v>
                </c:pt>
                <c:pt idx="173">
                  <c:v>182</c:v>
                </c:pt>
                <c:pt idx="174">
                  <c:v>167</c:v>
                </c:pt>
                <c:pt idx="175">
                  <c:v>167</c:v>
                </c:pt>
                <c:pt idx="176">
                  <c:v>171</c:v>
                </c:pt>
                <c:pt idx="177">
                  <c:v>182</c:v>
                </c:pt>
                <c:pt idx="178">
                  <c:v>169</c:v>
                </c:pt>
                <c:pt idx="179">
                  <c:v>172</c:v>
                </c:pt>
                <c:pt idx="180">
                  <c:v>179</c:v>
                </c:pt>
                <c:pt idx="181">
                  <c:v>179</c:v>
                </c:pt>
                <c:pt idx="182">
                  <c:v>173</c:v>
                </c:pt>
                <c:pt idx="183">
                  <c:v>169</c:v>
                </c:pt>
                <c:pt idx="184">
                  <c:v>161</c:v>
                </c:pt>
                <c:pt idx="185">
                  <c:v>165</c:v>
                </c:pt>
                <c:pt idx="186">
                  <c:v>165</c:v>
                </c:pt>
                <c:pt idx="187">
                  <c:v>162</c:v>
                </c:pt>
                <c:pt idx="188">
                  <c:v>167</c:v>
                </c:pt>
                <c:pt idx="189">
                  <c:v>168</c:v>
                </c:pt>
                <c:pt idx="190">
                  <c:v>170</c:v>
                </c:pt>
                <c:pt idx="191">
                  <c:v>162</c:v>
                </c:pt>
                <c:pt idx="192">
                  <c:v>168</c:v>
                </c:pt>
                <c:pt idx="193">
                  <c:v>163</c:v>
                </c:pt>
                <c:pt idx="194">
                  <c:v>175</c:v>
                </c:pt>
                <c:pt idx="195">
                  <c:v>163</c:v>
                </c:pt>
                <c:pt idx="196">
                  <c:v>166</c:v>
                </c:pt>
                <c:pt idx="197">
                  <c:v>166</c:v>
                </c:pt>
                <c:pt idx="198">
                  <c:v>173</c:v>
                </c:pt>
                <c:pt idx="199">
                  <c:v>166</c:v>
                </c:pt>
              </c:numCache>
            </c:numRef>
          </c:xVal>
          <c:yVal>
            <c:numRef>
              <c:f>'8'!$C$2:$C$201</c:f>
              <c:numCache>
                <c:formatCode>General</c:formatCode>
                <c:ptCount val="200"/>
                <c:pt idx="0">
                  <c:v>67</c:v>
                </c:pt>
                <c:pt idx="1">
                  <c:v>68</c:v>
                </c:pt>
                <c:pt idx="2">
                  <c:v>67</c:v>
                </c:pt>
                <c:pt idx="3">
                  <c:v>59</c:v>
                </c:pt>
                <c:pt idx="4">
                  <c:v>70</c:v>
                </c:pt>
                <c:pt idx="5">
                  <c:v>66</c:v>
                </c:pt>
                <c:pt idx="6">
                  <c:v>57</c:v>
                </c:pt>
                <c:pt idx="7">
                  <c:v>63</c:v>
                </c:pt>
                <c:pt idx="8">
                  <c:v>64</c:v>
                </c:pt>
                <c:pt idx="9">
                  <c:v>74</c:v>
                </c:pt>
                <c:pt idx="10">
                  <c:v>60</c:v>
                </c:pt>
                <c:pt idx="11">
                  <c:v>60</c:v>
                </c:pt>
                <c:pt idx="12">
                  <c:v>59</c:v>
                </c:pt>
                <c:pt idx="13">
                  <c:v>65</c:v>
                </c:pt>
                <c:pt idx="14">
                  <c:v>73</c:v>
                </c:pt>
                <c:pt idx="15">
                  <c:v>68</c:v>
                </c:pt>
                <c:pt idx="16">
                  <c:v>72</c:v>
                </c:pt>
                <c:pt idx="17">
                  <c:v>63</c:v>
                </c:pt>
                <c:pt idx="18">
                  <c:v>70</c:v>
                </c:pt>
                <c:pt idx="19">
                  <c:v>48</c:v>
                </c:pt>
                <c:pt idx="20">
                  <c:v>62</c:v>
                </c:pt>
                <c:pt idx="21">
                  <c:v>61</c:v>
                </c:pt>
                <c:pt idx="22">
                  <c:v>71</c:v>
                </c:pt>
                <c:pt idx="23">
                  <c:v>66</c:v>
                </c:pt>
                <c:pt idx="24">
                  <c:v>55</c:v>
                </c:pt>
                <c:pt idx="25">
                  <c:v>55</c:v>
                </c:pt>
                <c:pt idx="26">
                  <c:v>75</c:v>
                </c:pt>
                <c:pt idx="27">
                  <c:v>66</c:v>
                </c:pt>
                <c:pt idx="28">
                  <c:v>60</c:v>
                </c:pt>
                <c:pt idx="29">
                  <c:v>63</c:v>
                </c:pt>
                <c:pt idx="30">
                  <c:v>67</c:v>
                </c:pt>
                <c:pt idx="31">
                  <c:v>59</c:v>
                </c:pt>
                <c:pt idx="32">
                  <c:v>64</c:v>
                </c:pt>
                <c:pt idx="33">
                  <c:v>69</c:v>
                </c:pt>
                <c:pt idx="34">
                  <c:v>73</c:v>
                </c:pt>
                <c:pt idx="35">
                  <c:v>68</c:v>
                </c:pt>
                <c:pt idx="36">
                  <c:v>66</c:v>
                </c:pt>
                <c:pt idx="37">
                  <c:v>76</c:v>
                </c:pt>
                <c:pt idx="38">
                  <c:v>67</c:v>
                </c:pt>
                <c:pt idx="39">
                  <c:v>64</c:v>
                </c:pt>
                <c:pt idx="40">
                  <c:v>61</c:v>
                </c:pt>
                <c:pt idx="41">
                  <c:v>72</c:v>
                </c:pt>
                <c:pt idx="42">
                  <c:v>59</c:v>
                </c:pt>
                <c:pt idx="43">
                  <c:v>51</c:v>
                </c:pt>
                <c:pt idx="44">
                  <c:v>60</c:v>
                </c:pt>
                <c:pt idx="45">
                  <c:v>50</c:v>
                </c:pt>
                <c:pt idx="46">
                  <c:v>64</c:v>
                </c:pt>
                <c:pt idx="47">
                  <c:v>66</c:v>
                </c:pt>
                <c:pt idx="48">
                  <c:v>75</c:v>
                </c:pt>
                <c:pt idx="49">
                  <c:v>67</c:v>
                </c:pt>
                <c:pt idx="50">
                  <c:v>73</c:v>
                </c:pt>
                <c:pt idx="51">
                  <c:v>63</c:v>
                </c:pt>
                <c:pt idx="52">
                  <c:v>75</c:v>
                </c:pt>
                <c:pt idx="53">
                  <c:v>60</c:v>
                </c:pt>
                <c:pt idx="54">
                  <c:v>56</c:v>
                </c:pt>
                <c:pt idx="55">
                  <c:v>59</c:v>
                </c:pt>
                <c:pt idx="56">
                  <c:v>61</c:v>
                </c:pt>
                <c:pt idx="57">
                  <c:v>62</c:v>
                </c:pt>
                <c:pt idx="58">
                  <c:v>65</c:v>
                </c:pt>
                <c:pt idx="59">
                  <c:v>60</c:v>
                </c:pt>
                <c:pt idx="60">
                  <c:v>62</c:v>
                </c:pt>
                <c:pt idx="61">
                  <c:v>70</c:v>
                </c:pt>
                <c:pt idx="62">
                  <c:v>61</c:v>
                </c:pt>
                <c:pt idx="63">
                  <c:v>74</c:v>
                </c:pt>
                <c:pt idx="64">
                  <c:v>60</c:v>
                </c:pt>
                <c:pt idx="65">
                  <c:v>66</c:v>
                </c:pt>
                <c:pt idx="66">
                  <c:v>84</c:v>
                </c:pt>
                <c:pt idx="67">
                  <c:v>58</c:v>
                </c:pt>
                <c:pt idx="68">
                  <c:v>75</c:v>
                </c:pt>
                <c:pt idx="69">
                  <c:v>69</c:v>
                </c:pt>
                <c:pt idx="70">
                  <c:v>64</c:v>
                </c:pt>
                <c:pt idx="71">
                  <c:v>71</c:v>
                </c:pt>
                <c:pt idx="72">
                  <c:v>64</c:v>
                </c:pt>
                <c:pt idx="73">
                  <c:v>74</c:v>
                </c:pt>
                <c:pt idx="74">
                  <c:v>70</c:v>
                </c:pt>
                <c:pt idx="75">
                  <c:v>69</c:v>
                </c:pt>
                <c:pt idx="76">
                  <c:v>64</c:v>
                </c:pt>
                <c:pt idx="77">
                  <c:v>55</c:v>
                </c:pt>
                <c:pt idx="78">
                  <c:v>67</c:v>
                </c:pt>
                <c:pt idx="79">
                  <c:v>61</c:v>
                </c:pt>
                <c:pt idx="80">
                  <c:v>63</c:v>
                </c:pt>
                <c:pt idx="81">
                  <c:v>75</c:v>
                </c:pt>
                <c:pt idx="82">
                  <c:v>59</c:v>
                </c:pt>
                <c:pt idx="83">
                  <c:v>62</c:v>
                </c:pt>
                <c:pt idx="84">
                  <c:v>60</c:v>
                </c:pt>
                <c:pt idx="85">
                  <c:v>66</c:v>
                </c:pt>
                <c:pt idx="86">
                  <c:v>63</c:v>
                </c:pt>
                <c:pt idx="87">
                  <c:v>62</c:v>
                </c:pt>
                <c:pt idx="88">
                  <c:v>66</c:v>
                </c:pt>
                <c:pt idx="89">
                  <c:v>63</c:v>
                </c:pt>
                <c:pt idx="90">
                  <c:v>70</c:v>
                </c:pt>
                <c:pt idx="91">
                  <c:v>67</c:v>
                </c:pt>
                <c:pt idx="92">
                  <c:v>59</c:v>
                </c:pt>
                <c:pt idx="93">
                  <c:v>53</c:v>
                </c:pt>
                <c:pt idx="94">
                  <c:v>60</c:v>
                </c:pt>
                <c:pt idx="95">
                  <c:v>57</c:v>
                </c:pt>
                <c:pt idx="96">
                  <c:v>68</c:v>
                </c:pt>
                <c:pt idx="97">
                  <c:v>67</c:v>
                </c:pt>
                <c:pt idx="98">
                  <c:v>75</c:v>
                </c:pt>
                <c:pt idx="99">
                  <c:v>61</c:v>
                </c:pt>
                <c:pt idx="100">
                  <c:v>61</c:v>
                </c:pt>
                <c:pt idx="101">
                  <c:v>66</c:v>
                </c:pt>
                <c:pt idx="102">
                  <c:v>80</c:v>
                </c:pt>
                <c:pt idx="103">
                  <c:v>64</c:v>
                </c:pt>
                <c:pt idx="104">
                  <c:v>75</c:v>
                </c:pt>
                <c:pt idx="105">
                  <c:v>63</c:v>
                </c:pt>
                <c:pt idx="106">
                  <c:v>71</c:v>
                </c:pt>
                <c:pt idx="107">
                  <c:v>69</c:v>
                </c:pt>
                <c:pt idx="108">
                  <c:v>71</c:v>
                </c:pt>
                <c:pt idx="109">
                  <c:v>78</c:v>
                </c:pt>
                <c:pt idx="110">
                  <c:v>65</c:v>
                </c:pt>
                <c:pt idx="111">
                  <c:v>69</c:v>
                </c:pt>
                <c:pt idx="112">
                  <c:v>61</c:v>
                </c:pt>
                <c:pt idx="113">
                  <c:v>62</c:v>
                </c:pt>
                <c:pt idx="114">
                  <c:v>60</c:v>
                </c:pt>
                <c:pt idx="115">
                  <c:v>64</c:v>
                </c:pt>
                <c:pt idx="116">
                  <c:v>60</c:v>
                </c:pt>
                <c:pt idx="117">
                  <c:v>71</c:v>
                </c:pt>
                <c:pt idx="118">
                  <c:v>60</c:v>
                </c:pt>
                <c:pt idx="119">
                  <c:v>65</c:v>
                </c:pt>
                <c:pt idx="120">
                  <c:v>62</c:v>
                </c:pt>
                <c:pt idx="121">
                  <c:v>63</c:v>
                </c:pt>
                <c:pt idx="122">
                  <c:v>67</c:v>
                </c:pt>
                <c:pt idx="123">
                  <c:v>61</c:v>
                </c:pt>
                <c:pt idx="124">
                  <c:v>69</c:v>
                </c:pt>
                <c:pt idx="125">
                  <c:v>65</c:v>
                </c:pt>
                <c:pt idx="126">
                  <c:v>70</c:v>
                </c:pt>
                <c:pt idx="127">
                  <c:v>74</c:v>
                </c:pt>
                <c:pt idx="128">
                  <c:v>75</c:v>
                </c:pt>
                <c:pt idx="129">
                  <c:v>48</c:v>
                </c:pt>
                <c:pt idx="130">
                  <c:v>67</c:v>
                </c:pt>
                <c:pt idx="131">
                  <c:v>57</c:v>
                </c:pt>
                <c:pt idx="132">
                  <c:v>53</c:v>
                </c:pt>
                <c:pt idx="133">
                  <c:v>66</c:v>
                </c:pt>
                <c:pt idx="134">
                  <c:v>60</c:v>
                </c:pt>
                <c:pt idx="135">
                  <c:v>62</c:v>
                </c:pt>
                <c:pt idx="136">
                  <c:v>67</c:v>
                </c:pt>
                <c:pt idx="137">
                  <c:v>66</c:v>
                </c:pt>
                <c:pt idx="138">
                  <c:v>68</c:v>
                </c:pt>
                <c:pt idx="139">
                  <c:v>54</c:v>
                </c:pt>
                <c:pt idx="140">
                  <c:v>63</c:v>
                </c:pt>
                <c:pt idx="141">
                  <c:v>67</c:v>
                </c:pt>
                <c:pt idx="142">
                  <c:v>64</c:v>
                </c:pt>
                <c:pt idx="143">
                  <c:v>67</c:v>
                </c:pt>
                <c:pt idx="144">
                  <c:v>61</c:v>
                </c:pt>
                <c:pt idx="145">
                  <c:v>69</c:v>
                </c:pt>
                <c:pt idx="146">
                  <c:v>62</c:v>
                </c:pt>
                <c:pt idx="147">
                  <c:v>72</c:v>
                </c:pt>
                <c:pt idx="148">
                  <c:v>66</c:v>
                </c:pt>
                <c:pt idx="149">
                  <c:v>65</c:v>
                </c:pt>
                <c:pt idx="150">
                  <c:v>66</c:v>
                </c:pt>
                <c:pt idx="151">
                  <c:v>68</c:v>
                </c:pt>
                <c:pt idx="152">
                  <c:v>60</c:v>
                </c:pt>
                <c:pt idx="153">
                  <c:v>73</c:v>
                </c:pt>
                <c:pt idx="154">
                  <c:v>60</c:v>
                </c:pt>
                <c:pt idx="155">
                  <c:v>78</c:v>
                </c:pt>
                <c:pt idx="156">
                  <c:v>57</c:v>
                </c:pt>
                <c:pt idx="157">
                  <c:v>77</c:v>
                </c:pt>
                <c:pt idx="158">
                  <c:v>66</c:v>
                </c:pt>
                <c:pt idx="159">
                  <c:v>73</c:v>
                </c:pt>
                <c:pt idx="160">
                  <c:v>66</c:v>
                </c:pt>
                <c:pt idx="161">
                  <c:v>55</c:v>
                </c:pt>
                <c:pt idx="162">
                  <c:v>70</c:v>
                </c:pt>
                <c:pt idx="163">
                  <c:v>80</c:v>
                </c:pt>
                <c:pt idx="164">
                  <c:v>53</c:v>
                </c:pt>
                <c:pt idx="165">
                  <c:v>59</c:v>
                </c:pt>
                <c:pt idx="166">
                  <c:v>58</c:v>
                </c:pt>
                <c:pt idx="167">
                  <c:v>64</c:v>
                </c:pt>
                <c:pt idx="168">
                  <c:v>68</c:v>
                </c:pt>
                <c:pt idx="169">
                  <c:v>70</c:v>
                </c:pt>
                <c:pt idx="170">
                  <c:v>61</c:v>
                </c:pt>
                <c:pt idx="171">
                  <c:v>58</c:v>
                </c:pt>
                <c:pt idx="172">
                  <c:v>63</c:v>
                </c:pt>
                <c:pt idx="173">
                  <c:v>76</c:v>
                </c:pt>
                <c:pt idx="174">
                  <c:v>64</c:v>
                </c:pt>
                <c:pt idx="175">
                  <c:v>57</c:v>
                </c:pt>
                <c:pt idx="176">
                  <c:v>65</c:v>
                </c:pt>
                <c:pt idx="177">
                  <c:v>66</c:v>
                </c:pt>
                <c:pt idx="178">
                  <c:v>58</c:v>
                </c:pt>
                <c:pt idx="179">
                  <c:v>64</c:v>
                </c:pt>
                <c:pt idx="180">
                  <c:v>69</c:v>
                </c:pt>
                <c:pt idx="181">
                  <c:v>63</c:v>
                </c:pt>
                <c:pt idx="182">
                  <c:v>68</c:v>
                </c:pt>
                <c:pt idx="183">
                  <c:v>70</c:v>
                </c:pt>
                <c:pt idx="184">
                  <c:v>57</c:v>
                </c:pt>
                <c:pt idx="185">
                  <c:v>61</c:v>
                </c:pt>
                <c:pt idx="186">
                  <c:v>63</c:v>
                </c:pt>
                <c:pt idx="187">
                  <c:v>60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64</c:v>
                </c:pt>
                <c:pt idx="192">
                  <c:v>66</c:v>
                </c:pt>
                <c:pt idx="193">
                  <c:v>65</c:v>
                </c:pt>
                <c:pt idx="194">
                  <c:v>78</c:v>
                </c:pt>
                <c:pt idx="195">
                  <c:v>58</c:v>
                </c:pt>
                <c:pt idx="196">
                  <c:v>67</c:v>
                </c:pt>
                <c:pt idx="197">
                  <c:v>64</c:v>
                </c:pt>
                <c:pt idx="198">
                  <c:v>78</c:v>
                </c:pt>
                <c:pt idx="19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A-4E94-8311-E67CD593F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370000"/>
        <c:axId val="622364752"/>
      </c:scatterChart>
      <c:valAx>
        <c:axId val="622370000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364752"/>
        <c:crosses val="autoZero"/>
        <c:crossBetween val="midCat"/>
      </c:valAx>
      <c:valAx>
        <c:axId val="622364752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37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ленейной ригрессии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'13'!$C$7:$D$7</c:f>
              <c:numCache>
                <c:formatCode>General</c:formatCode>
                <c:ptCount val="2"/>
                <c:pt idx="0">
                  <c:v>150</c:v>
                </c:pt>
                <c:pt idx="1">
                  <c:v>200</c:v>
                </c:pt>
              </c:numCache>
            </c:numRef>
          </c:xVal>
          <c:yVal>
            <c:numRef>
              <c:f>'13'!$C$8:$D$8</c:f>
              <c:numCache>
                <c:formatCode>General</c:formatCode>
                <c:ptCount val="2"/>
                <c:pt idx="0">
                  <c:v>53.602187739011356</c:v>
                </c:pt>
                <c:pt idx="1">
                  <c:v>82.662411951964202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89-48B6-975B-1F179F5E85CF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'13'!$D$4:$M$4</c:f>
              <c:numCache>
                <c:formatCode>General</c:formatCode>
                <c:ptCount val="10"/>
                <c:pt idx="0">
                  <c:v>157.6</c:v>
                </c:pt>
                <c:pt idx="1">
                  <c:v>160.80000000000001</c:v>
                </c:pt>
                <c:pt idx="2">
                  <c:v>164</c:v>
                </c:pt>
                <c:pt idx="3">
                  <c:v>167.2</c:v>
                </c:pt>
                <c:pt idx="4">
                  <c:v>170.4</c:v>
                </c:pt>
                <c:pt idx="5">
                  <c:v>173.6</c:v>
                </c:pt>
                <c:pt idx="6">
                  <c:v>176.8</c:v>
                </c:pt>
                <c:pt idx="7">
                  <c:v>180</c:v>
                </c:pt>
                <c:pt idx="8">
                  <c:v>183.2</c:v>
                </c:pt>
                <c:pt idx="9">
                  <c:v>186.4</c:v>
                </c:pt>
              </c:numCache>
            </c:numRef>
          </c:xVal>
          <c:yVal>
            <c:numRef>
              <c:f>'13'!$D$5:$M$5</c:f>
              <c:numCache>
                <c:formatCode>General</c:formatCode>
                <c:ptCount val="10"/>
                <c:pt idx="0">
                  <c:v>49.8</c:v>
                </c:pt>
                <c:pt idx="1">
                  <c:v>53.4</c:v>
                </c:pt>
                <c:pt idx="2">
                  <c:v>57</c:v>
                </c:pt>
                <c:pt idx="3">
                  <c:v>60.6</c:v>
                </c:pt>
                <c:pt idx="4">
                  <c:v>64.2</c:v>
                </c:pt>
                <c:pt idx="5">
                  <c:v>67.8</c:v>
                </c:pt>
                <c:pt idx="6">
                  <c:v>71.400000000000006</c:v>
                </c:pt>
                <c:pt idx="7">
                  <c:v>75</c:v>
                </c:pt>
                <c:pt idx="8">
                  <c:v>78.599999999999994</c:v>
                </c:pt>
                <c:pt idx="9">
                  <c:v>82.2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89-48B6-975B-1F179F5E8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876744"/>
        <c:axId val="327877072"/>
      </c:scatterChart>
      <c:valAx>
        <c:axId val="327876744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7877072"/>
        <c:crosses val="autoZero"/>
        <c:crossBetween val="midCat"/>
      </c:valAx>
      <c:valAx>
        <c:axId val="3278770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787674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1</xdr:row>
      <xdr:rowOff>11430</xdr:rowOff>
    </xdr:from>
    <xdr:to>
      <xdr:col>13</xdr:col>
      <xdr:colOff>175260</xdr:colOff>
      <xdr:row>16</xdr:row>
      <xdr:rowOff>11430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464820</xdr:colOff>
      <xdr:row>16</xdr:row>
      <xdr:rowOff>171450</xdr:rowOff>
    </xdr:from>
    <xdr:to>
      <xdr:col>13</xdr:col>
      <xdr:colOff>160020</xdr:colOff>
      <xdr:row>31</xdr:row>
      <xdr:rowOff>171450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198120</xdr:colOff>
      <xdr:row>1</xdr:row>
      <xdr:rowOff>3810</xdr:rowOff>
    </xdr:from>
    <xdr:to>
      <xdr:col>21</xdr:col>
      <xdr:colOff>502920</xdr:colOff>
      <xdr:row>16</xdr:row>
      <xdr:rowOff>3810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11430</xdr:rowOff>
    </xdr:from>
    <xdr:to>
      <xdr:col>17</xdr:col>
      <xdr:colOff>190500</xdr:colOff>
      <xdr:row>26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308610</xdr:colOff>
      <xdr:row>7</xdr:row>
      <xdr:rowOff>179070</xdr:rowOff>
    </xdr:from>
    <xdr:to>
      <xdr:col>14</xdr:col>
      <xdr:colOff>190500</xdr:colOff>
      <xdr:row>25</xdr:row>
      <xdr:rowOff>68580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21" workbookViewId="0">
      <selection activeCell="D36" sqref="D36"/>
    </sheetView>
  </sheetViews>
  <sheetFormatPr defaultRowHeight="14.4" x14ac:dyDescent="0.3"/>
  <cols>
    <col min="1" max="12" width="7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3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167</v>
      </c>
      <c r="I2" s="2">
        <v>61</v>
      </c>
      <c r="J2" s="2">
        <v>151</v>
      </c>
      <c r="K2" s="2">
        <v>170</v>
      </c>
      <c r="L2" s="2">
        <v>66</v>
      </c>
    </row>
    <row r="3" spans="1:12" x14ac:dyDescent="0.3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174</v>
      </c>
      <c r="I3" s="2">
        <v>66</v>
      </c>
      <c r="J3" s="2">
        <v>152</v>
      </c>
      <c r="K3" s="2">
        <v>174</v>
      </c>
      <c r="L3" s="2">
        <v>68</v>
      </c>
    </row>
    <row r="4" spans="1:12" x14ac:dyDescent="0.3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175</v>
      </c>
      <c r="I4" s="2">
        <v>80</v>
      </c>
      <c r="J4" s="2">
        <v>153</v>
      </c>
      <c r="K4" s="2">
        <v>178</v>
      </c>
      <c r="L4" s="2">
        <v>60</v>
      </c>
    </row>
    <row r="5" spans="1:12" x14ac:dyDescent="0.3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167</v>
      </c>
      <c r="I5" s="2">
        <v>64</v>
      </c>
      <c r="J5" s="2">
        <v>154</v>
      </c>
      <c r="K5" s="2">
        <v>178</v>
      </c>
      <c r="L5" s="2">
        <v>73</v>
      </c>
    </row>
    <row r="6" spans="1:12" x14ac:dyDescent="0.3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180</v>
      </c>
      <c r="I6" s="2">
        <v>75</v>
      </c>
      <c r="J6" s="2">
        <v>155</v>
      </c>
      <c r="K6" s="2">
        <v>161</v>
      </c>
      <c r="L6" s="2">
        <v>60</v>
      </c>
    </row>
    <row r="7" spans="1:12" x14ac:dyDescent="0.3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166</v>
      </c>
      <c r="I7" s="2">
        <v>63</v>
      </c>
      <c r="J7" s="2">
        <v>156</v>
      </c>
      <c r="K7" s="2">
        <v>173</v>
      </c>
      <c r="L7" s="2">
        <v>78</v>
      </c>
    </row>
    <row r="8" spans="1:12" x14ac:dyDescent="0.3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176</v>
      </c>
      <c r="I8" s="2">
        <v>71</v>
      </c>
      <c r="J8" s="2">
        <v>157</v>
      </c>
      <c r="K8" s="2">
        <v>164</v>
      </c>
      <c r="L8" s="2">
        <v>57</v>
      </c>
    </row>
    <row r="9" spans="1:12" x14ac:dyDescent="0.3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174</v>
      </c>
      <c r="I9" s="2">
        <v>69</v>
      </c>
      <c r="J9" s="2">
        <v>158</v>
      </c>
      <c r="K9" s="2">
        <v>176</v>
      </c>
      <c r="L9" s="2">
        <v>77</v>
      </c>
    </row>
    <row r="10" spans="1:12" x14ac:dyDescent="0.3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169</v>
      </c>
      <c r="I10" s="2">
        <v>71</v>
      </c>
      <c r="J10" s="2">
        <v>159</v>
      </c>
      <c r="K10" s="2">
        <v>165</v>
      </c>
      <c r="L10" s="2">
        <v>66</v>
      </c>
    </row>
    <row r="11" spans="1:12" x14ac:dyDescent="0.3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177</v>
      </c>
      <c r="I11" s="2">
        <v>78</v>
      </c>
      <c r="J11" s="2">
        <v>160</v>
      </c>
      <c r="K11" s="2">
        <v>174</v>
      </c>
      <c r="L11" s="2">
        <v>73</v>
      </c>
    </row>
    <row r="12" spans="1:12" x14ac:dyDescent="0.3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167</v>
      </c>
      <c r="I12" s="2">
        <v>65</v>
      </c>
      <c r="J12" s="2">
        <v>161</v>
      </c>
      <c r="K12" s="2">
        <v>164</v>
      </c>
      <c r="L12" s="2">
        <v>66</v>
      </c>
    </row>
    <row r="13" spans="1:12" x14ac:dyDescent="0.3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170</v>
      </c>
      <c r="I13" s="2">
        <v>69</v>
      </c>
      <c r="J13" s="2">
        <v>162</v>
      </c>
      <c r="K13" s="2">
        <v>169</v>
      </c>
      <c r="L13" s="2">
        <v>55</v>
      </c>
    </row>
    <row r="14" spans="1:12" x14ac:dyDescent="0.3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158</v>
      </c>
      <c r="I14" s="2">
        <v>61</v>
      </c>
      <c r="J14" s="2">
        <v>163</v>
      </c>
      <c r="K14" s="2">
        <v>164</v>
      </c>
      <c r="L14" s="2">
        <v>70</v>
      </c>
    </row>
    <row r="15" spans="1:12" x14ac:dyDescent="0.3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171</v>
      </c>
      <c r="I15" s="2">
        <v>62</v>
      </c>
      <c r="J15" s="2">
        <v>164</v>
      </c>
      <c r="K15" s="2">
        <v>178</v>
      </c>
      <c r="L15" s="2">
        <v>80</v>
      </c>
    </row>
    <row r="16" spans="1:12" x14ac:dyDescent="0.3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176</v>
      </c>
      <c r="I16" s="2">
        <v>60</v>
      </c>
      <c r="J16" s="2">
        <v>165</v>
      </c>
      <c r="K16" s="2">
        <v>156</v>
      </c>
      <c r="L16" s="2">
        <v>53</v>
      </c>
    </row>
    <row r="17" spans="1:12" x14ac:dyDescent="0.3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172</v>
      </c>
      <c r="I17" s="2">
        <v>64</v>
      </c>
      <c r="J17" s="2">
        <v>166</v>
      </c>
      <c r="K17" s="2">
        <v>165</v>
      </c>
      <c r="L17" s="2">
        <v>59</v>
      </c>
    </row>
    <row r="18" spans="1:12" x14ac:dyDescent="0.3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165</v>
      </c>
      <c r="I18" s="2">
        <v>60</v>
      </c>
      <c r="J18" s="2">
        <v>167</v>
      </c>
      <c r="K18" s="2">
        <v>162</v>
      </c>
      <c r="L18" s="2">
        <v>58</v>
      </c>
    </row>
    <row r="19" spans="1:12" x14ac:dyDescent="0.3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178</v>
      </c>
      <c r="I19" s="2">
        <v>71</v>
      </c>
      <c r="J19" s="2">
        <v>168</v>
      </c>
      <c r="K19" s="2">
        <v>167</v>
      </c>
      <c r="L19" s="2">
        <v>64</v>
      </c>
    </row>
    <row r="20" spans="1:12" x14ac:dyDescent="0.3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157</v>
      </c>
      <c r="I20" s="2">
        <v>60</v>
      </c>
      <c r="J20" s="2">
        <v>169</v>
      </c>
      <c r="K20" s="2">
        <v>165</v>
      </c>
      <c r="L20" s="2">
        <v>68</v>
      </c>
    </row>
    <row r="21" spans="1:12" x14ac:dyDescent="0.3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169</v>
      </c>
      <c r="I21" s="2">
        <v>65</v>
      </c>
      <c r="J21" s="2">
        <v>170</v>
      </c>
      <c r="K21" s="2">
        <v>177</v>
      </c>
      <c r="L21" s="2">
        <v>70</v>
      </c>
    </row>
    <row r="22" spans="1:12" x14ac:dyDescent="0.3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169</v>
      </c>
      <c r="I22" s="2">
        <v>62</v>
      </c>
      <c r="J22" s="2">
        <v>171</v>
      </c>
      <c r="K22" s="2">
        <v>161</v>
      </c>
      <c r="L22" s="2">
        <v>61</v>
      </c>
    </row>
    <row r="23" spans="1:12" x14ac:dyDescent="0.3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167</v>
      </c>
      <c r="I23" s="2">
        <v>63</v>
      </c>
      <c r="J23" s="2">
        <v>172</v>
      </c>
      <c r="K23" s="2">
        <v>163</v>
      </c>
      <c r="L23" s="2">
        <v>58</v>
      </c>
    </row>
    <row r="24" spans="1:12" x14ac:dyDescent="0.3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177</v>
      </c>
      <c r="I24" s="2">
        <v>67</v>
      </c>
      <c r="J24" s="2">
        <v>173</v>
      </c>
      <c r="K24" s="2">
        <v>166</v>
      </c>
      <c r="L24" s="2">
        <v>63</v>
      </c>
    </row>
    <row r="25" spans="1:12" x14ac:dyDescent="0.3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159</v>
      </c>
      <c r="I25" s="2">
        <v>61</v>
      </c>
      <c r="J25" s="2">
        <v>174</v>
      </c>
      <c r="K25" s="2">
        <v>182</v>
      </c>
      <c r="L25" s="2">
        <v>76</v>
      </c>
    </row>
    <row r="26" spans="1:12" x14ac:dyDescent="0.3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172</v>
      </c>
      <c r="I26" s="2">
        <v>69</v>
      </c>
      <c r="J26" s="2">
        <v>175</v>
      </c>
      <c r="K26" s="2">
        <v>167</v>
      </c>
      <c r="L26" s="2">
        <v>64</v>
      </c>
    </row>
    <row r="27" spans="1:12" x14ac:dyDescent="0.3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167</v>
      </c>
      <c r="I27" s="2">
        <v>65</v>
      </c>
      <c r="J27" s="2">
        <v>176</v>
      </c>
      <c r="K27" s="2">
        <v>167</v>
      </c>
      <c r="L27" s="2">
        <v>57</v>
      </c>
    </row>
    <row r="28" spans="1:12" x14ac:dyDescent="0.3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164</v>
      </c>
      <c r="I28" s="2">
        <v>70</v>
      </c>
      <c r="J28" s="2">
        <v>177</v>
      </c>
      <c r="K28" s="2">
        <v>171</v>
      </c>
      <c r="L28" s="2">
        <v>65</v>
      </c>
    </row>
    <row r="29" spans="1:12" x14ac:dyDescent="0.3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174</v>
      </c>
      <c r="I29" s="2">
        <v>74</v>
      </c>
      <c r="J29" s="2">
        <v>178</v>
      </c>
      <c r="K29" s="2">
        <v>182</v>
      </c>
      <c r="L29" s="2">
        <v>66</v>
      </c>
    </row>
    <row r="30" spans="1:12" x14ac:dyDescent="0.3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176</v>
      </c>
      <c r="I30" s="2">
        <v>75</v>
      </c>
      <c r="J30" s="2">
        <v>179</v>
      </c>
      <c r="K30" s="2">
        <v>169</v>
      </c>
      <c r="L30" s="2">
        <v>58</v>
      </c>
    </row>
    <row r="31" spans="1:12" x14ac:dyDescent="0.3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159</v>
      </c>
      <c r="I31" s="2">
        <v>48</v>
      </c>
      <c r="J31" s="2">
        <v>180</v>
      </c>
      <c r="K31" s="2">
        <v>172</v>
      </c>
      <c r="L31" s="2">
        <v>64</v>
      </c>
    </row>
    <row r="32" spans="1:12" x14ac:dyDescent="0.3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169</v>
      </c>
      <c r="I32" s="2">
        <v>67</v>
      </c>
      <c r="J32" s="2">
        <v>181</v>
      </c>
      <c r="K32" s="2">
        <v>179</v>
      </c>
      <c r="L32" s="2">
        <v>69</v>
      </c>
    </row>
    <row r="33" spans="1:12" x14ac:dyDescent="0.3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167</v>
      </c>
      <c r="I33" s="2">
        <v>57</v>
      </c>
      <c r="J33" s="2">
        <v>182</v>
      </c>
      <c r="K33" s="2">
        <v>179</v>
      </c>
      <c r="L33" s="2">
        <v>63</v>
      </c>
    </row>
    <row r="34" spans="1:12" x14ac:dyDescent="0.3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157</v>
      </c>
      <c r="I34" s="2">
        <v>53</v>
      </c>
      <c r="J34" s="2">
        <v>183</v>
      </c>
      <c r="K34" s="2">
        <v>173</v>
      </c>
      <c r="L34" s="2">
        <v>68</v>
      </c>
    </row>
    <row r="35" spans="1:12" x14ac:dyDescent="0.3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175</v>
      </c>
      <c r="I35" s="2">
        <v>66</v>
      </c>
      <c r="J35" s="2">
        <v>184</v>
      </c>
      <c r="K35" s="2">
        <v>169</v>
      </c>
      <c r="L35" s="2">
        <v>70</v>
      </c>
    </row>
    <row r="36" spans="1:12" x14ac:dyDescent="0.3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165</v>
      </c>
      <c r="I36" s="2">
        <v>60</v>
      </c>
      <c r="J36" s="2">
        <v>185</v>
      </c>
      <c r="K36" s="2">
        <v>161</v>
      </c>
      <c r="L36" s="2">
        <v>57</v>
      </c>
    </row>
    <row r="37" spans="1:12" x14ac:dyDescent="0.3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168</v>
      </c>
      <c r="I37" s="2">
        <v>62</v>
      </c>
      <c r="J37" s="2">
        <v>186</v>
      </c>
      <c r="K37" s="2">
        <v>165</v>
      </c>
      <c r="L37" s="2">
        <v>61</v>
      </c>
    </row>
    <row r="38" spans="1:12" x14ac:dyDescent="0.3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172</v>
      </c>
      <c r="I38" s="2">
        <v>67</v>
      </c>
      <c r="J38" s="2">
        <v>187</v>
      </c>
      <c r="K38" s="2">
        <v>165</v>
      </c>
      <c r="L38" s="2">
        <v>63</v>
      </c>
    </row>
    <row r="39" spans="1:12" x14ac:dyDescent="0.3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173</v>
      </c>
      <c r="I39" s="2">
        <v>66</v>
      </c>
      <c r="J39" s="2">
        <v>188</v>
      </c>
      <c r="K39" s="2">
        <v>162</v>
      </c>
      <c r="L39" s="2">
        <v>60</v>
      </c>
    </row>
    <row r="40" spans="1:12" x14ac:dyDescent="0.3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167</v>
      </c>
      <c r="I40" s="2">
        <v>68</v>
      </c>
      <c r="J40" s="2">
        <v>189</v>
      </c>
      <c r="K40" s="2">
        <v>167</v>
      </c>
      <c r="L40" s="2">
        <v>66</v>
      </c>
    </row>
    <row r="41" spans="1:12" x14ac:dyDescent="0.3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163</v>
      </c>
      <c r="I41" s="2">
        <v>54</v>
      </c>
      <c r="J41" s="2">
        <v>190</v>
      </c>
      <c r="K41" s="2">
        <v>168</v>
      </c>
      <c r="L41" s="2">
        <v>67</v>
      </c>
    </row>
    <row r="42" spans="1:12" x14ac:dyDescent="0.3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166</v>
      </c>
      <c r="I42" s="2">
        <v>63</v>
      </c>
      <c r="J42" s="2">
        <v>191</v>
      </c>
      <c r="K42" s="2">
        <v>170</v>
      </c>
      <c r="L42" s="2">
        <v>67</v>
      </c>
    </row>
    <row r="43" spans="1:12" x14ac:dyDescent="0.3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168</v>
      </c>
      <c r="I43" s="2">
        <v>67</v>
      </c>
      <c r="J43" s="2">
        <v>192</v>
      </c>
      <c r="K43" s="2">
        <v>162</v>
      </c>
      <c r="L43" s="2">
        <v>64</v>
      </c>
    </row>
    <row r="44" spans="1:12" x14ac:dyDescent="0.3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169</v>
      </c>
      <c r="I44" s="2">
        <v>64</v>
      </c>
      <c r="J44" s="2">
        <v>193</v>
      </c>
      <c r="K44" s="2">
        <v>168</v>
      </c>
      <c r="L44" s="2">
        <v>66</v>
      </c>
    </row>
    <row r="45" spans="1:12" x14ac:dyDescent="0.3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177</v>
      </c>
      <c r="I45" s="2">
        <v>67</v>
      </c>
      <c r="J45" s="2">
        <v>194</v>
      </c>
      <c r="K45" s="2">
        <v>163</v>
      </c>
      <c r="L45" s="2">
        <v>65</v>
      </c>
    </row>
    <row r="46" spans="1:12" x14ac:dyDescent="0.3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170</v>
      </c>
      <c r="I46" s="2">
        <v>61</v>
      </c>
      <c r="J46" s="2">
        <v>195</v>
      </c>
      <c r="K46" s="2">
        <v>175</v>
      </c>
      <c r="L46" s="2">
        <v>78</v>
      </c>
    </row>
    <row r="47" spans="1:12" x14ac:dyDescent="0.3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170</v>
      </c>
      <c r="I47" s="2">
        <v>69</v>
      </c>
      <c r="J47" s="2">
        <v>196</v>
      </c>
      <c r="K47" s="2">
        <v>163</v>
      </c>
      <c r="L47" s="2">
        <v>58</v>
      </c>
    </row>
    <row r="48" spans="1:12" x14ac:dyDescent="0.3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176</v>
      </c>
      <c r="I48" s="2">
        <v>62</v>
      </c>
      <c r="J48" s="2">
        <v>197</v>
      </c>
      <c r="K48" s="2">
        <v>166</v>
      </c>
      <c r="L48" s="2">
        <v>67</v>
      </c>
    </row>
    <row r="49" spans="1:12" x14ac:dyDescent="0.3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165</v>
      </c>
      <c r="I49" s="2">
        <v>72</v>
      </c>
      <c r="J49" s="2">
        <v>198</v>
      </c>
      <c r="K49" s="2">
        <v>166</v>
      </c>
      <c r="L49" s="2">
        <v>64</v>
      </c>
    </row>
    <row r="50" spans="1:12" x14ac:dyDescent="0.3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182</v>
      </c>
      <c r="I50" s="2">
        <v>66</v>
      </c>
      <c r="J50" s="2">
        <v>199</v>
      </c>
      <c r="K50" s="2">
        <v>173</v>
      </c>
      <c r="L50" s="2">
        <v>78</v>
      </c>
    </row>
    <row r="51" spans="1:12" x14ac:dyDescent="0.3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173</v>
      </c>
      <c r="I51" s="2">
        <v>65</v>
      </c>
      <c r="J51" s="2">
        <v>200</v>
      </c>
      <c r="K51" s="2">
        <v>166</v>
      </c>
      <c r="L51" s="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B2" sqref="B2:B201"/>
    </sheetView>
  </sheetViews>
  <sheetFormatPr defaultRowHeight="14.4" x14ac:dyDescent="0.3"/>
  <cols>
    <col min="1" max="1" width="15.109375" style="5" customWidth="1"/>
    <col min="2" max="2" width="17.88671875" style="5" customWidth="1"/>
    <col min="3" max="3" width="20.33203125" style="5" customWidth="1"/>
    <col min="4" max="4" width="23.5546875" style="5" customWidth="1"/>
    <col min="5" max="5" width="22.44140625" style="5" customWidth="1"/>
    <col min="6" max="6" width="8.88671875" style="5"/>
    <col min="7" max="7" width="21" style="5" customWidth="1"/>
    <col min="8" max="16384" width="8.88671875" style="5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19</v>
      </c>
    </row>
    <row r="2" spans="1:7" x14ac:dyDescent="0.3">
      <c r="A2" s="8">
        <v>1</v>
      </c>
      <c r="B2" s="8">
        <v>168</v>
      </c>
      <c r="C2" s="8">
        <v>67</v>
      </c>
      <c r="D2" s="8">
        <v>156</v>
      </c>
      <c r="E2" s="8">
        <v>48</v>
      </c>
      <c r="G2" s="3">
        <v>200</v>
      </c>
    </row>
    <row r="3" spans="1:7" x14ac:dyDescent="0.3">
      <c r="A3" s="8">
        <v>2</v>
      </c>
      <c r="B3" s="8">
        <v>177</v>
      </c>
      <c r="C3" s="8">
        <v>68</v>
      </c>
      <c r="D3" s="8">
        <v>156</v>
      </c>
      <c r="E3" s="8">
        <v>48</v>
      </c>
    </row>
    <row r="4" spans="1:7" x14ac:dyDescent="0.3">
      <c r="A4" s="8">
        <v>3</v>
      </c>
      <c r="B4" s="8">
        <v>175</v>
      </c>
      <c r="C4" s="8">
        <v>67</v>
      </c>
      <c r="D4" s="8">
        <v>157</v>
      </c>
      <c r="E4" s="8">
        <v>50</v>
      </c>
    </row>
    <row r="5" spans="1:7" x14ac:dyDescent="0.3">
      <c r="A5" s="8">
        <v>4</v>
      </c>
      <c r="B5" s="8">
        <v>160</v>
      </c>
      <c r="C5" s="8">
        <v>59</v>
      </c>
      <c r="D5" s="8">
        <v>157</v>
      </c>
      <c r="E5" s="8">
        <v>51</v>
      </c>
    </row>
    <row r="6" spans="1:7" x14ac:dyDescent="0.3">
      <c r="A6" s="8">
        <v>5</v>
      </c>
      <c r="B6" s="8">
        <v>172</v>
      </c>
      <c r="C6" s="8">
        <v>70</v>
      </c>
      <c r="D6" s="8">
        <v>158</v>
      </c>
      <c r="E6" s="8">
        <v>53</v>
      </c>
    </row>
    <row r="7" spans="1:7" x14ac:dyDescent="0.3">
      <c r="A7" s="8">
        <v>6</v>
      </c>
      <c r="B7" s="8">
        <v>171</v>
      </c>
      <c r="C7" s="8">
        <v>66</v>
      </c>
      <c r="D7" s="8">
        <v>158</v>
      </c>
      <c r="E7" s="8">
        <v>53</v>
      </c>
    </row>
    <row r="8" spans="1:7" x14ac:dyDescent="0.3">
      <c r="A8" s="8">
        <v>7</v>
      </c>
      <c r="B8" s="8">
        <v>159</v>
      </c>
      <c r="C8" s="8">
        <v>57</v>
      </c>
      <c r="D8" s="8">
        <v>159</v>
      </c>
      <c r="E8" s="8">
        <v>53</v>
      </c>
    </row>
    <row r="9" spans="1:7" x14ac:dyDescent="0.3">
      <c r="A9" s="8">
        <v>8</v>
      </c>
      <c r="B9" s="8">
        <v>165</v>
      </c>
      <c r="C9" s="8">
        <v>63</v>
      </c>
      <c r="D9" s="8">
        <v>159</v>
      </c>
      <c r="E9" s="8">
        <v>54</v>
      </c>
    </row>
    <row r="10" spans="1:7" x14ac:dyDescent="0.3">
      <c r="A10" s="8">
        <v>9</v>
      </c>
      <c r="B10" s="8">
        <v>173</v>
      </c>
      <c r="C10" s="8">
        <v>64</v>
      </c>
      <c r="D10" s="8">
        <v>159</v>
      </c>
      <c r="E10" s="8">
        <v>55</v>
      </c>
    </row>
    <row r="11" spans="1:7" x14ac:dyDescent="0.3">
      <c r="A11" s="8">
        <v>10</v>
      </c>
      <c r="B11" s="8">
        <v>174</v>
      </c>
      <c r="C11" s="8">
        <v>74</v>
      </c>
      <c r="D11" s="8">
        <v>159</v>
      </c>
      <c r="E11" s="8">
        <v>55</v>
      </c>
    </row>
    <row r="12" spans="1:7" x14ac:dyDescent="0.3">
      <c r="A12" s="8">
        <v>11</v>
      </c>
      <c r="B12" s="8">
        <v>161</v>
      </c>
      <c r="C12" s="8">
        <v>60</v>
      </c>
      <c r="D12" s="8">
        <v>159</v>
      </c>
      <c r="E12" s="8">
        <v>55</v>
      </c>
    </row>
    <row r="13" spans="1:7" x14ac:dyDescent="0.3">
      <c r="A13" s="8">
        <v>12</v>
      </c>
      <c r="B13" s="8">
        <v>165</v>
      </c>
      <c r="C13" s="8">
        <v>60</v>
      </c>
      <c r="D13" s="8">
        <v>159</v>
      </c>
      <c r="E13" s="8">
        <v>55</v>
      </c>
    </row>
    <row r="14" spans="1:7" x14ac:dyDescent="0.3">
      <c r="A14" s="8">
        <v>13</v>
      </c>
      <c r="B14" s="8">
        <v>175</v>
      </c>
      <c r="C14" s="8">
        <v>59</v>
      </c>
      <c r="D14" s="8">
        <v>160</v>
      </c>
      <c r="E14" s="8">
        <v>56</v>
      </c>
    </row>
    <row r="15" spans="1:7" x14ac:dyDescent="0.3">
      <c r="A15" s="8">
        <v>14</v>
      </c>
      <c r="B15" s="8">
        <v>176</v>
      </c>
      <c r="C15" s="8">
        <v>65</v>
      </c>
      <c r="D15" s="8">
        <v>161</v>
      </c>
      <c r="E15" s="8">
        <v>57</v>
      </c>
    </row>
    <row r="16" spans="1:7" x14ac:dyDescent="0.3">
      <c r="A16" s="8">
        <v>15</v>
      </c>
      <c r="B16" s="8">
        <v>170</v>
      </c>
      <c r="C16" s="8">
        <v>73</v>
      </c>
      <c r="D16" s="8">
        <v>161</v>
      </c>
      <c r="E16" s="8">
        <v>57</v>
      </c>
    </row>
    <row r="17" spans="1:5" x14ac:dyDescent="0.3">
      <c r="A17" s="8">
        <v>16</v>
      </c>
      <c r="B17" s="8">
        <v>184</v>
      </c>
      <c r="C17" s="8">
        <v>68</v>
      </c>
      <c r="D17" s="8">
        <v>161</v>
      </c>
      <c r="E17" s="8">
        <v>57</v>
      </c>
    </row>
    <row r="18" spans="1:5" x14ac:dyDescent="0.3">
      <c r="A18" s="8">
        <v>17</v>
      </c>
      <c r="B18" s="8">
        <v>171</v>
      </c>
      <c r="C18" s="8">
        <v>72</v>
      </c>
      <c r="D18" s="8">
        <v>161</v>
      </c>
      <c r="E18" s="8">
        <v>57</v>
      </c>
    </row>
    <row r="19" spans="1:5" x14ac:dyDescent="0.3">
      <c r="A19" s="8">
        <v>18</v>
      </c>
      <c r="B19" s="8">
        <v>172</v>
      </c>
      <c r="C19" s="8">
        <v>63</v>
      </c>
      <c r="D19" s="8">
        <v>161</v>
      </c>
      <c r="E19" s="8">
        <v>57</v>
      </c>
    </row>
    <row r="20" spans="1:5" x14ac:dyDescent="0.3">
      <c r="A20" s="8">
        <v>19</v>
      </c>
      <c r="B20" s="8">
        <v>176</v>
      </c>
      <c r="C20" s="8">
        <v>70</v>
      </c>
      <c r="D20" s="8">
        <v>161</v>
      </c>
      <c r="E20" s="8">
        <v>57</v>
      </c>
    </row>
    <row r="21" spans="1:5" x14ac:dyDescent="0.3">
      <c r="A21" s="8">
        <v>20</v>
      </c>
      <c r="B21" s="8">
        <v>159</v>
      </c>
      <c r="C21" s="8">
        <v>48</v>
      </c>
      <c r="D21" s="8">
        <v>162</v>
      </c>
      <c r="E21" s="8">
        <v>58</v>
      </c>
    </row>
    <row r="22" spans="1:5" x14ac:dyDescent="0.3">
      <c r="A22" s="8">
        <v>21</v>
      </c>
      <c r="B22" s="8">
        <v>178</v>
      </c>
      <c r="C22" s="8">
        <v>62</v>
      </c>
      <c r="D22" s="8">
        <v>162</v>
      </c>
      <c r="E22" s="8">
        <v>58</v>
      </c>
    </row>
    <row r="23" spans="1:5" x14ac:dyDescent="0.3">
      <c r="A23" s="8">
        <v>22</v>
      </c>
      <c r="B23" s="8">
        <v>164</v>
      </c>
      <c r="C23" s="8">
        <v>61</v>
      </c>
      <c r="D23" s="8">
        <v>162</v>
      </c>
      <c r="E23" s="8">
        <v>58</v>
      </c>
    </row>
    <row r="24" spans="1:5" x14ac:dyDescent="0.3">
      <c r="A24" s="8">
        <v>23</v>
      </c>
      <c r="B24" s="8">
        <v>173</v>
      </c>
      <c r="C24" s="8">
        <v>71</v>
      </c>
      <c r="D24" s="8">
        <v>162</v>
      </c>
      <c r="E24" s="8">
        <v>58</v>
      </c>
    </row>
    <row r="25" spans="1:5" x14ac:dyDescent="0.3">
      <c r="A25" s="8">
        <v>24</v>
      </c>
      <c r="B25" s="8">
        <v>175</v>
      </c>
      <c r="C25" s="8">
        <v>66</v>
      </c>
      <c r="D25" s="8">
        <v>163</v>
      </c>
      <c r="E25" s="8">
        <v>58</v>
      </c>
    </row>
    <row r="26" spans="1:5" x14ac:dyDescent="0.3">
      <c r="A26" s="8">
        <v>25</v>
      </c>
      <c r="B26" s="8">
        <v>159</v>
      </c>
      <c r="C26" s="8">
        <v>55</v>
      </c>
      <c r="D26" s="8">
        <v>163</v>
      </c>
      <c r="E26" s="8">
        <v>59</v>
      </c>
    </row>
    <row r="27" spans="1:5" x14ac:dyDescent="0.3">
      <c r="A27" s="8">
        <v>26</v>
      </c>
      <c r="B27" s="8">
        <v>169</v>
      </c>
      <c r="C27" s="8">
        <v>55</v>
      </c>
      <c r="D27" s="8">
        <v>163</v>
      </c>
      <c r="E27" s="8">
        <v>59</v>
      </c>
    </row>
    <row r="28" spans="1:5" x14ac:dyDescent="0.3">
      <c r="A28" s="8">
        <v>27</v>
      </c>
      <c r="B28" s="8">
        <v>173</v>
      </c>
      <c r="C28" s="8">
        <v>75</v>
      </c>
      <c r="D28" s="8">
        <v>163</v>
      </c>
      <c r="E28" s="8">
        <v>59</v>
      </c>
    </row>
    <row r="29" spans="1:5" x14ac:dyDescent="0.3">
      <c r="A29" s="8">
        <v>28</v>
      </c>
      <c r="B29" s="8">
        <v>173</v>
      </c>
      <c r="C29" s="8">
        <v>66</v>
      </c>
      <c r="D29" s="8">
        <v>163</v>
      </c>
      <c r="E29" s="8">
        <v>59</v>
      </c>
    </row>
    <row r="30" spans="1:5" x14ac:dyDescent="0.3">
      <c r="A30" s="8">
        <v>29</v>
      </c>
      <c r="B30" s="8">
        <v>161</v>
      </c>
      <c r="C30" s="8">
        <v>60</v>
      </c>
      <c r="D30" s="8">
        <v>164</v>
      </c>
      <c r="E30" s="8">
        <v>59</v>
      </c>
    </row>
    <row r="31" spans="1:5" x14ac:dyDescent="0.3">
      <c r="A31" s="8">
        <v>30</v>
      </c>
      <c r="B31" s="8">
        <v>168</v>
      </c>
      <c r="C31" s="8">
        <v>63</v>
      </c>
      <c r="D31" s="8">
        <v>164</v>
      </c>
      <c r="E31" s="8">
        <v>59</v>
      </c>
    </row>
    <row r="32" spans="1:5" x14ac:dyDescent="0.3">
      <c r="A32" s="8">
        <v>31</v>
      </c>
      <c r="B32" s="8">
        <v>168</v>
      </c>
      <c r="C32" s="8">
        <v>67</v>
      </c>
      <c r="D32" s="8">
        <v>164</v>
      </c>
      <c r="E32" s="8">
        <v>59</v>
      </c>
    </row>
    <row r="33" spans="1:5" x14ac:dyDescent="0.3">
      <c r="A33" s="8">
        <v>32</v>
      </c>
      <c r="B33" s="8">
        <v>164</v>
      </c>
      <c r="C33" s="8">
        <v>59</v>
      </c>
      <c r="D33" s="8">
        <v>164</v>
      </c>
      <c r="E33" s="8">
        <v>59</v>
      </c>
    </row>
    <row r="34" spans="1:5" x14ac:dyDescent="0.3">
      <c r="A34" s="8">
        <v>33</v>
      </c>
      <c r="B34" s="8">
        <v>168</v>
      </c>
      <c r="C34" s="8">
        <v>64</v>
      </c>
      <c r="D34" s="8">
        <v>164</v>
      </c>
      <c r="E34" s="8">
        <v>60</v>
      </c>
    </row>
    <row r="35" spans="1:5" x14ac:dyDescent="0.3">
      <c r="A35" s="8">
        <v>34</v>
      </c>
      <c r="B35" s="8">
        <v>181</v>
      </c>
      <c r="C35" s="8">
        <v>69</v>
      </c>
      <c r="D35" s="8">
        <v>164</v>
      </c>
      <c r="E35" s="8">
        <v>60</v>
      </c>
    </row>
    <row r="36" spans="1:5" x14ac:dyDescent="0.3">
      <c r="A36" s="8">
        <v>35</v>
      </c>
      <c r="B36" s="8">
        <v>170</v>
      </c>
      <c r="C36" s="8">
        <v>73</v>
      </c>
      <c r="D36" s="8">
        <v>164</v>
      </c>
      <c r="E36" s="8">
        <v>60</v>
      </c>
    </row>
    <row r="37" spans="1:5" x14ac:dyDescent="0.3">
      <c r="A37" s="8">
        <v>36</v>
      </c>
      <c r="B37" s="8">
        <v>184</v>
      </c>
      <c r="C37" s="8">
        <v>68</v>
      </c>
      <c r="D37" s="8">
        <v>164</v>
      </c>
      <c r="E37" s="8">
        <v>60</v>
      </c>
    </row>
    <row r="38" spans="1:5" x14ac:dyDescent="0.3">
      <c r="A38" s="8">
        <v>37</v>
      </c>
      <c r="B38" s="8">
        <v>169</v>
      </c>
      <c r="C38" s="8">
        <v>66</v>
      </c>
      <c r="D38" s="8">
        <v>164</v>
      </c>
      <c r="E38" s="8">
        <v>60</v>
      </c>
    </row>
    <row r="39" spans="1:5" x14ac:dyDescent="0.3">
      <c r="A39" s="8">
        <v>38</v>
      </c>
      <c r="B39" s="8">
        <v>170</v>
      </c>
      <c r="C39" s="8">
        <v>76</v>
      </c>
      <c r="D39" s="8">
        <v>164</v>
      </c>
      <c r="E39" s="8">
        <v>60</v>
      </c>
    </row>
    <row r="40" spans="1:5" x14ac:dyDescent="0.3">
      <c r="A40" s="8">
        <v>39</v>
      </c>
      <c r="B40" s="8">
        <v>176</v>
      </c>
      <c r="C40" s="8">
        <v>67</v>
      </c>
      <c r="D40" s="8">
        <v>164</v>
      </c>
      <c r="E40" s="8">
        <v>60</v>
      </c>
    </row>
    <row r="41" spans="1:5" x14ac:dyDescent="0.3">
      <c r="A41" s="8">
        <v>40</v>
      </c>
      <c r="B41" s="8">
        <v>169</v>
      </c>
      <c r="C41" s="8">
        <v>64</v>
      </c>
      <c r="D41" s="8">
        <v>164</v>
      </c>
      <c r="E41" s="8">
        <v>60</v>
      </c>
    </row>
    <row r="42" spans="1:5" x14ac:dyDescent="0.3">
      <c r="A42" s="8">
        <v>41</v>
      </c>
      <c r="B42" s="8">
        <v>170</v>
      </c>
      <c r="C42" s="8">
        <v>61</v>
      </c>
      <c r="D42" s="8">
        <v>165</v>
      </c>
      <c r="E42" s="8">
        <v>60</v>
      </c>
    </row>
    <row r="43" spans="1:5" x14ac:dyDescent="0.3">
      <c r="A43" s="8">
        <v>42</v>
      </c>
      <c r="B43" s="8">
        <v>171</v>
      </c>
      <c r="C43" s="8">
        <v>72</v>
      </c>
      <c r="D43" s="8">
        <v>165</v>
      </c>
      <c r="E43" s="8">
        <v>60</v>
      </c>
    </row>
    <row r="44" spans="1:5" x14ac:dyDescent="0.3">
      <c r="A44" s="8">
        <v>43</v>
      </c>
      <c r="B44" s="8">
        <v>168</v>
      </c>
      <c r="C44" s="8">
        <v>59</v>
      </c>
      <c r="D44" s="8">
        <v>165</v>
      </c>
      <c r="E44" s="8">
        <v>60</v>
      </c>
    </row>
    <row r="45" spans="1:5" x14ac:dyDescent="0.3">
      <c r="A45" s="8">
        <v>44</v>
      </c>
      <c r="B45" s="8">
        <v>161</v>
      </c>
      <c r="C45" s="8">
        <v>51</v>
      </c>
      <c r="D45" s="8">
        <v>165</v>
      </c>
      <c r="E45" s="8">
        <v>60</v>
      </c>
    </row>
    <row r="46" spans="1:5" x14ac:dyDescent="0.3">
      <c r="A46" s="8">
        <v>45</v>
      </c>
      <c r="B46" s="8">
        <v>165</v>
      </c>
      <c r="C46" s="8">
        <v>60</v>
      </c>
      <c r="D46" s="8">
        <v>165</v>
      </c>
      <c r="E46" s="8">
        <v>60</v>
      </c>
    </row>
    <row r="47" spans="1:5" x14ac:dyDescent="0.3">
      <c r="A47" s="8">
        <v>46</v>
      </c>
      <c r="B47" s="8">
        <v>168</v>
      </c>
      <c r="C47" s="8">
        <v>50</v>
      </c>
      <c r="D47" s="8">
        <v>165</v>
      </c>
      <c r="E47" s="8">
        <v>60</v>
      </c>
    </row>
    <row r="48" spans="1:5" x14ac:dyDescent="0.3">
      <c r="A48" s="8">
        <v>47</v>
      </c>
      <c r="B48" s="8">
        <v>175</v>
      </c>
      <c r="C48" s="8">
        <v>64</v>
      </c>
      <c r="D48" s="8">
        <v>165</v>
      </c>
      <c r="E48" s="8">
        <v>60</v>
      </c>
    </row>
    <row r="49" spans="1:5" x14ac:dyDescent="0.3">
      <c r="A49" s="8">
        <v>48</v>
      </c>
      <c r="B49" s="8">
        <v>174</v>
      </c>
      <c r="C49" s="8">
        <v>66</v>
      </c>
      <c r="D49" s="8">
        <v>165</v>
      </c>
      <c r="E49" s="8">
        <v>60</v>
      </c>
    </row>
    <row r="50" spans="1:5" x14ac:dyDescent="0.3">
      <c r="A50" s="8">
        <v>49</v>
      </c>
      <c r="B50" s="8">
        <v>188</v>
      </c>
      <c r="C50" s="8">
        <v>75</v>
      </c>
      <c r="D50" s="8">
        <v>165</v>
      </c>
      <c r="E50" s="8">
        <v>61</v>
      </c>
    </row>
    <row r="51" spans="1:5" x14ac:dyDescent="0.3">
      <c r="A51" s="8">
        <v>50</v>
      </c>
      <c r="B51" s="8">
        <v>166</v>
      </c>
      <c r="C51" s="8">
        <v>67</v>
      </c>
      <c r="D51" s="8">
        <v>165</v>
      </c>
      <c r="E51" s="8">
        <v>61</v>
      </c>
    </row>
    <row r="52" spans="1:5" x14ac:dyDescent="0.3">
      <c r="A52" s="8">
        <v>51</v>
      </c>
      <c r="B52" s="8">
        <v>178</v>
      </c>
      <c r="C52" s="8">
        <v>73</v>
      </c>
      <c r="D52" s="8">
        <v>165</v>
      </c>
      <c r="E52" s="8">
        <v>61</v>
      </c>
    </row>
    <row r="53" spans="1:5" x14ac:dyDescent="0.3">
      <c r="A53" s="8">
        <v>52</v>
      </c>
      <c r="B53" s="8">
        <v>163</v>
      </c>
      <c r="C53" s="8">
        <v>63</v>
      </c>
      <c r="D53" s="8">
        <v>165</v>
      </c>
      <c r="E53" s="8">
        <v>61</v>
      </c>
    </row>
    <row r="54" spans="1:5" x14ac:dyDescent="0.3">
      <c r="A54" s="8">
        <v>53</v>
      </c>
      <c r="B54" s="8">
        <v>170</v>
      </c>
      <c r="C54" s="8">
        <v>75</v>
      </c>
      <c r="D54" s="8">
        <v>165</v>
      </c>
      <c r="E54" s="8">
        <v>61</v>
      </c>
    </row>
    <row r="55" spans="1:5" x14ac:dyDescent="0.3">
      <c r="A55" s="8">
        <v>54</v>
      </c>
      <c r="B55" s="8">
        <v>164</v>
      </c>
      <c r="C55" s="8">
        <v>60</v>
      </c>
      <c r="D55" s="8">
        <v>165</v>
      </c>
      <c r="E55" s="8">
        <v>61</v>
      </c>
    </row>
    <row r="56" spans="1:5" x14ac:dyDescent="0.3">
      <c r="A56" s="8">
        <v>55</v>
      </c>
      <c r="B56" s="8">
        <v>164</v>
      </c>
      <c r="C56" s="8">
        <v>56</v>
      </c>
      <c r="D56" s="8">
        <v>166</v>
      </c>
      <c r="E56" s="8">
        <v>61</v>
      </c>
    </row>
    <row r="57" spans="1:5" x14ac:dyDescent="0.3">
      <c r="A57" s="8">
        <v>56</v>
      </c>
      <c r="B57" s="8">
        <v>168</v>
      </c>
      <c r="C57" s="8">
        <v>59</v>
      </c>
      <c r="D57" s="8">
        <v>166</v>
      </c>
      <c r="E57" s="8">
        <v>61</v>
      </c>
    </row>
    <row r="58" spans="1:5" x14ac:dyDescent="0.3">
      <c r="A58" s="8">
        <v>57</v>
      </c>
      <c r="B58" s="8">
        <v>167</v>
      </c>
      <c r="C58" s="8">
        <v>61</v>
      </c>
      <c r="D58" s="8">
        <v>166</v>
      </c>
      <c r="E58" s="8">
        <v>61</v>
      </c>
    </row>
    <row r="59" spans="1:5" x14ac:dyDescent="0.3">
      <c r="A59" s="8">
        <v>58</v>
      </c>
      <c r="B59" s="8">
        <v>166</v>
      </c>
      <c r="C59" s="8">
        <v>62</v>
      </c>
      <c r="D59" s="8">
        <v>166</v>
      </c>
      <c r="E59" s="8">
        <v>61</v>
      </c>
    </row>
    <row r="60" spans="1:5" x14ac:dyDescent="0.3">
      <c r="A60" s="8">
        <v>59</v>
      </c>
      <c r="B60" s="8">
        <v>162</v>
      </c>
      <c r="C60" s="8">
        <v>65</v>
      </c>
      <c r="D60" s="8">
        <v>166</v>
      </c>
      <c r="E60" s="8">
        <v>61</v>
      </c>
    </row>
    <row r="61" spans="1:5" x14ac:dyDescent="0.3">
      <c r="A61" s="8">
        <v>60</v>
      </c>
      <c r="B61" s="8">
        <v>171</v>
      </c>
      <c r="C61" s="8">
        <v>60</v>
      </c>
      <c r="D61" s="8">
        <v>166</v>
      </c>
      <c r="E61" s="8">
        <v>61</v>
      </c>
    </row>
    <row r="62" spans="1:5" x14ac:dyDescent="0.3">
      <c r="A62" s="8">
        <v>61</v>
      </c>
      <c r="B62" s="8">
        <v>168</v>
      </c>
      <c r="C62" s="8">
        <v>62</v>
      </c>
      <c r="D62" s="8">
        <v>166</v>
      </c>
      <c r="E62" s="8">
        <v>62</v>
      </c>
    </row>
    <row r="63" spans="1:5" x14ac:dyDescent="0.3">
      <c r="A63" s="8">
        <v>62</v>
      </c>
      <c r="B63" s="8">
        <v>173</v>
      </c>
      <c r="C63" s="8">
        <v>70</v>
      </c>
      <c r="D63" s="8">
        <v>166</v>
      </c>
      <c r="E63" s="8">
        <v>62</v>
      </c>
    </row>
    <row r="64" spans="1:5" x14ac:dyDescent="0.3">
      <c r="A64" s="8">
        <v>63</v>
      </c>
      <c r="B64" s="8">
        <v>167</v>
      </c>
      <c r="C64" s="8">
        <v>61</v>
      </c>
      <c r="D64" s="8">
        <v>166</v>
      </c>
      <c r="E64" s="8">
        <v>62</v>
      </c>
    </row>
    <row r="65" spans="1:5" x14ac:dyDescent="0.3">
      <c r="A65" s="8">
        <v>64</v>
      </c>
      <c r="B65" s="8">
        <v>170</v>
      </c>
      <c r="C65" s="8">
        <v>74</v>
      </c>
      <c r="D65" s="8">
        <v>166</v>
      </c>
      <c r="E65" s="8">
        <v>62</v>
      </c>
    </row>
    <row r="66" spans="1:5" x14ac:dyDescent="0.3">
      <c r="A66" s="8">
        <v>65</v>
      </c>
      <c r="B66" s="8">
        <v>171</v>
      </c>
      <c r="C66" s="8">
        <v>60</v>
      </c>
      <c r="D66" s="8">
        <v>167</v>
      </c>
      <c r="E66" s="8">
        <v>62</v>
      </c>
    </row>
    <row r="67" spans="1:5" x14ac:dyDescent="0.3">
      <c r="A67" s="8">
        <v>66</v>
      </c>
      <c r="B67" s="8">
        <v>173</v>
      </c>
      <c r="C67" s="8">
        <v>66</v>
      </c>
      <c r="D67" s="8">
        <v>167</v>
      </c>
      <c r="E67" s="8">
        <v>62</v>
      </c>
    </row>
    <row r="68" spans="1:5" x14ac:dyDescent="0.3">
      <c r="A68" s="8">
        <v>67</v>
      </c>
      <c r="B68" s="8">
        <v>187</v>
      </c>
      <c r="C68" s="8">
        <v>84</v>
      </c>
      <c r="D68" s="8">
        <v>167</v>
      </c>
      <c r="E68" s="8">
        <v>62</v>
      </c>
    </row>
    <row r="69" spans="1:5" x14ac:dyDescent="0.3">
      <c r="A69" s="8">
        <v>68</v>
      </c>
      <c r="B69" s="8">
        <v>166</v>
      </c>
      <c r="C69" s="8">
        <v>58</v>
      </c>
      <c r="D69" s="8">
        <v>167</v>
      </c>
      <c r="E69" s="8">
        <v>62</v>
      </c>
    </row>
    <row r="70" spans="1:5" x14ac:dyDescent="0.3">
      <c r="A70" s="8">
        <v>69</v>
      </c>
      <c r="B70" s="8">
        <v>170</v>
      </c>
      <c r="C70" s="8">
        <v>75</v>
      </c>
      <c r="D70" s="8">
        <v>167</v>
      </c>
      <c r="E70" s="8">
        <v>62</v>
      </c>
    </row>
    <row r="71" spans="1:5" x14ac:dyDescent="0.3">
      <c r="A71" s="8">
        <v>70</v>
      </c>
      <c r="B71" s="8">
        <v>178</v>
      </c>
      <c r="C71" s="8">
        <v>69</v>
      </c>
      <c r="D71" s="8">
        <v>167</v>
      </c>
      <c r="E71" s="8">
        <v>62</v>
      </c>
    </row>
    <row r="72" spans="1:5" x14ac:dyDescent="0.3">
      <c r="A72" s="8">
        <v>71</v>
      </c>
      <c r="B72" s="8">
        <v>173</v>
      </c>
      <c r="C72" s="8">
        <v>64</v>
      </c>
      <c r="D72" s="8">
        <v>167</v>
      </c>
      <c r="E72" s="8">
        <v>63</v>
      </c>
    </row>
    <row r="73" spans="1:5" x14ac:dyDescent="0.3">
      <c r="A73" s="8">
        <v>72</v>
      </c>
      <c r="B73" s="8">
        <v>179</v>
      </c>
      <c r="C73" s="8">
        <v>71</v>
      </c>
      <c r="D73" s="8">
        <v>167</v>
      </c>
      <c r="E73" s="8">
        <v>63</v>
      </c>
    </row>
    <row r="74" spans="1:5" x14ac:dyDescent="0.3">
      <c r="A74" s="8">
        <v>73</v>
      </c>
      <c r="B74" s="8">
        <v>171</v>
      </c>
      <c r="C74" s="8">
        <v>64</v>
      </c>
      <c r="D74" s="8">
        <v>167</v>
      </c>
      <c r="E74" s="8">
        <v>63</v>
      </c>
    </row>
    <row r="75" spans="1:5" x14ac:dyDescent="0.3">
      <c r="A75" s="8">
        <v>74</v>
      </c>
      <c r="B75" s="8">
        <v>174</v>
      </c>
      <c r="C75" s="8">
        <v>74</v>
      </c>
      <c r="D75" s="8">
        <v>167</v>
      </c>
      <c r="E75" s="8">
        <v>63</v>
      </c>
    </row>
    <row r="76" spans="1:5" x14ac:dyDescent="0.3">
      <c r="A76" s="8">
        <v>75</v>
      </c>
      <c r="B76" s="8">
        <v>164</v>
      </c>
      <c r="C76" s="8">
        <v>70</v>
      </c>
      <c r="D76" s="8">
        <v>167</v>
      </c>
      <c r="E76" s="8">
        <v>63</v>
      </c>
    </row>
    <row r="77" spans="1:5" x14ac:dyDescent="0.3">
      <c r="A77" s="8">
        <v>76</v>
      </c>
      <c r="B77" s="8">
        <v>173</v>
      </c>
      <c r="C77" s="8">
        <v>69</v>
      </c>
      <c r="D77" s="8">
        <v>167</v>
      </c>
      <c r="E77" s="8">
        <v>63</v>
      </c>
    </row>
    <row r="78" spans="1:5" x14ac:dyDescent="0.3">
      <c r="A78" s="8">
        <v>77</v>
      </c>
      <c r="B78" s="8">
        <v>168</v>
      </c>
      <c r="C78" s="8">
        <v>64</v>
      </c>
      <c r="D78" s="8">
        <v>167</v>
      </c>
      <c r="E78" s="8">
        <v>63</v>
      </c>
    </row>
    <row r="79" spans="1:5" x14ac:dyDescent="0.3">
      <c r="A79" s="8">
        <v>78</v>
      </c>
      <c r="B79" s="8">
        <v>166</v>
      </c>
      <c r="C79" s="8">
        <v>55</v>
      </c>
      <c r="D79" s="8">
        <v>167</v>
      </c>
      <c r="E79" s="8">
        <v>63</v>
      </c>
    </row>
    <row r="80" spans="1:5" x14ac:dyDescent="0.3">
      <c r="A80" s="8">
        <v>79</v>
      </c>
      <c r="B80" s="8">
        <v>177</v>
      </c>
      <c r="C80" s="8">
        <v>67</v>
      </c>
      <c r="D80" s="8">
        <v>168</v>
      </c>
      <c r="E80" s="8">
        <v>63</v>
      </c>
    </row>
    <row r="81" spans="1:5" x14ac:dyDescent="0.3">
      <c r="A81" s="8">
        <v>80</v>
      </c>
      <c r="B81" s="8">
        <v>170</v>
      </c>
      <c r="C81" s="8">
        <v>61</v>
      </c>
      <c r="D81" s="8">
        <v>168</v>
      </c>
      <c r="E81" s="8">
        <v>63</v>
      </c>
    </row>
    <row r="82" spans="1:5" x14ac:dyDescent="0.3">
      <c r="A82" s="8">
        <v>81</v>
      </c>
      <c r="B82" s="8">
        <v>167</v>
      </c>
      <c r="C82" s="8">
        <v>63</v>
      </c>
      <c r="D82" s="8">
        <v>168</v>
      </c>
      <c r="E82" s="8">
        <v>63</v>
      </c>
    </row>
    <row r="83" spans="1:5" x14ac:dyDescent="0.3">
      <c r="A83" s="8">
        <v>82</v>
      </c>
      <c r="B83" s="8">
        <v>174</v>
      </c>
      <c r="C83" s="8">
        <v>75</v>
      </c>
      <c r="D83" s="8">
        <v>168</v>
      </c>
      <c r="E83" s="8">
        <v>63</v>
      </c>
    </row>
    <row r="84" spans="1:5" x14ac:dyDescent="0.3">
      <c r="A84" s="8">
        <v>83</v>
      </c>
      <c r="B84" s="8">
        <v>164</v>
      </c>
      <c r="C84" s="8">
        <v>59</v>
      </c>
      <c r="D84" s="8">
        <v>168</v>
      </c>
      <c r="E84" s="8">
        <v>63</v>
      </c>
    </row>
    <row r="85" spans="1:5" x14ac:dyDescent="0.3">
      <c r="A85" s="8">
        <v>84</v>
      </c>
      <c r="B85" s="8">
        <v>164</v>
      </c>
      <c r="C85" s="8">
        <v>62</v>
      </c>
      <c r="D85" s="8">
        <v>168</v>
      </c>
      <c r="E85" s="8">
        <v>64</v>
      </c>
    </row>
    <row r="86" spans="1:5" x14ac:dyDescent="0.3">
      <c r="A86" s="8">
        <v>85</v>
      </c>
      <c r="B86" s="8">
        <v>178</v>
      </c>
      <c r="C86" s="8">
        <v>60</v>
      </c>
      <c r="D86" s="8">
        <v>168</v>
      </c>
      <c r="E86" s="8">
        <v>64</v>
      </c>
    </row>
    <row r="87" spans="1:5" x14ac:dyDescent="0.3">
      <c r="A87" s="8">
        <v>86</v>
      </c>
      <c r="B87" s="8">
        <v>173</v>
      </c>
      <c r="C87" s="8">
        <v>66</v>
      </c>
      <c r="D87" s="8">
        <v>168</v>
      </c>
      <c r="E87" s="8">
        <v>64</v>
      </c>
    </row>
    <row r="88" spans="1:5" x14ac:dyDescent="0.3">
      <c r="A88" s="8">
        <v>87</v>
      </c>
      <c r="B88" s="8">
        <v>179</v>
      </c>
      <c r="C88" s="8">
        <v>63</v>
      </c>
      <c r="D88" s="8">
        <v>168</v>
      </c>
      <c r="E88" s="8">
        <v>64</v>
      </c>
    </row>
    <row r="89" spans="1:5" x14ac:dyDescent="0.3">
      <c r="A89" s="8">
        <v>88</v>
      </c>
      <c r="B89" s="8">
        <v>165</v>
      </c>
      <c r="C89" s="8">
        <v>62</v>
      </c>
      <c r="D89" s="8">
        <v>168</v>
      </c>
      <c r="E89" s="8">
        <v>64</v>
      </c>
    </row>
    <row r="90" spans="1:5" x14ac:dyDescent="0.3">
      <c r="A90" s="8">
        <v>89</v>
      </c>
      <c r="B90" s="8">
        <v>171</v>
      </c>
      <c r="C90" s="8">
        <v>66</v>
      </c>
      <c r="D90" s="8">
        <v>168</v>
      </c>
      <c r="E90" s="8">
        <v>64</v>
      </c>
    </row>
    <row r="91" spans="1:5" x14ac:dyDescent="0.3">
      <c r="A91" s="8">
        <v>90</v>
      </c>
      <c r="B91" s="8">
        <v>171</v>
      </c>
      <c r="C91" s="8">
        <v>63</v>
      </c>
      <c r="D91" s="8">
        <v>168</v>
      </c>
      <c r="E91" s="8">
        <v>64</v>
      </c>
    </row>
    <row r="92" spans="1:5" x14ac:dyDescent="0.3">
      <c r="A92" s="8">
        <v>91</v>
      </c>
      <c r="B92" s="8">
        <v>170</v>
      </c>
      <c r="C92" s="8">
        <v>70</v>
      </c>
      <c r="D92" s="8">
        <v>168</v>
      </c>
      <c r="E92" s="8">
        <v>64</v>
      </c>
    </row>
    <row r="93" spans="1:5" x14ac:dyDescent="0.3">
      <c r="A93" s="8">
        <v>92</v>
      </c>
      <c r="B93" s="8">
        <v>170</v>
      </c>
      <c r="C93" s="8">
        <v>67</v>
      </c>
      <c r="D93" s="8">
        <v>169</v>
      </c>
      <c r="E93" s="8">
        <v>64</v>
      </c>
    </row>
    <row r="94" spans="1:5" x14ac:dyDescent="0.3">
      <c r="A94" s="8">
        <v>93</v>
      </c>
      <c r="B94" s="8">
        <v>165</v>
      </c>
      <c r="C94" s="8">
        <v>59</v>
      </c>
      <c r="D94" s="8">
        <v>169</v>
      </c>
      <c r="E94" s="8">
        <v>64</v>
      </c>
    </row>
    <row r="95" spans="1:5" x14ac:dyDescent="0.3">
      <c r="A95" s="8">
        <v>94</v>
      </c>
      <c r="B95" s="8">
        <v>156</v>
      </c>
      <c r="C95" s="8">
        <v>53</v>
      </c>
      <c r="D95" s="8">
        <v>169</v>
      </c>
      <c r="E95" s="8">
        <v>64</v>
      </c>
    </row>
    <row r="96" spans="1:5" x14ac:dyDescent="0.3">
      <c r="A96" s="8">
        <v>95</v>
      </c>
      <c r="B96" s="8">
        <v>164</v>
      </c>
      <c r="C96" s="8">
        <v>60</v>
      </c>
      <c r="D96" s="8">
        <v>169</v>
      </c>
      <c r="E96" s="8">
        <v>64</v>
      </c>
    </row>
    <row r="97" spans="1:5" x14ac:dyDescent="0.3">
      <c r="A97" s="8">
        <v>96</v>
      </c>
      <c r="B97" s="8">
        <v>158</v>
      </c>
      <c r="C97" s="8">
        <v>57</v>
      </c>
      <c r="D97" s="8">
        <v>169</v>
      </c>
      <c r="E97" s="8">
        <v>64</v>
      </c>
    </row>
    <row r="98" spans="1:5" x14ac:dyDescent="0.3">
      <c r="A98" s="8">
        <v>97</v>
      </c>
      <c r="B98" s="8">
        <v>165</v>
      </c>
      <c r="C98" s="8">
        <v>68</v>
      </c>
      <c r="D98" s="8">
        <v>169</v>
      </c>
      <c r="E98" s="8">
        <v>64</v>
      </c>
    </row>
    <row r="99" spans="1:5" x14ac:dyDescent="0.3">
      <c r="A99" s="8">
        <v>98</v>
      </c>
      <c r="B99" s="8">
        <v>172</v>
      </c>
      <c r="C99" s="8">
        <v>67</v>
      </c>
      <c r="D99" s="8">
        <v>169</v>
      </c>
      <c r="E99" s="8">
        <v>64</v>
      </c>
    </row>
    <row r="100" spans="1:5" x14ac:dyDescent="0.3">
      <c r="A100" s="8">
        <v>99</v>
      </c>
      <c r="B100" s="8">
        <v>178</v>
      </c>
      <c r="C100" s="8">
        <v>75</v>
      </c>
      <c r="D100" s="8">
        <v>169</v>
      </c>
      <c r="E100" s="8">
        <v>65</v>
      </c>
    </row>
    <row r="101" spans="1:5" x14ac:dyDescent="0.3">
      <c r="A101" s="8">
        <v>100</v>
      </c>
      <c r="B101" s="8">
        <v>159</v>
      </c>
      <c r="C101" s="8">
        <v>61</v>
      </c>
      <c r="D101" s="8">
        <v>169</v>
      </c>
      <c r="E101" s="8">
        <v>65</v>
      </c>
    </row>
    <row r="102" spans="1:5" x14ac:dyDescent="0.3">
      <c r="A102" s="8">
        <v>101</v>
      </c>
      <c r="B102" s="8">
        <v>167</v>
      </c>
      <c r="C102" s="8">
        <v>61</v>
      </c>
      <c r="D102" s="8">
        <v>169</v>
      </c>
      <c r="E102" s="8">
        <v>65</v>
      </c>
    </row>
    <row r="103" spans="1:5" x14ac:dyDescent="0.3">
      <c r="A103" s="8">
        <v>102</v>
      </c>
      <c r="B103" s="8">
        <v>174</v>
      </c>
      <c r="C103" s="8">
        <v>66</v>
      </c>
      <c r="D103" s="8">
        <v>169</v>
      </c>
      <c r="E103" s="8">
        <v>65</v>
      </c>
    </row>
    <row r="104" spans="1:5" x14ac:dyDescent="0.3">
      <c r="A104" s="8">
        <v>103</v>
      </c>
      <c r="B104" s="8">
        <v>175</v>
      </c>
      <c r="C104" s="8">
        <v>80</v>
      </c>
      <c r="D104" s="8">
        <v>170</v>
      </c>
      <c r="E104" s="8">
        <v>65</v>
      </c>
    </row>
    <row r="105" spans="1:5" x14ac:dyDescent="0.3">
      <c r="A105" s="8">
        <v>104</v>
      </c>
      <c r="B105" s="8">
        <v>167</v>
      </c>
      <c r="C105" s="8">
        <v>64</v>
      </c>
      <c r="D105" s="8">
        <v>170</v>
      </c>
      <c r="E105" s="8">
        <v>65</v>
      </c>
    </row>
    <row r="106" spans="1:5" x14ac:dyDescent="0.3">
      <c r="A106" s="8">
        <v>105</v>
      </c>
      <c r="B106" s="8">
        <v>180</v>
      </c>
      <c r="C106" s="8">
        <v>75</v>
      </c>
      <c r="D106" s="8">
        <v>170</v>
      </c>
      <c r="E106" s="8">
        <v>65</v>
      </c>
    </row>
    <row r="107" spans="1:5" x14ac:dyDescent="0.3">
      <c r="A107" s="8">
        <v>106</v>
      </c>
      <c r="B107" s="8">
        <v>166</v>
      </c>
      <c r="C107" s="8">
        <v>63</v>
      </c>
      <c r="D107" s="8">
        <v>170</v>
      </c>
      <c r="E107" s="8">
        <v>65</v>
      </c>
    </row>
    <row r="108" spans="1:5" x14ac:dyDescent="0.3">
      <c r="A108" s="8">
        <v>107</v>
      </c>
      <c r="B108" s="8">
        <v>176</v>
      </c>
      <c r="C108" s="8">
        <v>71</v>
      </c>
      <c r="D108" s="8">
        <v>170</v>
      </c>
      <c r="E108" s="8">
        <v>66</v>
      </c>
    </row>
    <row r="109" spans="1:5" x14ac:dyDescent="0.3">
      <c r="A109" s="8">
        <v>108</v>
      </c>
      <c r="B109" s="8">
        <v>174</v>
      </c>
      <c r="C109" s="8">
        <v>69</v>
      </c>
      <c r="D109" s="8">
        <v>170</v>
      </c>
      <c r="E109" s="8">
        <v>66</v>
      </c>
    </row>
    <row r="110" spans="1:5" x14ac:dyDescent="0.3">
      <c r="A110" s="8">
        <v>109</v>
      </c>
      <c r="B110" s="8">
        <v>169</v>
      </c>
      <c r="C110" s="8">
        <v>71</v>
      </c>
      <c r="D110" s="8">
        <v>170</v>
      </c>
      <c r="E110" s="8">
        <v>66</v>
      </c>
    </row>
    <row r="111" spans="1:5" x14ac:dyDescent="0.3">
      <c r="A111" s="8">
        <v>110</v>
      </c>
      <c r="B111" s="8">
        <v>177</v>
      </c>
      <c r="C111" s="8">
        <v>78</v>
      </c>
      <c r="D111" s="8">
        <v>170</v>
      </c>
      <c r="E111" s="8">
        <v>66</v>
      </c>
    </row>
    <row r="112" spans="1:5" x14ac:dyDescent="0.3">
      <c r="A112" s="8">
        <v>111</v>
      </c>
      <c r="B112" s="8">
        <v>167</v>
      </c>
      <c r="C112" s="8">
        <v>65</v>
      </c>
      <c r="D112" s="8">
        <v>170</v>
      </c>
      <c r="E112" s="8">
        <v>66</v>
      </c>
    </row>
    <row r="113" spans="1:5" x14ac:dyDescent="0.3">
      <c r="A113" s="8">
        <v>112</v>
      </c>
      <c r="B113" s="8">
        <v>170</v>
      </c>
      <c r="C113" s="8">
        <v>69</v>
      </c>
      <c r="D113" s="8">
        <v>170</v>
      </c>
      <c r="E113" s="8">
        <v>66</v>
      </c>
    </row>
    <row r="114" spans="1:5" x14ac:dyDescent="0.3">
      <c r="A114" s="8">
        <v>113</v>
      </c>
      <c r="B114" s="8">
        <v>158</v>
      </c>
      <c r="C114" s="8">
        <v>61</v>
      </c>
      <c r="D114" s="8">
        <v>170</v>
      </c>
      <c r="E114" s="8">
        <v>66</v>
      </c>
    </row>
    <row r="115" spans="1:5" x14ac:dyDescent="0.3">
      <c r="A115" s="8">
        <v>114</v>
      </c>
      <c r="B115" s="8">
        <v>171</v>
      </c>
      <c r="C115" s="8">
        <v>62</v>
      </c>
      <c r="D115" s="8">
        <v>170</v>
      </c>
      <c r="E115" s="8">
        <v>66</v>
      </c>
    </row>
    <row r="116" spans="1:5" x14ac:dyDescent="0.3">
      <c r="A116" s="8">
        <v>115</v>
      </c>
      <c r="B116" s="8">
        <v>176</v>
      </c>
      <c r="C116" s="8">
        <v>60</v>
      </c>
      <c r="D116" s="8">
        <v>170</v>
      </c>
      <c r="E116" s="8">
        <v>66</v>
      </c>
    </row>
    <row r="117" spans="1:5" x14ac:dyDescent="0.3">
      <c r="A117" s="8">
        <v>116</v>
      </c>
      <c r="B117" s="8">
        <v>172</v>
      </c>
      <c r="C117" s="8">
        <v>64</v>
      </c>
      <c r="D117" s="8">
        <v>170</v>
      </c>
      <c r="E117" s="8">
        <v>66</v>
      </c>
    </row>
    <row r="118" spans="1:5" x14ac:dyDescent="0.3">
      <c r="A118" s="8">
        <v>117</v>
      </c>
      <c r="B118" s="8">
        <v>165</v>
      </c>
      <c r="C118" s="8">
        <v>60</v>
      </c>
      <c r="D118" s="8">
        <v>170</v>
      </c>
      <c r="E118" s="8">
        <v>66</v>
      </c>
    </row>
    <row r="119" spans="1:5" x14ac:dyDescent="0.3">
      <c r="A119" s="8">
        <v>118</v>
      </c>
      <c r="B119" s="8">
        <v>178</v>
      </c>
      <c r="C119" s="8">
        <v>71</v>
      </c>
      <c r="D119" s="8">
        <v>171</v>
      </c>
      <c r="E119" s="8">
        <v>66</v>
      </c>
    </row>
    <row r="120" spans="1:5" x14ac:dyDescent="0.3">
      <c r="A120" s="8">
        <v>119</v>
      </c>
      <c r="B120" s="8">
        <v>157</v>
      </c>
      <c r="C120" s="8">
        <v>60</v>
      </c>
      <c r="D120" s="8">
        <v>171</v>
      </c>
      <c r="E120" s="8">
        <v>66</v>
      </c>
    </row>
    <row r="121" spans="1:5" x14ac:dyDescent="0.3">
      <c r="A121" s="8">
        <v>120</v>
      </c>
      <c r="B121" s="8">
        <v>169</v>
      </c>
      <c r="C121" s="8">
        <v>65</v>
      </c>
      <c r="D121" s="8">
        <v>171</v>
      </c>
      <c r="E121" s="8">
        <v>66</v>
      </c>
    </row>
    <row r="122" spans="1:5" x14ac:dyDescent="0.3">
      <c r="A122" s="8">
        <v>121</v>
      </c>
      <c r="B122" s="8">
        <v>169</v>
      </c>
      <c r="C122" s="8">
        <v>62</v>
      </c>
      <c r="D122" s="8">
        <v>171</v>
      </c>
      <c r="E122" s="8">
        <v>66</v>
      </c>
    </row>
    <row r="123" spans="1:5" x14ac:dyDescent="0.3">
      <c r="A123" s="8">
        <v>122</v>
      </c>
      <c r="B123" s="8">
        <v>167</v>
      </c>
      <c r="C123" s="8">
        <v>63</v>
      </c>
      <c r="D123" s="8">
        <v>171</v>
      </c>
      <c r="E123" s="8">
        <v>66</v>
      </c>
    </row>
    <row r="124" spans="1:5" x14ac:dyDescent="0.3">
      <c r="A124" s="8">
        <v>123</v>
      </c>
      <c r="B124" s="8">
        <v>177</v>
      </c>
      <c r="C124" s="8">
        <v>67</v>
      </c>
      <c r="D124" s="8">
        <v>171</v>
      </c>
      <c r="E124" s="8">
        <v>66</v>
      </c>
    </row>
    <row r="125" spans="1:5" x14ac:dyDescent="0.3">
      <c r="A125" s="8">
        <v>124</v>
      </c>
      <c r="B125" s="8">
        <v>159</v>
      </c>
      <c r="C125" s="8">
        <v>61</v>
      </c>
      <c r="D125" s="8">
        <v>171</v>
      </c>
      <c r="E125" s="8">
        <v>66</v>
      </c>
    </row>
    <row r="126" spans="1:5" x14ac:dyDescent="0.3">
      <c r="A126" s="8">
        <v>125</v>
      </c>
      <c r="B126" s="8">
        <v>172</v>
      </c>
      <c r="C126" s="8">
        <v>69</v>
      </c>
      <c r="D126" s="8">
        <v>171</v>
      </c>
      <c r="E126" s="8">
        <v>67</v>
      </c>
    </row>
    <row r="127" spans="1:5" x14ac:dyDescent="0.3">
      <c r="A127" s="8">
        <v>126</v>
      </c>
      <c r="B127" s="8">
        <v>167</v>
      </c>
      <c r="C127" s="8">
        <v>65</v>
      </c>
      <c r="D127" s="8">
        <v>171</v>
      </c>
      <c r="E127" s="8">
        <v>67</v>
      </c>
    </row>
    <row r="128" spans="1:5" x14ac:dyDescent="0.3">
      <c r="A128" s="8">
        <v>127</v>
      </c>
      <c r="B128" s="8">
        <v>164</v>
      </c>
      <c r="C128" s="8">
        <v>70</v>
      </c>
      <c r="D128" s="8">
        <v>171</v>
      </c>
      <c r="E128" s="8">
        <v>67</v>
      </c>
    </row>
    <row r="129" spans="1:5" x14ac:dyDescent="0.3">
      <c r="A129" s="8">
        <v>128</v>
      </c>
      <c r="B129" s="8">
        <v>174</v>
      </c>
      <c r="C129" s="8">
        <v>74</v>
      </c>
      <c r="D129" s="8">
        <v>172</v>
      </c>
      <c r="E129" s="8">
        <v>67</v>
      </c>
    </row>
    <row r="130" spans="1:5" x14ac:dyDescent="0.3">
      <c r="A130" s="8">
        <v>129</v>
      </c>
      <c r="B130" s="8">
        <v>176</v>
      </c>
      <c r="C130" s="8">
        <v>75</v>
      </c>
      <c r="D130" s="8">
        <v>172</v>
      </c>
      <c r="E130" s="8">
        <v>67</v>
      </c>
    </row>
    <row r="131" spans="1:5" x14ac:dyDescent="0.3">
      <c r="A131" s="8">
        <v>130</v>
      </c>
      <c r="B131" s="8">
        <v>159</v>
      </c>
      <c r="C131" s="8">
        <v>48</v>
      </c>
      <c r="D131" s="8">
        <v>172</v>
      </c>
      <c r="E131" s="8">
        <v>67</v>
      </c>
    </row>
    <row r="132" spans="1:5" x14ac:dyDescent="0.3">
      <c r="A132" s="8">
        <v>131</v>
      </c>
      <c r="B132" s="8">
        <v>169</v>
      </c>
      <c r="C132" s="8">
        <v>67</v>
      </c>
      <c r="D132" s="8">
        <v>172</v>
      </c>
      <c r="E132" s="8">
        <v>67</v>
      </c>
    </row>
    <row r="133" spans="1:5" x14ac:dyDescent="0.3">
      <c r="A133" s="8">
        <v>132</v>
      </c>
      <c r="B133" s="8">
        <v>167</v>
      </c>
      <c r="C133" s="8">
        <v>57</v>
      </c>
      <c r="D133" s="8">
        <v>172</v>
      </c>
      <c r="E133" s="8">
        <v>67</v>
      </c>
    </row>
    <row r="134" spans="1:5" x14ac:dyDescent="0.3">
      <c r="A134" s="8">
        <v>133</v>
      </c>
      <c r="B134" s="8">
        <v>157</v>
      </c>
      <c r="C134" s="8">
        <v>53</v>
      </c>
      <c r="D134" s="8">
        <v>172</v>
      </c>
      <c r="E134" s="8">
        <v>67</v>
      </c>
    </row>
    <row r="135" spans="1:5" x14ac:dyDescent="0.3">
      <c r="A135" s="8">
        <v>134</v>
      </c>
      <c r="B135" s="8">
        <v>175</v>
      </c>
      <c r="C135" s="8">
        <v>66</v>
      </c>
      <c r="D135" s="8">
        <v>172</v>
      </c>
      <c r="E135" s="8">
        <v>67</v>
      </c>
    </row>
    <row r="136" spans="1:5" x14ac:dyDescent="0.3">
      <c r="A136" s="8">
        <v>135</v>
      </c>
      <c r="B136" s="8">
        <v>165</v>
      </c>
      <c r="C136" s="8">
        <v>60</v>
      </c>
      <c r="D136" s="8">
        <v>173</v>
      </c>
      <c r="E136" s="8">
        <v>67</v>
      </c>
    </row>
    <row r="137" spans="1:5" x14ac:dyDescent="0.3">
      <c r="A137" s="8">
        <v>136</v>
      </c>
      <c r="B137" s="8">
        <v>168</v>
      </c>
      <c r="C137" s="8">
        <v>62</v>
      </c>
      <c r="D137" s="8">
        <v>173</v>
      </c>
      <c r="E137" s="8">
        <v>67</v>
      </c>
    </row>
    <row r="138" spans="1:5" x14ac:dyDescent="0.3">
      <c r="A138" s="8">
        <v>137</v>
      </c>
      <c r="B138" s="8">
        <v>172</v>
      </c>
      <c r="C138" s="8">
        <v>67</v>
      </c>
      <c r="D138" s="8">
        <v>173</v>
      </c>
      <c r="E138" s="8">
        <v>67</v>
      </c>
    </row>
    <row r="139" spans="1:5" x14ac:dyDescent="0.3">
      <c r="A139" s="8">
        <v>138</v>
      </c>
      <c r="B139" s="8">
        <v>173</v>
      </c>
      <c r="C139" s="8">
        <v>66</v>
      </c>
      <c r="D139" s="8">
        <v>173</v>
      </c>
      <c r="E139" s="8">
        <v>67</v>
      </c>
    </row>
    <row r="140" spans="1:5" x14ac:dyDescent="0.3">
      <c r="A140" s="8">
        <v>139</v>
      </c>
      <c r="B140" s="8">
        <v>167</v>
      </c>
      <c r="C140" s="8">
        <v>68</v>
      </c>
      <c r="D140" s="8">
        <v>173</v>
      </c>
      <c r="E140" s="8">
        <v>67</v>
      </c>
    </row>
    <row r="141" spans="1:5" x14ac:dyDescent="0.3">
      <c r="A141" s="8">
        <v>140</v>
      </c>
      <c r="B141" s="8">
        <v>163</v>
      </c>
      <c r="C141" s="8">
        <v>54</v>
      </c>
      <c r="D141" s="8">
        <v>173</v>
      </c>
      <c r="E141" s="8">
        <v>67</v>
      </c>
    </row>
    <row r="142" spans="1:5" x14ac:dyDescent="0.3">
      <c r="A142" s="8">
        <v>141</v>
      </c>
      <c r="B142" s="8">
        <v>166</v>
      </c>
      <c r="C142" s="8">
        <v>63</v>
      </c>
      <c r="D142" s="8">
        <v>173</v>
      </c>
      <c r="E142" s="8">
        <v>68</v>
      </c>
    </row>
    <row r="143" spans="1:5" x14ac:dyDescent="0.3">
      <c r="A143" s="8">
        <v>142</v>
      </c>
      <c r="B143" s="8">
        <v>168</v>
      </c>
      <c r="C143" s="8">
        <v>67</v>
      </c>
      <c r="D143" s="8">
        <v>173</v>
      </c>
      <c r="E143" s="8">
        <v>68</v>
      </c>
    </row>
    <row r="144" spans="1:5" x14ac:dyDescent="0.3">
      <c r="A144" s="8">
        <v>143</v>
      </c>
      <c r="B144" s="8">
        <v>169</v>
      </c>
      <c r="C144" s="8">
        <v>64</v>
      </c>
      <c r="D144" s="8">
        <v>173</v>
      </c>
      <c r="E144" s="8">
        <v>68</v>
      </c>
    </row>
    <row r="145" spans="1:5" x14ac:dyDescent="0.3">
      <c r="A145" s="8">
        <v>144</v>
      </c>
      <c r="B145" s="8">
        <v>177</v>
      </c>
      <c r="C145" s="8">
        <v>67</v>
      </c>
      <c r="D145" s="8">
        <v>173</v>
      </c>
      <c r="E145" s="8">
        <v>68</v>
      </c>
    </row>
    <row r="146" spans="1:5" x14ac:dyDescent="0.3">
      <c r="A146" s="8">
        <v>145</v>
      </c>
      <c r="B146" s="8">
        <v>170</v>
      </c>
      <c r="C146" s="8">
        <v>61</v>
      </c>
      <c r="D146" s="8">
        <v>173</v>
      </c>
      <c r="E146" s="8">
        <v>68</v>
      </c>
    </row>
    <row r="147" spans="1:5" x14ac:dyDescent="0.3">
      <c r="A147" s="8">
        <v>146</v>
      </c>
      <c r="B147" s="8">
        <v>170</v>
      </c>
      <c r="C147" s="8">
        <v>69</v>
      </c>
      <c r="D147" s="8">
        <v>173</v>
      </c>
      <c r="E147" s="8">
        <v>68</v>
      </c>
    </row>
    <row r="148" spans="1:5" x14ac:dyDescent="0.3">
      <c r="A148" s="8">
        <v>147</v>
      </c>
      <c r="B148" s="8">
        <v>176</v>
      </c>
      <c r="C148" s="8">
        <v>62</v>
      </c>
      <c r="D148" s="8">
        <v>173</v>
      </c>
      <c r="E148" s="8">
        <v>68</v>
      </c>
    </row>
    <row r="149" spans="1:5" x14ac:dyDescent="0.3">
      <c r="A149" s="8">
        <v>148</v>
      </c>
      <c r="B149" s="8">
        <v>165</v>
      </c>
      <c r="C149" s="8">
        <v>72</v>
      </c>
      <c r="D149" s="8">
        <v>173</v>
      </c>
      <c r="E149" s="8">
        <v>68</v>
      </c>
    </row>
    <row r="150" spans="1:5" x14ac:dyDescent="0.3">
      <c r="A150" s="8">
        <v>149</v>
      </c>
      <c r="B150" s="8">
        <v>182</v>
      </c>
      <c r="C150" s="8">
        <v>66</v>
      </c>
      <c r="D150" s="8">
        <v>174</v>
      </c>
      <c r="E150" s="8">
        <v>69</v>
      </c>
    </row>
    <row r="151" spans="1:5" x14ac:dyDescent="0.3">
      <c r="A151" s="8">
        <v>150</v>
      </c>
      <c r="B151" s="8">
        <v>173</v>
      </c>
      <c r="C151" s="8">
        <v>65</v>
      </c>
      <c r="D151" s="8">
        <v>174</v>
      </c>
      <c r="E151" s="8">
        <v>69</v>
      </c>
    </row>
    <row r="152" spans="1:5" x14ac:dyDescent="0.3">
      <c r="A152" s="8">
        <v>151</v>
      </c>
      <c r="B152" s="8">
        <v>170</v>
      </c>
      <c r="C152" s="8">
        <v>66</v>
      </c>
      <c r="D152" s="8">
        <v>174</v>
      </c>
      <c r="E152" s="8">
        <v>69</v>
      </c>
    </row>
    <row r="153" spans="1:5" x14ac:dyDescent="0.3">
      <c r="A153" s="8">
        <v>152</v>
      </c>
      <c r="B153" s="8">
        <v>174</v>
      </c>
      <c r="C153" s="8">
        <v>68</v>
      </c>
      <c r="D153" s="8">
        <v>174</v>
      </c>
      <c r="E153" s="8">
        <v>69</v>
      </c>
    </row>
    <row r="154" spans="1:5" x14ac:dyDescent="0.3">
      <c r="A154" s="8">
        <v>153</v>
      </c>
      <c r="B154" s="8">
        <v>178</v>
      </c>
      <c r="C154" s="8">
        <v>60</v>
      </c>
      <c r="D154" s="8">
        <v>174</v>
      </c>
      <c r="E154" s="8">
        <v>69</v>
      </c>
    </row>
    <row r="155" spans="1:5" x14ac:dyDescent="0.3">
      <c r="A155" s="8">
        <v>154</v>
      </c>
      <c r="B155" s="8">
        <v>178</v>
      </c>
      <c r="C155" s="8">
        <v>73</v>
      </c>
      <c r="D155" s="8">
        <v>174</v>
      </c>
      <c r="E155" s="8">
        <v>69</v>
      </c>
    </row>
    <row r="156" spans="1:5" x14ac:dyDescent="0.3">
      <c r="A156" s="8">
        <v>155</v>
      </c>
      <c r="B156" s="8">
        <v>161</v>
      </c>
      <c r="C156" s="8">
        <v>60</v>
      </c>
      <c r="D156" s="8">
        <v>174</v>
      </c>
      <c r="E156" s="8">
        <v>69</v>
      </c>
    </row>
    <row r="157" spans="1:5" x14ac:dyDescent="0.3">
      <c r="A157" s="8">
        <v>156</v>
      </c>
      <c r="B157" s="8">
        <v>173</v>
      </c>
      <c r="C157" s="8">
        <v>78</v>
      </c>
      <c r="D157" s="8">
        <v>174</v>
      </c>
      <c r="E157" s="8">
        <v>69</v>
      </c>
    </row>
    <row r="158" spans="1:5" x14ac:dyDescent="0.3">
      <c r="A158" s="8">
        <v>157</v>
      </c>
      <c r="B158" s="8">
        <v>164</v>
      </c>
      <c r="C158" s="8">
        <v>57</v>
      </c>
      <c r="D158" s="8">
        <v>174</v>
      </c>
      <c r="E158" s="8">
        <v>70</v>
      </c>
    </row>
    <row r="159" spans="1:5" x14ac:dyDescent="0.3">
      <c r="A159" s="8">
        <v>158</v>
      </c>
      <c r="B159" s="8">
        <v>176</v>
      </c>
      <c r="C159" s="8">
        <v>77</v>
      </c>
      <c r="D159" s="8">
        <v>175</v>
      </c>
      <c r="E159" s="8">
        <v>70</v>
      </c>
    </row>
    <row r="160" spans="1:5" x14ac:dyDescent="0.3">
      <c r="A160" s="8">
        <v>159</v>
      </c>
      <c r="B160" s="8">
        <v>165</v>
      </c>
      <c r="C160" s="8">
        <v>66</v>
      </c>
      <c r="D160" s="8">
        <v>175</v>
      </c>
      <c r="E160" s="8">
        <v>70</v>
      </c>
    </row>
    <row r="161" spans="1:5" x14ac:dyDescent="0.3">
      <c r="A161" s="8">
        <v>160</v>
      </c>
      <c r="B161" s="8">
        <v>174</v>
      </c>
      <c r="C161" s="8">
        <v>73</v>
      </c>
      <c r="D161" s="8">
        <v>175</v>
      </c>
      <c r="E161" s="8">
        <v>70</v>
      </c>
    </row>
    <row r="162" spans="1:5" x14ac:dyDescent="0.3">
      <c r="A162" s="8">
        <v>161</v>
      </c>
      <c r="B162" s="8">
        <v>164</v>
      </c>
      <c r="C162" s="8">
        <v>66</v>
      </c>
      <c r="D162" s="8">
        <v>175</v>
      </c>
      <c r="E162" s="8">
        <v>70</v>
      </c>
    </row>
    <row r="163" spans="1:5" x14ac:dyDescent="0.3">
      <c r="A163" s="8">
        <v>162</v>
      </c>
      <c r="B163" s="8">
        <v>169</v>
      </c>
      <c r="C163" s="8">
        <v>55</v>
      </c>
      <c r="D163" s="8">
        <v>175</v>
      </c>
      <c r="E163" s="8">
        <v>70</v>
      </c>
    </row>
    <row r="164" spans="1:5" x14ac:dyDescent="0.3">
      <c r="A164" s="8">
        <v>163</v>
      </c>
      <c r="B164" s="8">
        <v>164</v>
      </c>
      <c r="C164" s="8">
        <v>70</v>
      </c>
      <c r="D164" s="8">
        <v>175</v>
      </c>
      <c r="E164" s="8">
        <v>70</v>
      </c>
    </row>
    <row r="165" spans="1:5" x14ac:dyDescent="0.3">
      <c r="A165" s="8">
        <v>164</v>
      </c>
      <c r="B165" s="8">
        <v>178</v>
      </c>
      <c r="C165" s="8">
        <v>80</v>
      </c>
      <c r="D165" s="8">
        <v>175</v>
      </c>
      <c r="E165" s="8">
        <v>70</v>
      </c>
    </row>
    <row r="166" spans="1:5" x14ac:dyDescent="0.3">
      <c r="A166" s="8">
        <v>165</v>
      </c>
      <c r="B166" s="8">
        <v>156</v>
      </c>
      <c r="C166" s="8">
        <v>53</v>
      </c>
      <c r="D166" s="8">
        <v>176</v>
      </c>
      <c r="E166" s="8">
        <v>70</v>
      </c>
    </row>
    <row r="167" spans="1:5" x14ac:dyDescent="0.3">
      <c r="A167" s="8">
        <v>166</v>
      </c>
      <c r="B167" s="8">
        <v>165</v>
      </c>
      <c r="C167" s="8">
        <v>59</v>
      </c>
      <c r="D167" s="8">
        <v>176</v>
      </c>
      <c r="E167" s="8">
        <v>71</v>
      </c>
    </row>
    <row r="168" spans="1:5" x14ac:dyDescent="0.3">
      <c r="A168" s="8">
        <v>167</v>
      </c>
      <c r="B168" s="8">
        <v>162</v>
      </c>
      <c r="C168" s="8">
        <v>58</v>
      </c>
      <c r="D168" s="8">
        <v>176</v>
      </c>
      <c r="E168" s="8">
        <v>71</v>
      </c>
    </row>
    <row r="169" spans="1:5" x14ac:dyDescent="0.3">
      <c r="A169" s="8">
        <v>168</v>
      </c>
      <c r="B169" s="8">
        <v>167</v>
      </c>
      <c r="C169" s="8">
        <v>64</v>
      </c>
      <c r="D169" s="8">
        <v>176</v>
      </c>
      <c r="E169" s="8">
        <v>71</v>
      </c>
    </row>
    <row r="170" spans="1:5" x14ac:dyDescent="0.3">
      <c r="A170" s="8">
        <v>169</v>
      </c>
      <c r="B170" s="8">
        <v>165</v>
      </c>
      <c r="C170" s="8">
        <v>68</v>
      </c>
      <c r="D170" s="8">
        <v>176</v>
      </c>
      <c r="E170" s="8">
        <v>71</v>
      </c>
    </row>
    <row r="171" spans="1:5" x14ac:dyDescent="0.3">
      <c r="A171" s="8">
        <v>170</v>
      </c>
      <c r="B171" s="8">
        <v>177</v>
      </c>
      <c r="C171" s="8">
        <v>70</v>
      </c>
      <c r="D171" s="8">
        <v>176</v>
      </c>
      <c r="E171" s="8">
        <v>71</v>
      </c>
    </row>
    <row r="172" spans="1:5" x14ac:dyDescent="0.3">
      <c r="A172" s="8">
        <v>171</v>
      </c>
      <c r="B172" s="8">
        <v>161</v>
      </c>
      <c r="C172" s="8">
        <v>61</v>
      </c>
      <c r="D172" s="8">
        <v>176</v>
      </c>
      <c r="E172" s="8">
        <v>72</v>
      </c>
    </row>
    <row r="173" spans="1:5" x14ac:dyDescent="0.3">
      <c r="A173" s="8">
        <v>172</v>
      </c>
      <c r="B173" s="8">
        <v>163</v>
      </c>
      <c r="C173" s="8">
        <v>58</v>
      </c>
      <c r="D173" s="8">
        <v>176</v>
      </c>
      <c r="E173" s="8">
        <v>72</v>
      </c>
    </row>
    <row r="174" spans="1:5" x14ac:dyDescent="0.3">
      <c r="A174" s="8">
        <v>173</v>
      </c>
      <c r="B174" s="8">
        <v>166</v>
      </c>
      <c r="C174" s="8">
        <v>63</v>
      </c>
      <c r="D174" s="8">
        <v>177</v>
      </c>
      <c r="E174" s="8">
        <v>72</v>
      </c>
    </row>
    <row r="175" spans="1:5" x14ac:dyDescent="0.3">
      <c r="A175" s="8">
        <v>174</v>
      </c>
      <c r="B175" s="8">
        <v>182</v>
      </c>
      <c r="C175" s="8">
        <v>76</v>
      </c>
      <c r="D175" s="8">
        <v>177</v>
      </c>
      <c r="E175" s="8">
        <v>73</v>
      </c>
    </row>
    <row r="176" spans="1:5" x14ac:dyDescent="0.3">
      <c r="A176" s="8">
        <v>175</v>
      </c>
      <c r="B176" s="8">
        <v>167</v>
      </c>
      <c r="C176" s="8">
        <v>64</v>
      </c>
      <c r="D176" s="8">
        <v>177</v>
      </c>
      <c r="E176" s="8">
        <v>73</v>
      </c>
    </row>
    <row r="177" spans="1:5" x14ac:dyDescent="0.3">
      <c r="A177" s="8">
        <v>176</v>
      </c>
      <c r="B177" s="8">
        <v>167</v>
      </c>
      <c r="C177" s="8">
        <v>57</v>
      </c>
      <c r="D177" s="8">
        <v>177</v>
      </c>
      <c r="E177" s="8">
        <v>73</v>
      </c>
    </row>
    <row r="178" spans="1:5" x14ac:dyDescent="0.3">
      <c r="A178" s="8">
        <v>177</v>
      </c>
      <c r="B178" s="8">
        <v>171</v>
      </c>
      <c r="C178" s="8">
        <v>65</v>
      </c>
      <c r="D178" s="8">
        <v>177</v>
      </c>
      <c r="E178" s="8">
        <v>73</v>
      </c>
    </row>
    <row r="179" spans="1:5" x14ac:dyDescent="0.3">
      <c r="A179" s="8">
        <v>178</v>
      </c>
      <c r="B179" s="8">
        <v>182</v>
      </c>
      <c r="C179" s="8">
        <v>66</v>
      </c>
      <c r="D179" s="8">
        <v>177</v>
      </c>
      <c r="E179" s="8">
        <v>73</v>
      </c>
    </row>
    <row r="180" spans="1:5" x14ac:dyDescent="0.3">
      <c r="A180" s="8">
        <v>179</v>
      </c>
      <c r="B180" s="8">
        <v>169</v>
      </c>
      <c r="C180" s="8">
        <v>58</v>
      </c>
      <c r="D180" s="8">
        <v>178</v>
      </c>
      <c r="E180" s="8">
        <v>74</v>
      </c>
    </row>
    <row r="181" spans="1:5" x14ac:dyDescent="0.3">
      <c r="A181" s="8">
        <v>180</v>
      </c>
      <c r="B181" s="8">
        <v>172</v>
      </c>
      <c r="C181" s="8">
        <v>64</v>
      </c>
      <c r="D181" s="8">
        <v>178</v>
      </c>
      <c r="E181" s="8">
        <v>74</v>
      </c>
    </row>
    <row r="182" spans="1:5" x14ac:dyDescent="0.3">
      <c r="A182" s="8">
        <v>181</v>
      </c>
      <c r="B182" s="8">
        <v>179</v>
      </c>
      <c r="C182" s="8">
        <v>69</v>
      </c>
      <c r="D182" s="8">
        <v>178</v>
      </c>
      <c r="E182" s="8">
        <v>74</v>
      </c>
    </row>
    <row r="183" spans="1:5" x14ac:dyDescent="0.3">
      <c r="A183" s="8">
        <v>182</v>
      </c>
      <c r="B183" s="8">
        <v>179</v>
      </c>
      <c r="C183" s="8">
        <v>63</v>
      </c>
      <c r="D183" s="8">
        <v>178</v>
      </c>
      <c r="E183" s="8">
        <v>74</v>
      </c>
    </row>
    <row r="184" spans="1:5" x14ac:dyDescent="0.3">
      <c r="A184" s="8">
        <v>183</v>
      </c>
      <c r="B184" s="8">
        <v>173</v>
      </c>
      <c r="C184" s="8">
        <v>68</v>
      </c>
      <c r="D184" s="8">
        <v>178</v>
      </c>
      <c r="E184" s="8">
        <v>75</v>
      </c>
    </row>
    <row r="185" spans="1:5" x14ac:dyDescent="0.3">
      <c r="A185" s="8">
        <v>184</v>
      </c>
      <c r="B185" s="8">
        <v>169</v>
      </c>
      <c r="C185" s="8">
        <v>70</v>
      </c>
      <c r="D185" s="8">
        <v>178</v>
      </c>
      <c r="E185" s="8">
        <v>75</v>
      </c>
    </row>
    <row r="186" spans="1:5" x14ac:dyDescent="0.3">
      <c r="A186" s="8">
        <v>185</v>
      </c>
      <c r="B186" s="8">
        <v>161</v>
      </c>
      <c r="C186" s="8">
        <v>57</v>
      </c>
      <c r="D186" s="8">
        <v>178</v>
      </c>
      <c r="E186" s="8">
        <v>75</v>
      </c>
    </row>
    <row r="187" spans="1:5" x14ac:dyDescent="0.3">
      <c r="A187" s="8">
        <v>186</v>
      </c>
      <c r="B187" s="8">
        <v>165</v>
      </c>
      <c r="C187" s="8">
        <v>61</v>
      </c>
      <c r="D187" s="8">
        <v>178</v>
      </c>
      <c r="E187" s="8">
        <v>75</v>
      </c>
    </row>
    <row r="188" spans="1:5" x14ac:dyDescent="0.3">
      <c r="A188" s="8">
        <v>187</v>
      </c>
      <c r="B188" s="8">
        <v>165</v>
      </c>
      <c r="C188" s="8">
        <v>63</v>
      </c>
      <c r="D188" s="8">
        <v>178</v>
      </c>
      <c r="E188" s="8">
        <v>75</v>
      </c>
    </row>
    <row r="189" spans="1:5" x14ac:dyDescent="0.3">
      <c r="A189" s="8">
        <v>188</v>
      </c>
      <c r="B189" s="8">
        <v>162</v>
      </c>
      <c r="C189" s="8">
        <v>60</v>
      </c>
      <c r="D189" s="8">
        <v>179</v>
      </c>
      <c r="E189" s="8">
        <v>75</v>
      </c>
    </row>
    <row r="190" spans="1:5" x14ac:dyDescent="0.3">
      <c r="A190" s="8">
        <v>189</v>
      </c>
      <c r="B190" s="8">
        <v>167</v>
      </c>
      <c r="C190" s="8">
        <v>66</v>
      </c>
      <c r="D190" s="8">
        <v>179</v>
      </c>
      <c r="E190" s="8">
        <v>75</v>
      </c>
    </row>
    <row r="191" spans="1:5" x14ac:dyDescent="0.3">
      <c r="A191" s="8">
        <v>190</v>
      </c>
      <c r="B191" s="8">
        <v>168</v>
      </c>
      <c r="C191" s="8">
        <v>67</v>
      </c>
      <c r="D191" s="8">
        <v>179</v>
      </c>
      <c r="E191" s="8">
        <v>75</v>
      </c>
    </row>
    <row r="192" spans="1:5" x14ac:dyDescent="0.3">
      <c r="A192" s="8">
        <v>191</v>
      </c>
      <c r="B192" s="8">
        <v>170</v>
      </c>
      <c r="C192" s="8">
        <v>67</v>
      </c>
      <c r="D192" s="8">
        <v>179</v>
      </c>
      <c r="E192" s="8">
        <v>76</v>
      </c>
    </row>
    <row r="193" spans="1:5" x14ac:dyDescent="0.3">
      <c r="A193" s="8">
        <v>192</v>
      </c>
      <c r="B193" s="8">
        <v>162</v>
      </c>
      <c r="C193" s="8">
        <v>64</v>
      </c>
      <c r="D193" s="8">
        <v>180</v>
      </c>
      <c r="E193" s="8">
        <v>76</v>
      </c>
    </row>
    <row r="194" spans="1:5" x14ac:dyDescent="0.3">
      <c r="A194" s="8">
        <v>193</v>
      </c>
      <c r="B194" s="8">
        <v>168</v>
      </c>
      <c r="C194" s="8">
        <v>66</v>
      </c>
      <c r="D194" s="8">
        <v>181</v>
      </c>
      <c r="E194" s="8">
        <v>77</v>
      </c>
    </row>
    <row r="195" spans="1:5" x14ac:dyDescent="0.3">
      <c r="A195" s="8">
        <v>194</v>
      </c>
      <c r="B195" s="8">
        <v>163</v>
      </c>
      <c r="C195" s="8">
        <v>65</v>
      </c>
      <c r="D195" s="8">
        <v>182</v>
      </c>
      <c r="E195" s="8">
        <v>78</v>
      </c>
    </row>
    <row r="196" spans="1:5" x14ac:dyDescent="0.3">
      <c r="A196" s="8">
        <v>195</v>
      </c>
      <c r="B196" s="8">
        <v>175</v>
      </c>
      <c r="C196" s="8">
        <v>78</v>
      </c>
      <c r="D196" s="8">
        <v>182</v>
      </c>
      <c r="E196" s="8">
        <v>78</v>
      </c>
    </row>
    <row r="197" spans="1:5" x14ac:dyDescent="0.3">
      <c r="A197" s="8">
        <v>196</v>
      </c>
      <c r="B197" s="8">
        <v>163</v>
      </c>
      <c r="C197" s="8">
        <v>58</v>
      </c>
      <c r="D197" s="8">
        <v>182</v>
      </c>
      <c r="E197" s="8">
        <v>78</v>
      </c>
    </row>
    <row r="198" spans="1:5" x14ac:dyDescent="0.3">
      <c r="A198" s="8">
        <v>197</v>
      </c>
      <c r="B198" s="8">
        <v>166</v>
      </c>
      <c r="C198" s="8">
        <v>67</v>
      </c>
      <c r="D198" s="8">
        <v>184</v>
      </c>
      <c r="E198" s="8">
        <v>78</v>
      </c>
    </row>
    <row r="199" spans="1:5" x14ac:dyDescent="0.3">
      <c r="A199" s="8">
        <v>198</v>
      </c>
      <c r="B199" s="8">
        <v>166</v>
      </c>
      <c r="C199" s="8">
        <v>64</v>
      </c>
      <c r="D199" s="8">
        <v>184</v>
      </c>
      <c r="E199" s="8">
        <v>80</v>
      </c>
    </row>
    <row r="200" spans="1:5" x14ac:dyDescent="0.3">
      <c r="A200" s="8">
        <v>199</v>
      </c>
      <c r="B200" s="8">
        <v>173</v>
      </c>
      <c r="C200" s="8">
        <v>78</v>
      </c>
      <c r="D200" s="8">
        <v>187</v>
      </c>
      <c r="E200" s="8">
        <v>80</v>
      </c>
    </row>
    <row r="201" spans="1:5" x14ac:dyDescent="0.3">
      <c r="A201" s="8">
        <v>200</v>
      </c>
      <c r="B201" s="8">
        <v>166</v>
      </c>
      <c r="C201" s="8">
        <v>62</v>
      </c>
      <c r="D201" s="8">
        <v>188</v>
      </c>
      <c r="E201" s="8">
        <v>84</v>
      </c>
    </row>
  </sheetData>
  <sortState ref="E2:E201">
    <sortCondition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70" zoomScaleNormal="70" workbookViewId="0">
      <selection activeCell="J15" sqref="J15"/>
    </sheetView>
  </sheetViews>
  <sheetFormatPr defaultRowHeight="14.4" x14ac:dyDescent="0.3"/>
  <cols>
    <col min="1" max="1" width="27.6640625" style="5" customWidth="1"/>
    <col min="2" max="2" width="21" style="5" customWidth="1"/>
    <col min="3" max="3" width="8.88671875" style="5"/>
    <col min="4" max="4" width="40.109375" style="5" customWidth="1"/>
    <col min="5" max="6" width="8.88671875" style="5"/>
    <col min="7" max="7" width="9.77734375" style="5" customWidth="1"/>
    <col min="8" max="9" width="8.88671875" style="5"/>
    <col min="10" max="10" width="39.109375" style="5" customWidth="1"/>
    <col min="11" max="16384" width="8.88671875" style="5"/>
  </cols>
  <sheetData>
    <row r="1" spans="1:13" x14ac:dyDescent="0.3">
      <c r="A1" s="4" t="s">
        <v>5</v>
      </c>
      <c r="B1" s="3">
        <f>MIN('1'!B2:B201)</f>
        <v>156</v>
      </c>
      <c r="D1" s="5" t="s">
        <v>12</v>
      </c>
      <c r="J1" s="5" t="s">
        <v>13</v>
      </c>
    </row>
    <row r="2" spans="1:13" x14ac:dyDescent="0.3">
      <c r="A2" s="4" t="s">
        <v>6</v>
      </c>
      <c r="B2" s="3">
        <f>MIN('1'!C2:C201)</f>
        <v>48</v>
      </c>
      <c r="E2" s="3" t="s">
        <v>0</v>
      </c>
      <c r="F2" s="3" t="s">
        <v>14</v>
      </c>
      <c r="G2" s="3" t="s">
        <v>15</v>
      </c>
      <c r="K2" s="3" t="s">
        <v>0</v>
      </c>
      <c r="L2" s="3" t="s">
        <v>14</v>
      </c>
      <c r="M2" s="3" t="s">
        <v>15</v>
      </c>
    </row>
    <row r="3" spans="1:13" x14ac:dyDescent="0.3">
      <c r="A3" s="4" t="s">
        <v>7</v>
      </c>
      <c r="B3" s="3">
        <f>MAX('1'!B2:B201)</f>
        <v>188</v>
      </c>
      <c r="E3" s="3">
        <v>1</v>
      </c>
      <c r="F3" s="3">
        <v>156</v>
      </c>
      <c r="G3" s="3">
        <f>F3+B6</f>
        <v>159.19999999999999</v>
      </c>
      <c r="K3" s="3">
        <v>1</v>
      </c>
      <c r="L3" s="3">
        <v>48</v>
      </c>
      <c r="M3" s="3">
        <f>L3+B7</f>
        <v>51.6</v>
      </c>
    </row>
    <row r="4" spans="1:13" x14ac:dyDescent="0.3">
      <c r="A4" s="4" t="s">
        <v>8</v>
      </c>
      <c r="B4" s="3">
        <f>MAX('1'!C2:C201)</f>
        <v>84</v>
      </c>
      <c r="E4" s="3">
        <v>2</v>
      </c>
      <c r="F4" s="3">
        <f t="shared" ref="F4:F12" si="0">G3</f>
        <v>159.19999999999999</v>
      </c>
      <c r="G4" s="3">
        <f>F4+B6</f>
        <v>162.39999999999998</v>
      </c>
      <c r="K4" s="3">
        <v>2</v>
      </c>
      <c r="L4" s="3">
        <f t="shared" ref="L4:L12" si="1">M3</f>
        <v>51.6</v>
      </c>
      <c r="M4" s="3">
        <f>L4+B7</f>
        <v>55.2</v>
      </c>
    </row>
    <row r="5" spans="1:13" x14ac:dyDescent="0.3">
      <c r="A5" s="4" t="s">
        <v>9</v>
      </c>
      <c r="B5" s="3">
        <v>10</v>
      </c>
      <c r="E5" s="3">
        <v>3</v>
      </c>
      <c r="F5" s="3">
        <f t="shared" si="0"/>
        <v>162.39999999999998</v>
      </c>
      <c r="G5" s="3">
        <f>F5+B6</f>
        <v>165.59999999999997</v>
      </c>
      <c r="K5" s="3">
        <v>3</v>
      </c>
      <c r="L5" s="3">
        <f t="shared" si="1"/>
        <v>55.2</v>
      </c>
      <c r="M5" s="3">
        <f>L5+B7</f>
        <v>58.800000000000004</v>
      </c>
    </row>
    <row r="6" spans="1:13" x14ac:dyDescent="0.3">
      <c r="A6" s="4" t="s">
        <v>10</v>
      </c>
      <c r="B6" s="3">
        <f>(B3-B1)/B5</f>
        <v>3.2</v>
      </c>
      <c r="E6" s="3">
        <v>4</v>
      </c>
      <c r="F6" s="3">
        <f t="shared" si="0"/>
        <v>165.59999999999997</v>
      </c>
      <c r="G6" s="3">
        <f>F6+B6</f>
        <v>168.79999999999995</v>
      </c>
      <c r="K6" s="3">
        <v>4</v>
      </c>
      <c r="L6" s="3">
        <f t="shared" si="1"/>
        <v>58.800000000000004</v>
      </c>
      <c r="M6" s="3">
        <f>L6+B7</f>
        <v>62.400000000000006</v>
      </c>
    </row>
    <row r="7" spans="1:13" x14ac:dyDescent="0.3">
      <c r="A7" s="4" t="s">
        <v>11</v>
      </c>
      <c r="B7" s="3">
        <f>(B4-B2)/B5</f>
        <v>3.6</v>
      </c>
      <c r="E7" s="3">
        <v>5</v>
      </c>
      <c r="F7" s="3">
        <f t="shared" si="0"/>
        <v>168.79999999999995</v>
      </c>
      <c r="G7" s="3">
        <f>F7+B6</f>
        <v>171.99999999999994</v>
      </c>
      <c r="K7" s="3">
        <v>5</v>
      </c>
      <c r="L7" s="3">
        <f t="shared" si="1"/>
        <v>62.400000000000006</v>
      </c>
      <c r="M7" s="3">
        <f>L7+B7</f>
        <v>66</v>
      </c>
    </row>
    <row r="8" spans="1:13" x14ac:dyDescent="0.3">
      <c r="E8" s="3">
        <v>6</v>
      </c>
      <c r="F8" s="3">
        <f t="shared" si="0"/>
        <v>171.99999999999994</v>
      </c>
      <c r="G8" s="3">
        <f>F8+B6</f>
        <v>175.19999999999993</v>
      </c>
      <c r="K8" s="3">
        <v>6</v>
      </c>
      <c r="L8" s="3">
        <f t="shared" si="1"/>
        <v>66</v>
      </c>
      <c r="M8" s="3">
        <f>L8+B7</f>
        <v>69.599999999999994</v>
      </c>
    </row>
    <row r="9" spans="1:13" x14ac:dyDescent="0.3">
      <c r="E9" s="3">
        <v>7</v>
      </c>
      <c r="F9" s="3">
        <f t="shared" si="0"/>
        <v>175.19999999999993</v>
      </c>
      <c r="G9" s="3">
        <f>F9+B6</f>
        <v>178.39999999999992</v>
      </c>
      <c r="K9" s="3">
        <v>7</v>
      </c>
      <c r="L9" s="3">
        <f t="shared" si="1"/>
        <v>69.599999999999994</v>
      </c>
      <c r="M9" s="3">
        <f>L9+B7</f>
        <v>73.199999999999989</v>
      </c>
    </row>
    <row r="10" spans="1:13" x14ac:dyDescent="0.3">
      <c r="E10" s="3">
        <v>8</v>
      </c>
      <c r="F10" s="3">
        <f t="shared" si="0"/>
        <v>178.39999999999992</v>
      </c>
      <c r="G10" s="3">
        <f>F10+B6</f>
        <v>181.59999999999991</v>
      </c>
      <c r="K10" s="3">
        <v>8</v>
      </c>
      <c r="L10" s="3">
        <f t="shared" si="1"/>
        <v>73.199999999999989</v>
      </c>
      <c r="M10" s="3">
        <f>L10+B7</f>
        <v>76.799999999999983</v>
      </c>
    </row>
    <row r="11" spans="1:13" x14ac:dyDescent="0.3">
      <c r="E11" s="3">
        <v>9</v>
      </c>
      <c r="F11" s="3">
        <f t="shared" si="0"/>
        <v>181.59999999999991</v>
      </c>
      <c r="G11" s="3">
        <f>F11+B6</f>
        <v>184.7999999999999</v>
      </c>
      <c r="K11" s="3">
        <v>9</v>
      </c>
      <c r="L11" s="3">
        <f t="shared" si="1"/>
        <v>76.799999999999983</v>
      </c>
      <c r="M11" s="3">
        <f>L11+B7</f>
        <v>80.399999999999977</v>
      </c>
    </row>
    <row r="12" spans="1:13" x14ac:dyDescent="0.3">
      <c r="E12" s="3">
        <v>10</v>
      </c>
      <c r="F12" s="3">
        <f t="shared" si="0"/>
        <v>184.7999999999999</v>
      </c>
      <c r="G12" s="3">
        <f>F12+B6</f>
        <v>187.99999999999989</v>
      </c>
      <c r="K12" s="3">
        <v>10</v>
      </c>
      <c r="L12" s="3">
        <f t="shared" si="1"/>
        <v>80.399999999999977</v>
      </c>
      <c r="M12" s="3">
        <f>L12+B7</f>
        <v>83.999999999999972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zoomScale="70" zoomScaleNormal="70" workbookViewId="0">
      <selection activeCell="E17" sqref="E17"/>
    </sheetView>
  </sheetViews>
  <sheetFormatPr defaultRowHeight="14.4" x14ac:dyDescent="0.3"/>
  <cols>
    <col min="1" max="1" width="8.88671875" style="6"/>
    <col min="2" max="2" width="26.21875" style="6" customWidth="1"/>
    <col min="3" max="3" width="32.21875" style="6" customWidth="1"/>
    <col min="4" max="4" width="34.109375" style="6" customWidth="1"/>
    <col min="5" max="16384" width="8.88671875" style="6"/>
  </cols>
  <sheetData>
    <row r="1" spans="1:8" x14ac:dyDescent="0.3">
      <c r="A1" s="3" t="s">
        <v>0</v>
      </c>
      <c r="B1" s="3" t="s">
        <v>16</v>
      </c>
      <c r="C1" s="3" t="s">
        <v>17</v>
      </c>
      <c r="D1" s="3" t="s">
        <v>18</v>
      </c>
      <c r="E1" s="7"/>
      <c r="F1" s="7"/>
    </row>
    <row r="2" spans="1:8" x14ac:dyDescent="0.3">
      <c r="A2" s="3">
        <v>1</v>
      </c>
      <c r="B2" s="3">
        <v>156</v>
      </c>
      <c r="C2" s="3">
        <f>COUNTIF('1'!D2:D201,'3'!B2)</f>
        <v>2</v>
      </c>
      <c r="D2" s="3">
        <f>C2/'1'!G2</f>
        <v>0.01</v>
      </c>
      <c r="E2" s="7"/>
      <c r="F2" s="7"/>
      <c r="G2" s="7"/>
    </row>
    <row r="3" spans="1:8" x14ac:dyDescent="0.3">
      <c r="A3" s="3">
        <v>2</v>
      </c>
      <c r="B3" s="3">
        <v>157</v>
      </c>
      <c r="C3" s="3">
        <f>COUNTIF('1'!D2:D201,'3'!B3)</f>
        <v>2</v>
      </c>
      <c r="D3" s="3">
        <f>(C3/'1'!G2) + '3'!D2</f>
        <v>0.02</v>
      </c>
      <c r="E3" s="7"/>
      <c r="F3" s="7"/>
      <c r="G3" s="7"/>
      <c r="H3" s="7"/>
    </row>
    <row r="4" spans="1:8" x14ac:dyDescent="0.3">
      <c r="A4" s="3">
        <v>3</v>
      </c>
      <c r="B4" s="3">
        <v>158</v>
      </c>
      <c r="C4" s="3">
        <f>COUNTIF('1'!D2:D201,'3'!B4)</f>
        <v>2</v>
      </c>
      <c r="D4" s="3">
        <f>(C4/'1'!G2)+'3'!D3</f>
        <v>0.03</v>
      </c>
      <c r="E4" s="7"/>
      <c r="F4" s="7"/>
      <c r="G4" s="7"/>
      <c r="H4" s="7"/>
    </row>
    <row r="5" spans="1:8" x14ac:dyDescent="0.3">
      <c r="A5" s="3">
        <v>4</v>
      </c>
      <c r="B5" s="9">
        <v>159</v>
      </c>
      <c r="C5" s="3">
        <f>COUNTIF('1'!D2:D201,'3'!B5)</f>
        <v>6</v>
      </c>
      <c r="D5" s="3">
        <f>(C5/'1'!G2)+'3'!D4</f>
        <v>0.06</v>
      </c>
      <c r="E5" s="7"/>
      <c r="F5" s="7"/>
      <c r="G5" s="7"/>
      <c r="H5" s="7"/>
    </row>
    <row r="6" spans="1:8" x14ac:dyDescent="0.3">
      <c r="A6" s="3">
        <v>5</v>
      </c>
      <c r="B6" s="9">
        <v>160</v>
      </c>
      <c r="C6" s="3">
        <f>COUNTIF('1'!D2:D201,'3'!B6)</f>
        <v>1</v>
      </c>
      <c r="D6" s="3">
        <f>(C6/'1'!G2)+'3'!D5</f>
        <v>6.5000000000000002E-2</v>
      </c>
      <c r="E6" s="7"/>
      <c r="F6" s="7"/>
      <c r="G6" s="7"/>
      <c r="H6" s="7"/>
    </row>
    <row r="7" spans="1:8" x14ac:dyDescent="0.3">
      <c r="A7" s="3">
        <v>6</v>
      </c>
      <c r="B7" s="9">
        <v>161</v>
      </c>
      <c r="C7" s="3">
        <f>COUNTIF('1'!D2:D201,'3'!B7)</f>
        <v>6</v>
      </c>
      <c r="D7" s="3">
        <f>(C7/'1'!G2)+'3'!D6</f>
        <v>9.5000000000000001E-2</v>
      </c>
      <c r="E7" s="7"/>
      <c r="F7" s="7"/>
      <c r="G7" s="7"/>
      <c r="H7" s="7"/>
    </row>
    <row r="8" spans="1:8" x14ac:dyDescent="0.3">
      <c r="A8" s="3">
        <v>7</v>
      </c>
      <c r="B8" s="9">
        <v>162</v>
      </c>
      <c r="C8" s="3">
        <f>COUNTIF('1'!D2:D201,'3'!B8)</f>
        <v>4</v>
      </c>
      <c r="D8" s="3">
        <f>(C8/'1'!G2)+'3'!D7</f>
        <v>0.115</v>
      </c>
      <c r="E8" s="7"/>
      <c r="F8" s="7"/>
      <c r="G8" s="7"/>
      <c r="H8" s="7"/>
    </row>
    <row r="9" spans="1:8" x14ac:dyDescent="0.3">
      <c r="A9" s="3">
        <v>8</v>
      </c>
      <c r="B9" s="9">
        <v>163</v>
      </c>
      <c r="C9" s="3">
        <f>COUNTIF('1'!D2:D201,'3'!B9)</f>
        <v>5</v>
      </c>
      <c r="D9" s="3">
        <f>(C9/'1'!G2)+'3'!D8</f>
        <v>0.14000000000000001</v>
      </c>
      <c r="E9" s="7"/>
      <c r="F9" s="7"/>
      <c r="G9" s="7"/>
      <c r="H9" s="7"/>
    </row>
    <row r="10" spans="1:8" x14ac:dyDescent="0.3">
      <c r="A10" s="3">
        <v>9</v>
      </c>
      <c r="B10" s="9">
        <v>164</v>
      </c>
      <c r="C10" s="3">
        <f>COUNTIF('1'!D2:D201,'3'!B10)</f>
        <v>12</v>
      </c>
      <c r="D10" s="3">
        <f>(C10/'1'!G2)+'3'!D9</f>
        <v>0.2</v>
      </c>
      <c r="E10" s="7"/>
      <c r="F10" s="7"/>
      <c r="G10" s="7"/>
      <c r="H10" s="7"/>
    </row>
    <row r="11" spans="1:8" x14ac:dyDescent="0.3">
      <c r="A11" s="3">
        <v>10</v>
      </c>
      <c r="B11" s="9">
        <v>165</v>
      </c>
      <c r="C11" s="3">
        <f>COUNTIF('1'!D2:D201,'3'!B11)</f>
        <v>14</v>
      </c>
      <c r="D11" s="3">
        <f>(C11/'1'!G2)+'3'!D10</f>
        <v>0.27</v>
      </c>
      <c r="E11" s="7"/>
      <c r="F11" s="7"/>
      <c r="G11" s="7"/>
      <c r="H11" s="7"/>
    </row>
    <row r="12" spans="1:8" x14ac:dyDescent="0.3">
      <c r="A12" s="3">
        <v>11</v>
      </c>
      <c r="B12" s="9">
        <v>166</v>
      </c>
      <c r="C12" s="3">
        <f>COUNTIF('1'!D2:D201,'3'!B12)</f>
        <v>10</v>
      </c>
      <c r="D12" s="3">
        <f>(C12/'1'!G2)+'3'!D11</f>
        <v>0.32</v>
      </c>
      <c r="E12" s="7"/>
      <c r="F12" s="7"/>
      <c r="G12" s="7"/>
      <c r="H12" s="7"/>
    </row>
    <row r="13" spans="1:8" x14ac:dyDescent="0.3">
      <c r="A13" s="3">
        <v>12</v>
      </c>
      <c r="B13" s="9">
        <v>167</v>
      </c>
      <c r="C13" s="3">
        <f>COUNTIF('1'!D2:D201,'3'!B13)</f>
        <v>14</v>
      </c>
      <c r="D13" s="3">
        <f>(C13/'1'!G2)+'3'!D12</f>
        <v>0.39</v>
      </c>
      <c r="E13" s="7"/>
      <c r="F13" s="7"/>
      <c r="G13" s="7"/>
      <c r="H13" s="7"/>
    </row>
    <row r="14" spans="1:8" x14ac:dyDescent="0.3">
      <c r="A14" s="3">
        <v>13</v>
      </c>
      <c r="B14" s="9">
        <v>168</v>
      </c>
      <c r="C14" s="3">
        <f>COUNTIF('1'!D2:D201,'3'!B14)</f>
        <v>13</v>
      </c>
      <c r="D14" s="3">
        <f>(C14/'1'!G2)+'3'!D13</f>
        <v>0.45500000000000002</v>
      </c>
      <c r="E14" s="7"/>
      <c r="F14" s="7"/>
      <c r="G14" s="7"/>
      <c r="H14" s="7"/>
    </row>
    <row r="15" spans="1:8" x14ac:dyDescent="0.3">
      <c r="A15" s="3">
        <v>14</v>
      </c>
      <c r="B15" s="9">
        <v>169</v>
      </c>
      <c r="C15" s="3">
        <f>COUNTIF('1'!D2:D201,'3'!B15)</f>
        <v>11</v>
      </c>
      <c r="D15" s="3">
        <f>(C15/'1'!G2)+'3'!D14</f>
        <v>0.51</v>
      </c>
      <c r="E15" s="7"/>
      <c r="F15" s="7"/>
      <c r="G15" s="7"/>
      <c r="H15" s="7"/>
    </row>
    <row r="16" spans="1:8" x14ac:dyDescent="0.3">
      <c r="A16" s="3">
        <v>15</v>
      </c>
      <c r="B16" s="9">
        <v>170</v>
      </c>
      <c r="C16" s="3">
        <f>COUNTIF('1'!D2:D201,'3'!B16)</f>
        <v>15</v>
      </c>
      <c r="D16" s="3">
        <f>(C16/'1'!G2)+'3'!D15</f>
        <v>0.58499999999999996</v>
      </c>
      <c r="E16" s="7"/>
      <c r="F16" s="7"/>
      <c r="G16" s="7"/>
      <c r="H16" s="7"/>
    </row>
    <row r="17" spans="1:8" x14ac:dyDescent="0.3">
      <c r="A17" s="3">
        <v>16</v>
      </c>
      <c r="B17" s="9">
        <v>171</v>
      </c>
      <c r="C17" s="3">
        <f>COUNTIF('1'!D2:D201,'3'!B17)</f>
        <v>10</v>
      </c>
      <c r="D17" s="3">
        <f>(C17/'1'!G2)+'3'!D16</f>
        <v>0.63500000000000001</v>
      </c>
      <c r="E17" s="7"/>
      <c r="F17" s="7"/>
      <c r="G17" s="7"/>
      <c r="H17" s="7"/>
    </row>
    <row r="18" spans="1:8" x14ac:dyDescent="0.3">
      <c r="A18" s="3">
        <v>17</v>
      </c>
      <c r="B18" s="9">
        <v>172</v>
      </c>
      <c r="C18" s="3">
        <f>COUNTIF('1'!D2:D201,'3'!B18)</f>
        <v>7</v>
      </c>
      <c r="D18" s="3">
        <f>(C18/'1'!G2)+'3'!D17</f>
        <v>0.67</v>
      </c>
      <c r="E18" s="7"/>
      <c r="F18" s="7"/>
      <c r="G18" s="7"/>
      <c r="H18" s="7"/>
    </row>
    <row r="19" spans="1:8" x14ac:dyDescent="0.3">
      <c r="A19" s="3">
        <v>18</v>
      </c>
      <c r="B19" s="9">
        <v>173</v>
      </c>
      <c r="C19" s="3">
        <f>COUNTIF('1'!D2:D201,'3'!B19)</f>
        <v>14</v>
      </c>
      <c r="D19" s="3">
        <f>(C19/'1'!G2)+D18</f>
        <v>0.74</v>
      </c>
      <c r="E19" s="7"/>
      <c r="F19" s="7"/>
      <c r="G19" s="7"/>
      <c r="H19" s="7"/>
    </row>
    <row r="20" spans="1:8" x14ac:dyDescent="0.3">
      <c r="A20" s="3">
        <v>19</v>
      </c>
      <c r="B20" s="9">
        <v>174</v>
      </c>
      <c r="C20" s="3">
        <f>COUNTIF('1'!D2:D201,'3'!B20)</f>
        <v>9</v>
      </c>
      <c r="D20" s="3">
        <f>(C20/'1'!G2)+'3'!D19</f>
        <v>0.78500000000000003</v>
      </c>
      <c r="E20" s="7"/>
      <c r="F20" s="7"/>
      <c r="G20" s="7"/>
      <c r="H20" s="7"/>
    </row>
    <row r="21" spans="1:8" x14ac:dyDescent="0.3">
      <c r="A21" s="3">
        <v>20</v>
      </c>
      <c r="B21" s="9">
        <v>175</v>
      </c>
      <c r="C21" s="3">
        <f>COUNTIF('1'!D2:D201,'3'!B21)</f>
        <v>7</v>
      </c>
      <c r="D21" s="3">
        <f>(C21/'1'!G2)+'3'!D20</f>
        <v>0.82000000000000006</v>
      </c>
      <c r="E21" s="7"/>
      <c r="F21" s="7"/>
      <c r="G21" s="7"/>
      <c r="H21" s="7"/>
    </row>
    <row r="22" spans="1:8" x14ac:dyDescent="0.3">
      <c r="A22" s="3">
        <v>21</v>
      </c>
      <c r="B22" s="9">
        <v>176</v>
      </c>
      <c r="C22" s="3">
        <f>COUNTIF('1'!D2:D201,'3'!B22)</f>
        <v>8</v>
      </c>
      <c r="D22" s="3">
        <f>(C22/'1'!G2)+'3'!D21</f>
        <v>0.8600000000000001</v>
      </c>
      <c r="E22" s="7"/>
      <c r="F22" s="7"/>
      <c r="G22" s="7"/>
      <c r="H22" s="7"/>
    </row>
    <row r="23" spans="1:8" x14ac:dyDescent="0.3">
      <c r="A23" s="3">
        <v>22</v>
      </c>
      <c r="B23" s="9">
        <v>177</v>
      </c>
      <c r="C23" s="3">
        <f>COUNTIF('1'!D2:D201,'3'!B23)</f>
        <v>6</v>
      </c>
      <c r="D23" s="3">
        <f>(C23/'1'!G2)+'3'!D22</f>
        <v>0.89000000000000012</v>
      </c>
      <c r="E23" s="7"/>
      <c r="F23" s="7"/>
      <c r="G23" s="7"/>
      <c r="H23" s="7"/>
    </row>
    <row r="24" spans="1:8" x14ac:dyDescent="0.3">
      <c r="A24" s="3">
        <v>23</v>
      </c>
      <c r="B24" s="9">
        <v>178</v>
      </c>
      <c r="C24" s="3">
        <f>COUNTIF('1'!D2:D201,'3'!B24)</f>
        <v>9</v>
      </c>
      <c r="D24" s="3">
        <f>(C24/'1'!G2)+'3'!D23</f>
        <v>0.93500000000000016</v>
      </c>
      <c r="E24" s="7"/>
      <c r="F24" s="7"/>
      <c r="G24" s="7"/>
      <c r="H24" s="7"/>
    </row>
    <row r="25" spans="1:8" x14ac:dyDescent="0.3">
      <c r="A25" s="3">
        <v>24</v>
      </c>
      <c r="B25" s="9">
        <v>179</v>
      </c>
      <c r="C25" s="3">
        <f>COUNTIF('1'!D2:D201,'3'!B25)</f>
        <v>4</v>
      </c>
      <c r="D25" s="3">
        <f>(C25/'1'!G2)+'3'!D24</f>
        <v>0.95500000000000018</v>
      </c>
      <c r="E25" s="7"/>
      <c r="F25" s="7"/>
      <c r="G25" s="7"/>
      <c r="H25" s="7"/>
    </row>
    <row r="26" spans="1:8" x14ac:dyDescent="0.3">
      <c r="A26" s="3">
        <v>25</v>
      </c>
      <c r="B26" s="9">
        <v>180</v>
      </c>
      <c r="C26" s="3">
        <f>COUNTIF('1'!D2:D201,'3'!B26)</f>
        <v>1</v>
      </c>
      <c r="D26" s="3">
        <f>(C26/'1'!G2)+'3'!D25</f>
        <v>0.96000000000000019</v>
      </c>
      <c r="E26" s="7"/>
      <c r="F26" s="7"/>
      <c r="G26" s="7"/>
      <c r="H26" s="7"/>
    </row>
    <row r="27" spans="1:8" x14ac:dyDescent="0.3">
      <c r="A27" s="3">
        <v>26</v>
      </c>
      <c r="B27" s="9">
        <v>181</v>
      </c>
      <c r="C27" s="3">
        <f>COUNTIF('1'!D2:D201,'3'!B27)</f>
        <v>1</v>
      </c>
      <c r="D27" s="3">
        <f>(C27/'1'!G2)+'3'!D26</f>
        <v>0.96500000000000019</v>
      </c>
      <c r="E27" s="7"/>
      <c r="F27" s="7"/>
      <c r="G27" s="7"/>
      <c r="H27" s="7"/>
    </row>
    <row r="28" spans="1:8" x14ac:dyDescent="0.3">
      <c r="A28" s="3">
        <v>27</v>
      </c>
      <c r="B28" s="9">
        <v>182</v>
      </c>
      <c r="C28" s="3">
        <f>COUNTIF('1'!D2:D201,'3'!B28)</f>
        <v>3</v>
      </c>
      <c r="D28" s="3">
        <f>(C28/'1'!G2)+'3'!D27</f>
        <v>0.9800000000000002</v>
      </c>
      <c r="E28" s="7"/>
      <c r="F28" s="7"/>
      <c r="G28" s="7"/>
      <c r="H28" s="7"/>
    </row>
    <row r="29" spans="1:8" x14ac:dyDescent="0.3">
      <c r="A29" s="3">
        <v>28</v>
      </c>
      <c r="B29" s="9">
        <v>184</v>
      </c>
      <c r="C29" s="3">
        <f>COUNTIF('1'!D2:D201,'3'!B29)</f>
        <v>2</v>
      </c>
      <c r="D29" s="3">
        <f>(C29/'1'!G2)+'3'!D28</f>
        <v>0.99000000000000021</v>
      </c>
      <c r="E29" s="7"/>
      <c r="F29" s="7"/>
      <c r="G29" s="7"/>
      <c r="H29" s="7"/>
    </row>
    <row r="30" spans="1:8" x14ac:dyDescent="0.3">
      <c r="A30" s="3">
        <v>29</v>
      </c>
      <c r="B30" s="9">
        <v>187</v>
      </c>
      <c r="C30" s="3">
        <f>COUNTIF('1'!D2:D201,'3'!B30)</f>
        <v>1</v>
      </c>
      <c r="D30" s="3">
        <f>(C30/'1'!G2)+'3'!D29</f>
        <v>0.99500000000000022</v>
      </c>
      <c r="E30" s="7"/>
      <c r="F30" s="7"/>
      <c r="G30" s="7"/>
      <c r="H30" s="7"/>
    </row>
    <row r="31" spans="1:8" x14ac:dyDescent="0.3">
      <c r="A31" s="3">
        <v>30</v>
      </c>
      <c r="B31" s="9">
        <v>188</v>
      </c>
      <c r="C31" s="3">
        <f>COUNTIF('1'!D2:D201,'3'!B31)</f>
        <v>1</v>
      </c>
      <c r="D31" s="3">
        <f>(C31/'1'!G2)+'3'!D30</f>
        <v>1.0000000000000002</v>
      </c>
      <c r="E31" s="7"/>
      <c r="F31" s="7"/>
      <c r="G31" s="7"/>
      <c r="H31" s="7"/>
    </row>
    <row r="32" spans="1:8" x14ac:dyDescent="0.3">
      <c r="E32" s="7"/>
      <c r="F32" s="7"/>
      <c r="G32" s="7"/>
      <c r="H32" s="7"/>
    </row>
    <row r="33" spans="5:8" x14ac:dyDescent="0.3">
      <c r="E33" s="7"/>
      <c r="F33" s="7"/>
      <c r="G33" s="7"/>
      <c r="H33" s="7"/>
    </row>
    <row r="34" spans="5:8" x14ac:dyDescent="0.3">
      <c r="E34" s="7"/>
      <c r="F34" s="7"/>
      <c r="G34" s="7"/>
    </row>
    <row r="35" spans="5:8" x14ac:dyDescent="0.3">
      <c r="E35" s="7"/>
      <c r="F35" s="7"/>
      <c r="G35" s="7"/>
    </row>
    <row r="36" spans="5:8" x14ac:dyDescent="0.3">
      <c r="E36" s="7"/>
      <c r="F36" s="7"/>
      <c r="G36" s="7"/>
    </row>
    <row r="37" spans="5:8" x14ac:dyDescent="0.3">
      <c r="E37" s="7"/>
      <c r="F37" s="7"/>
      <c r="G37" s="7"/>
    </row>
    <row r="38" spans="5:8" x14ac:dyDescent="0.3">
      <c r="E38" s="7"/>
      <c r="F38" s="7"/>
      <c r="G38" s="7"/>
    </row>
    <row r="39" spans="5:8" x14ac:dyDescent="0.3">
      <c r="E39" s="7"/>
      <c r="F39" s="7"/>
      <c r="G39" s="7"/>
    </row>
    <row r="40" spans="5:8" x14ac:dyDescent="0.3">
      <c r="E40" s="7"/>
      <c r="F40" s="7"/>
      <c r="G40" s="7"/>
    </row>
    <row r="41" spans="5:8" x14ac:dyDescent="0.3">
      <c r="E41" s="7"/>
      <c r="G41" s="7"/>
    </row>
    <row r="42" spans="5:8" x14ac:dyDescent="0.3">
      <c r="E42" s="7"/>
      <c r="G42" s="7"/>
    </row>
    <row r="43" spans="5:8" x14ac:dyDescent="0.3">
      <c r="E43" s="7"/>
      <c r="G43" s="7"/>
    </row>
    <row r="44" spans="5:8" x14ac:dyDescent="0.3">
      <c r="E44" s="7"/>
      <c r="G44" s="7"/>
    </row>
    <row r="45" spans="5:8" x14ac:dyDescent="0.3">
      <c r="E45" s="7"/>
      <c r="G45" s="7"/>
    </row>
    <row r="46" spans="5:8" x14ac:dyDescent="0.3">
      <c r="E46" s="7"/>
      <c r="G46" s="7"/>
    </row>
    <row r="47" spans="5:8" x14ac:dyDescent="0.3">
      <c r="E47" s="7"/>
      <c r="G47" s="7"/>
    </row>
    <row r="48" spans="5:8" x14ac:dyDescent="0.3">
      <c r="E48" s="7"/>
      <c r="G48" s="7"/>
    </row>
    <row r="49" spans="5:7" x14ac:dyDescent="0.3">
      <c r="E49" s="7"/>
      <c r="G49" s="7"/>
    </row>
    <row r="50" spans="5:7" x14ac:dyDescent="0.3">
      <c r="E50" s="7"/>
      <c r="G50" s="7"/>
    </row>
    <row r="51" spans="5:7" x14ac:dyDescent="0.3">
      <c r="E51" s="7"/>
      <c r="G51" s="7"/>
    </row>
    <row r="52" spans="5:7" x14ac:dyDescent="0.3">
      <c r="E52" s="7"/>
      <c r="G52" s="7"/>
    </row>
    <row r="53" spans="5:7" x14ac:dyDescent="0.3">
      <c r="E53" s="7"/>
      <c r="G53" s="7"/>
    </row>
    <row r="54" spans="5:7" x14ac:dyDescent="0.3">
      <c r="E54" s="7"/>
      <c r="G54" s="7"/>
    </row>
    <row r="55" spans="5:7" x14ac:dyDescent="0.3">
      <c r="E55" s="7"/>
      <c r="G55" s="7"/>
    </row>
    <row r="56" spans="5:7" x14ac:dyDescent="0.3">
      <c r="E56" s="7"/>
      <c r="G56" s="7"/>
    </row>
    <row r="57" spans="5:7" x14ac:dyDescent="0.3">
      <c r="E57" s="7"/>
      <c r="G57" s="7"/>
    </row>
    <row r="58" spans="5:7" x14ac:dyDescent="0.3">
      <c r="E58" s="7"/>
      <c r="G58" s="7"/>
    </row>
    <row r="59" spans="5:7" x14ac:dyDescent="0.3">
      <c r="E59" s="7"/>
      <c r="G59" s="7"/>
    </row>
    <row r="60" spans="5:7" x14ac:dyDescent="0.3">
      <c r="E60" s="7"/>
      <c r="G60" s="7"/>
    </row>
    <row r="61" spans="5:7" x14ac:dyDescent="0.3">
      <c r="G61" s="7"/>
    </row>
    <row r="62" spans="5:7" x14ac:dyDescent="0.3">
      <c r="G62" s="7"/>
    </row>
    <row r="63" spans="5:7" x14ac:dyDescent="0.3">
      <c r="G63" s="7"/>
    </row>
    <row r="64" spans="5:7" x14ac:dyDescent="0.3">
      <c r="G64" s="7"/>
    </row>
    <row r="65" spans="7:7" x14ac:dyDescent="0.3">
      <c r="G65" s="7"/>
    </row>
    <row r="66" spans="7:7" x14ac:dyDescent="0.3">
      <c r="G66" s="7"/>
    </row>
    <row r="67" spans="7:7" x14ac:dyDescent="0.3">
      <c r="G67" s="7"/>
    </row>
    <row r="68" spans="7:7" x14ac:dyDescent="0.3">
      <c r="G68" s="7"/>
    </row>
    <row r="69" spans="7:7" x14ac:dyDescent="0.3">
      <c r="G69" s="7"/>
    </row>
    <row r="70" spans="7:7" x14ac:dyDescent="0.3">
      <c r="G70" s="7"/>
    </row>
    <row r="71" spans="7:7" x14ac:dyDescent="0.3">
      <c r="G71" s="7"/>
    </row>
    <row r="72" spans="7:7" x14ac:dyDescent="0.3">
      <c r="G72" s="7"/>
    </row>
    <row r="73" spans="7:7" x14ac:dyDescent="0.3">
      <c r="G73" s="7"/>
    </row>
    <row r="74" spans="7:7" x14ac:dyDescent="0.3">
      <c r="G74" s="7"/>
    </row>
    <row r="75" spans="7:7" x14ac:dyDescent="0.3">
      <c r="G75" s="7"/>
    </row>
    <row r="76" spans="7:7" x14ac:dyDescent="0.3">
      <c r="G76" s="7"/>
    </row>
    <row r="77" spans="7:7" x14ac:dyDescent="0.3">
      <c r="G77" s="7"/>
    </row>
    <row r="78" spans="7:7" x14ac:dyDescent="0.3">
      <c r="G78" s="7"/>
    </row>
    <row r="79" spans="7:7" x14ac:dyDescent="0.3">
      <c r="G79" s="7"/>
    </row>
    <row r="80" spans="7:7" x14ac:dyDescent="0.3">
      <c r="G80" s="7"/>
    </row>
    <row r="81" spans="7:7" x14ac:dyDescent="0.3">
      <c r="G81" s="7"/>
    </row>
    <row r="82" spans="7:7" x14ac:dyDescent="0.3">
      <c r="G82" s="7"/>
    </row>
    <row r="83" spans="7:7" x14ac:dyDescent="0.3">
      <c r="G83" s="7"/>
    </row>
    <row r="84" spans="7:7" x14ac:dyDescent="0.3">
      <c r="G84" s="7"/>
    </row>
    <row r="85" spans="7:7" x14ac:dyDescent="0.3">
      <c r="G85" s="7"/>
    </row>
    <row r="86" spans="7:7" x14ac:dyDescent="0.3">
      <c r="G86" s="7"/>
    </row>
    <row r="87" spans="7:7" x14ac:dyDescent="0.3">
      <c r="G87" s="7"/>
    </row>
    <row r="88" spans="7:7" x14ac:dyDescent="0.3">
      <c r="G88" s="7"/>
    </row>
    <row r="89" spans="7:7" x14ac:dyDescent="0.3">
      <c r="G89" s="7"/>
    </row>
    <row r="90" spans="7:7" x14ac:dyDescent="0.3">
      <c r="G90" s="7"/>
    </row>
    <row r="91" spans="7:7" x14ac:dyDescent="0.3">
      <c r="G91" s="7"/>
    </row>
    <row r="92" spans="7:7" x14ac:dyDescent="0.3">
      <c r="G92" s="7"/>
    </row>
    <row r="93" spans="7:7" x14ac:dyDescent="0.3">
      <c r="G93" s="7"/>
    </row>
    <row r="94" spans="7:7" x14ac:dyDescent="0.3">
      <c r="G94" s="7"/>
    </row>
    <row r="95" spans="7:7" x14ac:dyDescent="0.3">
      <c r="G95" s="7"/>
    </row>
    <row r="96" spans="7:7" x14ac:dyDescent="0.3">
      <c r="G96" s="7"/>
    </row>
    <row r="97" spans="7:7" x14ac:dyDescent="0.3">
      <c r="G97" s="7"/>
    </row>
    <row r="98" spans="7:7" x14ac:dyDescent="0.3">
      <c r="G98" s="7"/>
    </row>
    <row r="99" spans="7:7" x14ac:dyDescent="0.3">
      <c r="G99" s="7"/>
    </row>
    <row r="100" spans="7:7" x14ac:dyDescent="0.3">
      <c r="G100" s="7"/>
    </row>
    <row r="101" spans="7:7" x14ac:dyDescent="0.3">
      <c r="G101" s="7"/>
    </row>
    <row r="102" spans="7:7" x14ac:dyDescent="0.3">
      <c r="G102" s="7"/>
    </row>
    <row r="103" spans="7:7" x14ac:dyDescent="0.3">
      <c r="G103" s="7"/>
    </row>
    <row r="104" spans="7:7" x14ac:dyDescent="0.3">
      <c r="G104" s="7"/>
    </row>
    <row r="105" spans="7:7" x14ac:dyDescent="0.3">
      <c r="G105" s="7"/>
    </row>
    <row r="106" spans="7:7" x14ac:dyDescent="0.3">
      <c r="G106" s="7"/>
    </row>
    <row r="107" spans="7:7" x14ac:dyDescent="0.3">
      <c r="G107" s="7"/>
    </row>
    <row r="108" spans="7:7" x14ac:dyDescent="0.3">
      <c r="G108" s="7"/>
    </row>
    <row r="109" spans="7:7" x14ac:dyDescent="0.3">
      <c r="G109" s="7"/>
    </row>
    <row r="110" spans="7:7" x14ac:dyDescent="0.3">
      <c r="G110" s="7"/>
    </row>
    <row r="111" spans="7:7" x14ac:dyDescent="0.3">
      <c r="G111" s="7"/>
    </row>
    <row r="112" spans="7:7" x14ac:dyDescent="0.3">
      <c r="G112" s="7"/>
    </row>
    <row r="113" spans="7:7" x14ac:dyDescent="0.3">
      <c r="G113" s="7"/>
    </row>
    <row r="114" spans="7:7" x14ac:dyDescent="0.3">
      <c r="G114" s="7"/>
    </row>
    <row r="115" spans="7:7" x14ac:dyDescent="0.3">
      <c r="G115" s="7"/>
    </row>
    <row r="116" spans="7:7" x14ac:dyDescent="0.3">
      <c r="G116" s="7"/>
    </row>
    <row r="117" spans="7:7" x14ac:dyDescent="0.3">
      <c r="G117" s="7"/>
    </row>
    <row r="118" spans="7:7" x14ac:dyDescent="0.3">
      <c r="G118" s="7"/>
    </row>
    <row r="119" spans="7:7" x14ac:dyDescent="0.3">
      <c r="G119" s="7"/>
    </row>
    <row r="120" spans="7:7" x14ac:dyDescent="0.3">
      <c r="G120" s="7"/>
    </row>
    <row r="121" spans="7:7" x14ac:dyDescent="0.3">
      <c r="G121" s="7"/>
    </row>
    <row r="122" spans="7:7" x14ac:dyDescent="0.3">
      <c r="G122" s="7"/>
    </row>
    <row r="123" spans="7:7" x14ac:dyDescent="0.3">
      <c r="G123" s="7"/>
    </row>
    <row r="124" spans="7:7" x14ac:dyDescent="0.3">
      <c r="G124" s="7"/>
    </row>
    <row r="125" spans="7:7" x14ac:dyDescent="0.3">
      <c r="G125" s="7"/>
    </row>
    <row r="126" spans="7:7" x14ac:dyDescent="0.3">
      <c r="G126" s="7"/>
    </row>
    <row r="127" spans="7:7" x14ac:dyDescent="0.3">
      <c r="G127" s="7"/>
    </row>
    <row r="128" spans="7:7" x14ac:dyDescent="0.3">
      <c r="G128" s="7"/>
    </row>
    <row r="129" spans="7:7" x14ac:dyDescent="0.3">
      <c r="G129" s="7"/>
    </row>
    <row r="130" spans="7:7" x14ac:dyDescent="0.3">
      <c r="G130" s="7"/>
    </row>
    <row r="131" spans="7:7" x14ac:dyDescent="0.3">
      <c r="G131" s="7"/>
    </row>
    <row r="132" spans="7:7" x14ac:dyDescent="0.3">
      <c r="G132" s="7"/>
    </row>
    <row r="133" spans="7:7" x14ac:dyDescent="0.3">
      <c r="G133" s="7"/>
    </row>
    <row r="134" spans="7:7" x14ac:dyDescent="0.3">
      <c r="G134" s="7"/>
    </row>
    <row r="135" spans="7:7" x14ac:dyDescent="0.3">
      <c r="G135" s="7"/>
    </row>
    <row r="136" spans="7:7" x14ac:dyDescent="0.3">
      <c r="G136" s="7"/>
    </row>
    <row r="137" spans="7:7" x14ac:dyDescent="0.3">
      <c r="G137" s="7"/>
    </row>
    <row r="138" spans="7:7" x14ac:dyDescent="0.3">
      <c r="G138" s="7"/>
    </row>
    <row r="139" spans="7:7" x14ac:dyDescent="0.3">
      <c r="G139" s="7"/>
    </row>
    <row r="140" spans="7:7" x14ac:dyDescent="0.3">
      <c r="G140" s="7"/>
    </row>
    <row r="141" spans="7:7" x14ac:dyDescent="0.3">
      <c r="G141" s="7"/>
    </row>
    <row r="142" spans="7:7" x14ac:dyDescent="0.3">
      <c r="G142" s="7"/>
    </row>
    <row r="143" spans="7:7" x14ac:dyDescent="0.3">
      <c r="G143" s="7"/>
    </row>
    <row r="144" spans="7:7" x14ac:dyDescent="0.3">
      <c r="G144" s="7"/>
    </row>
    <row r="145" spans="7:7" x14ac:dyDescent="0.3">
      <c r="G145" s="7"/>
    </row>
    <row r="146" spans="7:7" x14ac:dyDescent="0.3">
      <c r="G146" s="7"/>
    </row>
    <row r="147" spans="7:7" x14ac:dyDescent="0.3">
      <c r="G147" s="7"/>
    </row>
    <row r="148" spans="7:7" x14ac:dyDescent="0.3">
      <c r="G148" s="7"/>
    </row>
    <row r="149" spans="7:7" x14ac:dyDescent="0.3">
      <c r="G149" s="7"/>
    </row>
    <row r="150" spans="7:7" x14ac:dyDescent="0.3">
      <c r="G150" s="7"/>
    </row>
    <row r="151" spans="7:7" x14ac:dyDescent="0.3">
      <c r="G151" s="7"/>
    </row>
    <row r="152" spans="7:7" x14ac:dyDescent="0.3">
      <c r="G152" s="7"/>
    </row>
    <row r="153" spans="7:7" x14ac:dyDescent="0.3">
      <c r="G153" s="7"/>
    </row>
    <row r="154" spans="7:7" x14ac:dyDescent="0.3">
      <c r="G154" s="7"/>
    </row>
    <row r="155" spans="7:7" x14ac:dyDescent="0.3">
      <c r="G155" s="7"/>
    </row>
    <row r="156" spans="7:7" x14ac:dyDescent="0.3">
      <c r="G156" s="7"/>
    </row>
    <row r="157" spans="7:7" x14ac:dyDescent="0.3">
      <c r="G157" s="7"/>
    </row>
    <row r="158" spans="7:7" x14ac:dyDescent="0.3">
      <c r="G158" s="7"/>
    </row>
    <row r="159" spans="7:7" x14ac:dyDescent="0.3">
      <c r="G159" s="7"/>
    </row>
    <row r="160" spans="7:7" x14ac:dyDescent="0.3">
      <c r="G160" s="7"/>
    </row>
    <row r="161" spans="7:7" x14ac:dyDescent="0.3">
      <c r="G161" s="7"/>
    </row>
    <row r="162" spans="7:7" x14ac:dyDescent="0.3">
      <c r="G162" s="7"/>
    </row>
    <row r="163" spans="7:7" x14ac:dyDescent="0.3">
      <c r="G163" s="7"/>
    </row>
    <row r="164" spans="7:7" x14ac:dyDescent="0.3">
      <c r="G164" s="7"/>
    </row>
    <row r="165" spans="7:7" x14ac:dyDescent="0.3">
      <c r="G165" s="7"/>
    </row>
    <row r="166" spans="7:7" x14ac:dyDescent="0.3">
      <c r="G166" s="7"/>
    </row>
    <row r="167" spans="7:7" x14ac:dyDescent="0.3">
      <c r="G167" s="7"/>
    </row>
    <row r="168" spans="7:7" x14ac:dyDescent="0.3">
      <c r="G168" s="7"/>
    </row>
    <row r="169" spans="7:7" x14ac:dyDescent="0.3">
      <c r="G169" s="7"/>
    </row>
    <row r="170" spans="7:7" x14ac:dyDescent="0.3">
      <c r="G170" s="7"/>
    </row>
    <row r="171" spans="7:7" x14ac:dyDescent="0.3">
      <c r="G171" s="7"/>
    </row>
    <row r="172" spans="7:7" x14ac:dyDescent="0.3">
      <c r="G172" s="7"/>
    </row>
    <row r="173" spans="7:7" x14ac:dyDescent="0.3">
      <c r="G173" s="7"/>
    </row>
    <row r="174" spans="7:7" x14ac:dyDescent="0.3">
      <c r="G174" s="7"/>
    </row>
    <row r="175" spans="7:7" x14ac:dyDescent="0.3">
      <c r="G175" s="7"/>
    </row>
    <row r="176" spans="7:7" x14ac:dyDescent="0.3">
      <c r="G176" s="7"/>
    </row>
    <row r="177" spans="7:7" x14ac:dyDescent="0.3">
      <c r="G177" s="7"/>
    </row>
    <row r="178" spans="7:7" x14ac:dyDescent="0.3">
      <c r="G178" s="7"/>
    </row>
    <row r="179" spans="7:7" x14ac:dyDescent="0.3">
      <c r="G179" s="7"/>
    </row>
    <row r="180" spans="7:7" x14ac:dyDescent="0.3">
      <c r="G180" s="7"/>
    </row>
    <row r="181" spans="7:7" x14ac:dyDescent="0.3">
      <c r="G181" s="7"/>
    </row>
    <row r="182" spans="7:7" x14ac:dyDescent="0.3">
      <c r="G182" s="7"/>
    </row>
    <row r="183" spans="7:7" x14ac:dyDescent="0.3">
      <c r="G183" s="7"/>
    </row>
    <row r="184" spans="7:7" x14ac:dyDescent="0.3">
      <c r="G184" s="7"/>
    </row>
    <row r="185" spans="7:7" x14ac:dyDescent="0.3">
      <c r="G185" s="7"/>
    </row>
    <row r="186" spans="7:7" x14ac:dyDescent="0.3">
      <c r="G186" s="7"/>
    </row>
    <row r="187" spans="7:7" x14ac:dyDescent="0.3">
      <c r="G187" s="7"/>
    </row>
    <row r="188" spans="7:7" x14ac:dyDescent="0.3">
      <c r="G188" s="7"/>
    </row>
    <row r="189" spans="7:7" x14ac:dyDescent="0.3">
      <c r="G189" s="7"/>
    </row>
    <row r="190" spans="7:7" x14ac:dyDescent="0.3">
      <c r="G190" s="7"/>
    </row>
    <row r="191" spans="7:7" x14ac:dyDescent="0.3">
      <c r="G191" s="7"/>
    </row>
    <row r="192" spans="7:7" x14ac:dyDescent="0.3">
      <c r="G192" s="7"/>
    </row>
    <row r="193" spans="7:7" x14ac:dyDescent="0.3">
      <c r="G193" s="7"/>
    </row>
    <row r="194" spans="7:7" x14ac:dyDescent="0.3">
      <c r="G194" s="7"/>
    </row>
    <row r="195" spans="7:7" x14ac:dyDescent="0.3">
      <c r="G195" s="7"/>
    </row>
    <row r="196" spans="7:7" x14ac:dyDescent="0.3">
      <c r="G196" s="7"/>
    </row>
    <row r="197" spans="7:7" x14ac:dyDescent="0.3">
      <c r="G197" s="7"/>
    </row>
    <row r="198" spans="7:7" x14ac:dyDescent="0.3">
      <c r="G198" s="7"/>
    </row>
    <row r="199" spans="7:7" x14ac:dyDescent="0.3">
      <c r="G199" s="7"/>
    </row>
    <row r="200" spans="7:7" x14ac:dyDescent="0.3">
      <c r="G200" s="7"/>
    </row>
    <row r="201" spans="7:7" x14ac:dyDescent="0.3">
      <c r="G201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60" zoomScaleNormal="60" workbookViewId="0">
      <selection activeCell="E35" sqref="C25:E35"/>
    </sheetView>
  </sheetViews>
  <sheetFormatPr defaultRowHeight="14.4" x14ac:dyDescent="0.3"/>
  <cols>
    <col min="1" max="1" width="40.21875" style="5" customWidth="1"/>
    <col min="2" max="2" width="18" style="5" customWidth="1"/>
    <col min="3" max="3" width="8.5546875" style="5" customWidth="1"/>
    <col min="4" max="4" width="8.88671875" style="5"/>
    <col min="5" max="5" width="19.33203125" style="5" customWidth="1"/>
    <col min="6" max="6" width="17.33203125" style="5" customWidth="1"/>
    <col min="7" max="7" width="19.33203125" style="5" customWidth="1"/>
    <col min="8" max="8" width="35" style="5" customWidth="1"/>
    <col min="9" max="10" width="8.88671875" style="5"/>
    <col min="11" max="11" width="50.33203125" style="5" customWidth="1"/>
    <col min="12" max="16384" width="8.88671875" style="5"/>
  </cols>
  <sheetData>
    <row r="1" spans="1:12" x14ac:dyDescent="0.3">
      <c r="A1" s="5" t="s">
        <v>12</v>
      </c>
    </row>
    <row r="3" spans="1:12" x14ac:dyDescent="0.3">
      <c r="B3" s="3" t="s">
        <v>0</v>
      </c>
      <c r="C3" s="3" t="s">
        <v>14</v>
      </c>
      <c r="D3" s="3" t="s">
        <v>15</v>
      </c>
      <c r="E3" s="3" t="s">
        <v>20</v>
      </c>
      <c r="F3" s="3" t="s">
        <v>21</v>
      </c>
      <c r="G3" s="3" t="s">
        <v>22</v>
      </c>
      <c r="H3" s="3" t="s">
        <v>23</v>
      </c>
      <c r="K3" s="3" t="s">
        <v>22</v>
      </c>
      <c r="L3" s="3">
        <f>G16</f>
        <v>169.50400000000002</v>
      </c>
    </row>
    <row r="4" spans="1:12" x14ac:dyDescent="0.3">
      <c r="B4" s="3">
        <v>1</v>
      </c>
      <c r="C4" s="3">
        <v>156</v>
      </c>
      <c r="D4" s="3">
        <v>159.19999999999999</v>
      </c>
      <c r="E4" s="3">
        <f t="shared" ref="E4:E13" si="0">(C4+D4)/2</f>
        <v>157.6</v>
      </c>
      <c r="F4" s="3">
        <f t="array" ref="F4:F13">FREQUENCY('1'!B2:B201,'4'!C5:C13)</f>
        <v>12</v>
      </c>
      <c r="G4" s="3">
        <f t="shared" ref="G4:G13" si="1">E4*F4</f>
        <v>1891.1999999999998</v>
      </c>
      <c r="H4" s="3">
        <f t="shared" ref="H4:H13" si="2">G4*E4</f>
        <v>298053.11999999994</v>
      </c>
      <c r="K4" s="3" t="s">
        <v>26</v>
      </c>
      <c r="L4" s="3">
        <f>H16-(G16*G16)</f>
        <v>38.006783999993786</v>
      </c>
    </row>
    <row r="5" spans="1:12" x14ac:dyDescent="0.3">
      <c r="B5" s="3">
        <v>2</v>
      </c>
      <c r="C5" s="5">
        <v>159.19999999999999</v>
      </c>
      <c r="D5" s="3">
        <v>162.4</v>
      </c>
      <c r="E5" s="3">
        <f t="shared" si="0"/>
        <v>160.80000000000001</v>
      </c>
      <c r="F5" s="3">
        <v>11</v>
      </c>
      <c r="G5" s="3">
        <f t="shared" si="1"/>
        <v>1768.8000000000002</v>
      </c>
      <c r="H5" s="3">
        <f t="shared" si="2"/>
        <v>284423.04000000004</v>
      </c>
      <c r="I5" s="10"/>
      <c r="K5" s="3" t="s">
        <v>27</v>
      </c>
      <c r="L5" s="3">
        <f>SQRT(L4)</f>
        <v>6.1649642334723875</v>
      </c>
    </row>
    <row r="6" spans="1:12" x14ac:dyDescent="0.3">
      <c r="B6" s="3">
        <v>3</v>
      </c>
      <c r="C6" s="3">
        <v>162.4</v>
      </c>
      <c r="D6" s="3">
        <v>165.6</v>
      </c>
      <c r="E6" s="3">
        <f t="shared" si="0"/>
        <v>164</v>
      </c>
      <c r="F6" s="3">
        <v>31</v>
      </c>
      <c r="G6" s="3">
        <f t="shared" si="1"/>
        <v>5084</v>
      </c>
      <c r="H6" s="3">
        <f t="shared" si="2"/>
        <v>833776</v>
      </c>
      <c r="I6" s="10"/>
      <c r="K6" s="3" t="s">
        <v>28</v>
      </c>
      <c r="L6" s="3">
        <f>E8</f>
        <v>170.4</v>
      </c>
    </row>
    <row r="7" spans="1:12" x14ac:dyDescent="0.3">
      <c r="B7" s="3">
        <v>4</v>
      </c>
      <c r="C7" s="3">
        <v>165.6</v>
      </c>
      <c r="D7" s="3">
        <v>168.8</v>
      </c>
      <c r="E7" s="3">
        <f t="shared" si="0"/>
        <v>167.2</v>
      </c>
      <c r="F7" s="3">
        <v>37</v>
      </c>
      <c r="G7" s="3">
        <f t="shared" si="1"/>
        <v>6186.4</v>
      </c>
      <c r="H7" s="3">
        <f t="shared" si="2"/>
        <v>1034366.0799999998</v>
      </c>
      <c r="I7" s="10"/>
    </row>
    <row r="8" spans="1:12" x14ac:dyDescent="0.3">
      <c r="B8" s="3">
        <v>5</v>
      </c>
      <c r="C8" s="3">
        <v>168.8</v>
      </c>
      <c r="D8" s="3">
        <v>172</v>
      </c>
      <c r="E8" s="3">
        <f t="shared" si="0"/>
        <v>170.4</v>
      </c>
      <c r="F8" s="3">
        <v>43</v>
      </c>
      <c r="G8" s="3">
        <f t="shared" si="1"/>
        <v>7327.2</v>
      </c>
      <c r="H8" s="3">
        <f t="shared" si="2"/>
        <v>1248554.8800000001</v>
      </c>
      <c r="I8" s="10"/>
    </row>
    <row r="9" spans="1:12" x14ac:dyDescent="0.3">
      <c r="B9" s="3">
        <v>6</v>
      </c>
      <c r="C9" s="3">
        <v>172</v>
      </c>
      <c r="D9" s="3">
        <v>175.2</v>
      </c>
      <c r="E9" s="3">
        <f t="shared" si="0"/>
        <v>173.6</v>
      </c>
      <c r="F9" s="3">
        <v>30</v>
      </c>
      <c r="G9" s="3">
        <f t="shared" si="1"/>
        <v>5208</v>
      </c>
      <c r="H9" s="3">
        <f t="shared" si="2"/>
        <v>904108.79999999993</v>
      </c>
      <c r="I9" s="10"/>
    </row>
    <row r="10" spans="1:12" x14ac:dyDescent="0.3">
      <c r="A10" s="10"/>
      <c r="B10" s="3">
        <v>7</v>
      </c>
      <c r="C10" s="3">
        <v>175.2</v>
      </c>
      <c r="D10" s="3">
        <v>178.4</v>
      </c>
      <c r="E10" s="3">
        <f t="shared" si="0"/>
        <v>176.8</v>
      </c>
      <c r="F10" s="3">
        <v>23</v>
      </c>
      <c r="G10" s="3">
        <f t="shared" si="1"/>
        <v>4066.4</v>
      </c>
      <c r="H10" s="3">
        <f t="shared" si="2"/>
        <v>718939.52</v>
      </c>
      <c r="I10" s="10"/>
    </row>
    <row r="11" spans="1:12" x14ac:dyDescent="0.3">
      <c r="B11" s="3">
        <v>8</v>
      </c>
      <c r="C11" s="3">
        <v>178.4</v>
      </c>
      <c r="D11" s="3">
        <v>181.6</v>
      </c>
      <c r="E11" s="3">
        <f t="shared" si="0"/>
        <v>180</v>
      </c>
      <c r="F11" s="3">
        <v>6</v>
      </c>
      <c r="G11" s="3">
        <f t="shared" si="1"/>
        <v>1080</v>
      </c>
      <c r="H11" s="3">
        <f t="shared" si="2"/>
        <v>194400</v>
      </c>
      <c r="I11" s="10"/>
    </row>
    <row r="12" spans="1:12" x14ac:dyDescent="0.3">
      <c r="B12" s="3">
        <v>9</v>
      </c>
      <c r="C12" s="3">
        <v>181.6</v>
      </c>
      <c r="D12" s="3">
        <v>184.8</v>
      </c>
      <c r="E12" s="3">
        <f t="shared" si="0"/>
        <v>183.2</v>
      </c>
      <c r="F12" s="3">
        <v>5</v>
      </c>
      <c r="G12" s="3">
        <f t="shared" si="1"/>
        <v>916</v>
      </c>
      <c r="H12" s="3">
        <f t="shared" si="2"/>
        <v>167811.19999999998</v>
      </c>
      <c r="I12" s="10"/>
    </row>
    <row r="13" spans="1:12" x14ac:dyDescent="0.3">
      <c r="B13" s="3">
        <v>10</v>
      </c>
      <c r="C13" s="3">
        <v>184.8</v>
      </c>
      <c r="D13" s="3">
        <v>188</v>
      </c>
      <c r="E13" s="3">
        <f t="shared" si="0"/>
        <v>186.4</v>
      </c>
      <c r="F13" s="3">
        <v>2</v>
      </c>
      <c r="G13" s="3">
        <f t="shared" si="1"/>
        <v>372.8</v>
      </c>
      <c r="H13" s="3">
        <f t="shared" si="2"/>
        <v>69489.919999999998</v>
      </c>
      <c r="I13" s="10"/>
    </row>
    <row r="14" spans="1:12" x14ac:dyDescent="0.3">
      <c r="B14" s="3"/>
      <c r="C14" s="3"/>
      <c r="D14" s="3"/>
      <c r="E14" s="3"/>
      <c r="F14" s="3"/>
      <c r="G14" s="3"/>
      <c r="H14" s="3"/>
      <c r="I14" s="10"/>
    </row>
    <row r="15" spans="1:12" x14ac:dyDescent="0.3">
      <c r="B15" s="3" t="s">
        <v>24</v>
      </c>
      <c r="C15" s="3"/>
      <c r="D15" s="3"/>
      <c r="E15" s="3"/>
      <c r="F15" s="3">
        <f>SUM(F4:F13)</f>
        <v>200</v>
      </c>
      <c r="G15" s="3">
        <f>SUM(G4:G13)</f>
        <v>33900.800000000003</v>
      </c>
      <c r="H15" s="3">
        <f>SUM(H4:H13)</f>
        <v>5753922.5599999996</v>
      </c>
    </row>
    <row r="16" spans="1:12" x14ac:dyDescent="0.3">
      <c r="B16" s="3" t="s">
        <v>25</v>
      </c>
      <c r="C16" s="3"/>
      <c r="D16" s="3"/>
      <c r="E16" s="3"/>
      <c r="F16" s="3">
        <f>F15/'1'!G2</f>
        <v>1</v>
      </c>
      <c r="G16" s="3">
        <f>G15/'1'!G2</f>
        <v>169.50400000000002</v>
      </c>
      <c r="H16" s="3">
        <f>H15/'1'!G2</f>
        <v>28769.612799999999</v>
      </c>
    </row>
    <row r="23" spans="1:12" x14ac:dyDescent="0.3">
      <c r="A23" s="5" t="s">
        <v>13</v>
      </c>
    </row>
    <row r="25" spans="1:12" x14ac:dyDescent="0.3">
      <c r="B25" s="3" t="s">
        <v>0</v>
      </c>
      <c r="C25" s="3" t="s">
        <v>14</v>
      </c>
      <c r="D25" s="3" t="s">
        <v>15</v>
      </c>
      <c r="E25" s="3" t="s">
        <v>20</v>
      </c>
      <c r="F25" s="3" t="s">
        <v>21</v>
      </c>
      <c r="G25" s="3" t="s">
        <v>22</v>
      </c>
      <c r="H25" s="3" t="s">
        <v>23</v>
      </c>
      <c r="K25" s="3" t="s">
        <v>22</v>
      </c>
      <c r="L25" s="3">
        <f>G38</f>
        <v>64.938000000000017</v>
      </c>
    </row>
    <row r="26" spans="1:12" x14ac:dyDescent="0.3">
      <c r="B26" s="3">
        <v>1</v>
      </c>
      <c r="C26" s="3">
        <v>48</v>
      </c>
      <c r="D26" s="3">
        <v>51.6</v>
      </c>
      <c r="E26" s="3">
        <f t="shared" ref="E26:E35" si="3">(C26+D26)/2</f>
        <v>49.8</v>
      </c>
      <c r="F26" s="3">
        <f t="array" ref="F26:F35">FREQUENCY('1'!C2:C201,'4'!C27:C35)</f>
        <v>4</v>
      </c>
      <c r="G26" s="3">
        <f t="shared" ref="G26:G35" si="4">E26*F26</f>
        <v>199.2</v>
      </c>
      <c r="H26" s="3">
        <f t="shared" ref="H26:H35" si="5">G26*E26</f>
        <v>9920.159999999998</v>
      </c>
      <c r="K26" s="3" t="s">
        <v>26</v>
      </c>
      <c r="L26" s="3">
        <f>H38-(G38*G38)</f>
        <v>39.177755999997316</v>
      </c>
    </row>
    <row r="27" spans="1:12" x14ac:dyDescent="0.3">
      <c r="B27" s="3">
        <v>2</v>
      </c>
      <c r="C27" s="3">
        <v>51.6</v>
      </c>
      <c r="D27" s="3">
        <v>55.2</v>
      </c>
      <c r="E27" s="3">
        <f t="shared" si="3"/>
        <v>53.400000000000006</v>
      </c>
      <c r="F27" s="3">
        <v>8</v>
      </c>
      <c r="G27" s="3">
        <f t="shared" si="4"/>
        <v>427.20000000000005</v>
      </c>
      <c r="H27" s="3">
        <f t="shared" si="5"/>
        <v>22812.480000000003</v>
      </c>
      <c r="K27" s="3" t="s">
        <v>27</v>
      </c>
      <c r="L27" s="3">
        <f>SQRT(L26)</f>
        <v>6.259213688635124</v>
      </c>
    </row>
    <row r="28" spans="1:12" x14ac:dyDescent="0.3">
      <c r="B28" s="3">
        <v>3</v>
      </c>
      <c r="C28" s="3">
        <v>55.2</v>
      </c>
      <c r="D28" s="3">
        <v>58.8</v>
      </c>
      <c r="E28" s="3">
        <f t="shared" si="3"/>
        <v>57</v>
      </c>
      <c r="F28" s="3">
        <v>12</v>
      </c>
      <c r="G28" s="3">
        <f t="shared" si="4"/>
        <v>684</v>
      </c>
      <c r="H28" s="3">
        <f t="shared" si="5"/>
        <v>38988</v>
      </c>
      <c r="K28" s="3" t="s">
        <v>28</v>
      </c>
      <c r="L28" s="3">
        <f>E30</f>
        <v>64.2</v>
      </c>
    </row>
    <row r="29" spans="1:12" x14ac:dyDescent="0.3">
      <c r="B29" s="3">
        <v>4</v>
      </c>
      <c r="C29" s="3">
        <v>58.8</v>
      </c>
      <c r="D29" s="3">
        <v>62.4</v>
      </c>
      <c r="E29" s="3">
        <f t="shared" si="3"/>
        <v>60.599999999999994</v>
      </c>
      <c r="F29" s="3">
        <v>46</v>
      </c>
      <c r="G29" s="3">
        <f t="shared" si="4"/>
        <v>2787.6</v>
      </c>
      <c r="H29" s="3">
        <f t="shared" si="5"/>
        <v>168928.55999999997</v>
      </c>
    </row>
    <row r="30" spans="1:12" x14ac:dyDescent="0.3">
      <c r="B30" s="3">
        <v>5</v>
      </c>
      <c r="C30" s="3">
        <v>62.4</v>
      </c>
      <c r="D30" s="3">
        <v>66</v>
      </c>
      <c r="E30" s="3">
        <f t="shared" si="3"/>
        <v>64.2</v>
      </c>
      <c r="F30" s="3">
        <v>54</v>
      </c>
      <c r="G30" s="3">
        <f t="shared" si="4"/>
        <v>3466.8</v>
      </c>
      <c r="H30" s="3">
        <f t="shared" si="5"/>
        <v>222568.56000000003</v>
      </c>
    </row>
    <row r="31" spans="1:12" x14ac:dyDescent="0.3">
      <c r="B31" s="3">
        <v>6</v>
      </c>
      <c r="C31" s="3">
        <v>66</v>
      </c>
      <c r="D31" s="3">
        <v>69.599999999999994</v>
      </c>
      <c r="E31" s="3">
        <f t="shared" si="3"/>
        <v>67.8</v>
      </c>
      <c r="F31" s="3">
        <v>32</v>
      </c>
      <c r="G31" s="3">
        <f t="shared" si="4"/>
        <v>2169.6</v>
      </c>
      <c r="H31" s="3">
        <f t="shared" si="5"/>
        <v>147098.87999999998</v>
      </c>
    </row>
    <row r="32" spans="1:12" x14ac:dyDescent="0.3">
      <c r="B32" s="3">
        <v>7</v>
      </c>
      <c r="C32" s="3">
        <v>69.599999999999994</v>
      </c>
      <c r="D32" s="3">
        <v>73.2</v>
      </c>
      <c r="E32" s="3">
        <f t="shared" si="3"/>
        <v>71.400000000000006</v>
      </c>
      <c r="F32" s="3">
        <v>22</v>
      </c>
      <c r="G32" s="3">
        <f t="shared" si="4"/>
        <v>1570.8000000000002</v>
      </c>
      <c r="H32" s="3">
        <f t="shared" si="5"/>
        <v>112155.12000000002</v>
      </c>
    </row>
    <row r="33" spans="2:8" x14ac:dyDescent="0.3">
      <c r="B33" s="3">
        <v>8</v>
      </c>
      <c r="C33" s="3">
        <v>73.2</v>
      </c>
      <c r="D33" s="3">
        <v>76.8</v>
      </c>
      <c r="E33" s="3">
        <f t="shared" si="3"/>
        <v>75</v>
      </c>
      <c r="F33" s="3">
        <v>14</v>
      </c>
      <c r="G33" s="3">
        <f t="shared" si="4"/>
        <v>1050</v>
      </c>
      <c r="H33" s="3">
        <f t="shared" si="5"/>
        <v>78750</v>
      </c>
    </row>
    <row r="34" spans="2:8" x14ac:dyDescent="0.3">
      <c r="B34" s="3">
        <v>9</v>
      </c>
      <c r="C34" s="3">
        <v>76.8</v>
      </c>
      <c r="D34" s="3">
        <v>80.400000000000006</v>
      </c>
      <c r="E34" s="3">
        <f t="shared" si="3"/>
        <v>78.599999999999994</v>
      </c>
      <c r="F34" s="3">
        <v>7</v>
      </c>
      <c r="G34" s="3">
        <f t="shared" si="4"/>
        <v>550.19999999999993</v>
      </c>
      <c r="H34" s="3">
        <f t="shared" si="5"/>
        <v>43245.719999999994</v>
      </c>
    </row>
    <row r="35" spans="2:8" x14ac:dyDescent="0.3">
      <c r="B35" s="3">
        <v>10</v>
      </c>
      <c r="C35" s="3">
        <v>80.400000000000006</v>
      </c>
      <c r="D35" s="3">
        <v>84</v>
      </c>
      <c r="E35" s="3">
        <f t="shared" si="3"/>
        <v>82.2</v>
      </c>
      <c r="F35" s="3">
        <v>1</v>
      </c>
      <c r="G35" s="3">
        <f t="shared" si="4"/>
        <v>82.2</v>
      </c>
      <c r="H35" s="3">
        <f t="shared" si="5"/>
        <v>6756.84</v>
      </c>
    </row>
    <row r="36" spans="2:8" x14ac:dyDescent="0.3">
      <c r="B36" s="3"/>
      <c r="C36" s="3"/>
      <c r="D36" s="3"/>
      <c r="E36" s="3"/>
      <c r="F36" s="3"/>
      <c r="G36" s="3"/>
      <c r="H36" s="3"/>
    </row>
    <row r="37" spans="2:8" x14ac:dyDescent="0.3">
      <c r="B37" s="3" t="s">
        <v>24</v>
      </c>
      <c r="C37" s="3"/>
      <c r="D37" s="3"/>
      <c r="E37" s="3"/>
      <c r="F37" s="3">
        <f>SUM(F26:F35)</f>
        <v>200</v>
      </c>
      <c r="G37" s="3">
        <f>SUM(G26:G35)</f>
        <v>12987.600000000002</v>
      </c>
      <c r="H37" s="3">
        <f>SUM(H26:H35)</f>
        <v>851224.32</v>
      </c>
    </row>
    <row r="38" spans="2:8" x14ac:dyDescent="0.3">
      <c r="B38" s="3" t="s">
        <v>25</v>
      </c>
      <c r="C38" s="3"/>
      <c r="D38" s="3"/>
      <c r="E38" s="3"/>
      <c r="F38" s="3">
        <f>F37/'1'!G2</f>
        <v>1</v>
      </c>
      <c r="G38" s="3">
        <f>G37/'1'!G2</f>
        <v>64.938000000000017</v>
      </c>
      <c r="H38" s="3">
        <f>H37/'1'!G2</f>
        <v>4256.1215999999995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>
      <selection activeCell="D4" sqref="D4:D8"/>
    </sheetView>
  </sheetViews>
  <sheetFormatPr defaultRowHeight="14.4" x14ac:dyDescent="0.3"/>
  <cols>
    <col min="1" max="1" width="25.77734375" style="5" customWidth="1"/>
    <col min="2" max="2" width="8.44140625" style="5" customWidth="1"/>
    <col min="3" max="3" width="7.44140625" style="5" customWidth="1"/>
    <col min="4" max="4" width="51.44140625" style="5" customWidth="1"/>
    <col min="5" max="5" width="12.77734375" style="5" customWidth="1"/>
    <col min="6" max="6" width="26" style="5" customWidth="1"/>
    <col min="7" max="7" width="10.109375" style="5" customWidth="1"/>
    <col min="8" max="8" width="53" style="5" customWidth="1"/>
    <col min="9" max="16384" width="8.88671875" style="5"/>
  </cols>
  <sheetData>
    <row r="1" spans="1:10" x14ac:dyDescent="0.3">
      <c r="A1" s="5" t="s">
        <v>29</v>
      </c>
      <c r="F1" s="5" t="s">
        <v>30</v>
      </c>
    </row>
    <row r="2" spans="1:10" x14ac:dyDescent="0.3">
      <c r="H2" s="3" t="s">
        <v>22</v>
      </c>
      <c r="I2" s="3">
        <f>AVERAGE('1'!C2:C201)</f>
        <v>65.02</v>
      </c>
    </row>
    <row r="3" spans="1:10" x14ac:dyDescent="0.3">
      <c r="H3" s="3" t="s">
        <v>26</v>
      </c>
      <c r="I3" s="3">
        <f>VARP('1'!C2:C201)</f>
        <v>39.249599999999965</v>
      </c>
      <c r="J3" s="3">
        <f>VAR('1'!C2:C201)</f>
        <v>39.446834170854238</v>
      </c>
    </row>
    <row r="4" spans="1:10" x14ac:dyDescent="0.3">
      <c r="D4" s="3" t="s">
        <v>22</v>
      </c>
      <c r="E4" s="3">
        <f>AVERAGE('1'!B2:B201)</f>
        <v>169.595</v>
      </c>
      <c r="H4" s="3" t="s">
        <v>27</v>
      </c>
      <c r="I4" s="3">
        <f>STDEV('1'!C2:C201)</f>
        <v>6.2806714745203989</v>
      </c>
    </row>
    <row r="5" spans="1:10" x14ac:dyDescent="0.3">
      <c r="D5" s="3" t="s">
        <v>26</v>
      </c>
      <c r="E5" s="3">
        <f>VARP('1'!B2:B201)</f>
        <v>37.760974999999988</v>
      </c>
      <c r="F5" s="3">
        <f>VAR('1'!B2:B201)</f>
        <v>37.950728643216067</v>
      </c>
      <c r="H5" s="3" t="s">
        <v>28</v>
      </c>
      <c r="I5" s="3">
        <f>MODE('1'!C2:C201)</f>
        <v>66</v>
      </c>
    </row>
    <row r="6" spans="1:10" x14ac:dyDescent="0.3">
      <c r="D6" s="3" t="s">
        <v>27</v>
      </c>
      <c r="E6" s="3">
        <f>STDEV('1'!B2:B201)</f>
        <v>6.1604162719102078</v>
      </c>
      <c r="H6" s="3" t="s">
        <v>31</v>
      </c>
      <c r="I6" s="3">
        <f>MEDIAN('1'!C2:C201)</f>
        <v>65</v>
      </c>
    </row>
    <row r="7" spans="1:10" x14ac:dyDescent="0.3">
      <c r="D7" s="3" t="s">
        <v>28</v>
      </c>
      <c r="E7" s="3">
        <f>MODE('1'!B2:B201)</f>
        <v>170</v>
      </c>
    </row>
    <row r="8" spans="1:10" x14ac:dyDescent="0.3">
      <c r="D8" s="3" t="s">
        <v>31</v>
      </c>
      <c r="E8" s="3">
        <f>MEDIAN('1'!B2:B201)</f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50" zoomScaleNormal="50" workbookViewId="0">
      <selection activeCell="A9" sqref="A9"/>
    </sheetView>
  </sheetViews>
  <sheetFormatPr defaultRowHeight="14.4" x14ac:dyDescent="0.3"/>
  <cols>
    <col min="1" max="1" width="49.44140625" style="5" customWidth="1"/>
    <col min="2" max="2" width="13.21875" style="5" customWidth="1"/>
    <col min="3" max="3" width="13.44140625" style="5" customWidth="1"/>
    <col min="4" max="4" width="12.88671875" style="5" customWidth="1"/>
    <col min="5" max="5" width="8.88671875" style="5"/>
    <col min="6" max="6" width="19.21875" style="5" customWidth="1"/>
    <col min="7" max="7" width="17.77734375" style="5" customWidth="1"/>
    <col min="8" max="8" width="14.77734375" style="5" customWidth="1"/>
    <col min="9" max="16384" width="8.88671875" style="5"/>
  </cols>
  <sheetData>
    <row r="1" spans="1:7" x14ac:dyDescent="0.3">
      <c r="A1" s="5" t="s">
        <v>29</v>
      </c>
      <c r="F1" s="3" t="s">
        <v>32</v>
      </c>
      <c r="G1" s="3">
        <v>0.95</v>
      </c>
    </row>
    <row r="3" spans="1:7" x14ac:dyDescent="0.3">
      <c r="A3" s="3" t="s">
        <v>22</v>
      </c>
      <c r="B3" s="3">
        <v>169.595</v>
      </c>
    </row>
    <row r="4" spans="1:7" x14ac:dyDescent="0.3">
      <c r="A4" s="3" t="s">
        <v>26</v>
      </c>
      <c r="B4" s="3">
        <v>37.760975000000002</v>
      </c>
      <c r="C4" s="3">
        <v>37.957286400000001</v>
      </c>
    </row>
    <row r="5" spans="1:7" x14ac:dyDescent="0.3">
      <c r="A5" s="3" t="s">
        <v>27</v>
      </c>
      <c r="B5" s="3">
        <v>6.160416272</v>
      </c>
    </row>
    <row r="6" spans="1:7" x14ac:dyDescent="0.3">
      <c r="A6" s="3" t="s">
        <v>28</v>
      </c>
      <c r="B6" s="3">
        <v>170</v>
      </c>
    </row>
    <row r="7" spans="1:7" x14ac:dyDescent="0.3">
      <c r="A7" s="3" t="s">
        <v>31</v>
      </c>
      <c r="B7" s="3">
        <v>169</v>
      </c>
    </row>
    <row r="9" spans="1:7" x14ac:dyDescent="0.3">
      <c r="A9" s="12" t="s">
        <v>44</v>
      </c>
      <c r="B9" s="12">
        <v>200</v>
      </c>
    </row>
    <row r="11" spans="1:7" x14ac:dyDescent="0.3">
      <c r="B11" s="5" t="s">
        <v>33</v>
      </c>
    </row>
    <row r="12" spans="1:7" x14ac:dyDescent="0.3">
      <c r="B12" s="3" t="s">
        <v>37</v>
      </c>
      <c r="C12" s="3">
        <v>36</v>
      </c>
      <c r="D12" s="3"/>
    </row>
    <row r="13" spans="1:7" x14ac:dyDescent="0.3">
      <c r="B13" s="3" t="s">
        <v>38</v>
      </c>
      <c r="C13" s="3">
        <v>6</v>
      </c>
      <c r="D13" s="3"/>
    </row>
    <row r="14" spans="1:7" x14ac:dyDescent="0.3">
      <c r="B14" s="3" t="s">
        <v>39</v>
      </c>
      <c r="C14" s="3">
        <f>$G$1</f>
        <v>0.95</v>
      </c>
      <c r="D14" s="3"/>
    </row>
    <row r="15" spans="1:7" x14ac:dyDescent="0.3">
      <c r="B15" s="3" t="s">
        <v>40</v>
      </c>
      <c r="C15" s="3">
        <f>C14/2</f>
        <v>0.47499999999999998</v>
      </c>
      <c r="D15" s="3"/>
    </row>
    <row r="16" spans="1:7" x14ac:dyDescent="0.3">
      <c r="B16" s="3" t="s">
        <v>41</v>
      </c>
      <c r="C16" s="3">
        <f>_xlfn.NORM.S.INV(C15+0.5)</f>
        <v>1.9599639845400536</v>
      </c>
      <c r="D16" s="3"/>
    </row>
    <row r="17" spans="2:4" x14ac:dyDescent="0.3">
      <c r="B17" s="3" t="s">
        <v>42</v>
      </c>
      <c r="C17" s="3">
        <f>C16*C13/SQRT(B9)</f>
        <v>0.83154229460980655</v>
      </c>
      <c r="D17" s="3"/>
    </row>
    <row r="18" spans="2:4" x14ac:dyDescent="0.3">
      <c r="B18" s="3" t="s">
        <v>43</v>
      </c>
      <c r="C18" s="3">
        <f>B3-C17</f>
        <v>168.76345770539018</v>
      </c>
      <c r="D18" s="3">
        <f>B3+C17</f>
        <v>170.42654229460982</v>
      </c>
    </row>
    <row r="22" spans="2:4" x14ac:dyDescent="0.3">
      <c r="B22" s="5" t="s">
        <v>34</v>
      </c>
    </row>
    <row r="23" spans="2:4" x14ac:dyDescent="0.3">
      <c r="B23" s="3" t="s">
        <v>41</v>
      </c>
      <c r="C23" s="3">
        <f>_xlfn.T.INV.2T(1-G1,B9-1)</f>
        <v>1.9719565442517553</v>
      </c>
      <c r="D23" s="3"/>
    </row>
    <row r="24" spans="2:4" x14ac:dyDescent="0.3">
      <c r="B24" s="3" t="s">
        <v>45</v>
      </c>
      <c r="C24" s="3">
        <f>C23*B5/SQRT(B9)</f>
        <v>0.85899849259687133</v>
      </c>
      <c r="D24" s="3"/>
    </row>
    <row r="25" spans="2:4" x14ac:dyDescent="0.3">
      <c r="B25" s="3" t="s">
        <v>43</v>
      </c>
      <c r="C25" s="3">
        <f>B3-C24</f>
        <v>168.73600150740313</v>
      </c>
      <c r="D25" s="3">
        <f>B3+C24</f>
        <v>170.45399849259687</v>
      </c>
    </row>
    <row r="29" spans="2:4" x14ac:dyDescent="0.3">
      <c r="B29" s="5" t="s">
        <v>35</v>
      </c>
    </row>
    <row r="30" spans="2:4" x14ac:dyDescent="0.3">
      <c r="B30" s="3" t="s">
        <v>46</v>
      </c>
      <c r="C30" s="3">
        <f>_xlfn.CHISQ.INV((1-G1)/2,B9-1)</f>
        <v>161.82618239364686</v>
      </c>
      <c r="D30" s="3"/>
    </row>
    <row r="31" spans="2:4" x14ac:dyDescent="0.3">
      <c r="B31" s="3" t="s">
        <v>47</v>
      </c>
      <c r="C31" s="3">
        <f>_xlfn.CHISQ.INV((1+G1)/2,B9-1)</f>
        <v>239.9596818276442</v>
      </c>
      <c r="D31" s="3"/>
    </row>
    <row r="32" spans="2:4" x14ac:dyDescent="0.3">
      <c r="B32" s="3" t="s">
        <v>48</v>
      </c>
      <c r="C32" s="3">
        <f>(B9-1)*C4</f>
        <v>7553.4999936000004</v>
      </c>
      <c r="D32" s="3"/>
    </row>
    <row r="33" spans="2:8" x14ac:dyDescent="0.3">
      <c r="B33" s="3" t="s">
        <v>43</v>
      </c>
      <c r="C33" s="3">
        <f>C32/C31</f>
        <v>31.478204738683775</v>
      </c>
      <c r="D33" s="3">
        <f>C32/C30</f>
        <v>46.676624770309999</v>
      </c>
    </row>
    <row r="37" spans="2:8" x14ac:dyDescent="0.3">
      <c r="B37" s="5" t="s">
        <v>36</v>
      </c>
    </row>
    <row r="38" spans="2:8" x14ac:dyDescent="0.3">
      <c r="B38" s="3" t="s">
        <v>49</v>
      </c>
      <c r="C38" s="3">
        <v>170</v>
      </c>
      <c r="D38" s="3"/>
      <c r="F38" s="3" t="s">
        <v>20</v>
      </c>
      <c r="G38" s="3" t="s">
        <v>21</v>
      </c>
      <c r="H38" s="3" t="s">
        <v>50</v>
      </c>
    </row>
    <row r="39" spans="2:8" x14ac:dyDescent="0.3">
      <c r="B39" s="3" t="s">
        <v>46</v>
      </c>
      <c r="C39" s="3">
        <f>_xlfn.CHISQ.INV((1-G1)/2,B9)</f>
        <v>162.7279825018463</v>
      </c>
      <c r="D39" s="3"/>
      <c r="F39" s="3">
        <v>157.6</v>
      </c>
      <c r="G39" s="3">
        <v>12</v>
      </c>
      <c r="H39" s="3">
        <f>((F39-C38)^2)*G39</f>
        <v>1845.1200000000017</v>
      </c>
    </row>
    <row r="40" spans="2:8" x14ac:dyDescent="0.3">
      <c r="B40" s="3" t="s">
        <v>47</v>
      </c>
      <c r="C40" s="3">
        <f>_xlfn.CHISQ.INV((1+G1)/2,B9)</f>
        <v>241.0578955063109</v>
      </c>
      <c r="D40" s="3"/>
      <c r="F40" s="3">
        <v>160.80000000000001</v>
      </c>
      <c r="G40" s="3">
        <v>11</v>
      </c>
      <c r="H40" s="3">
        <f>((F40-C38)^2)*G40</f>
        <v>931.03999999999769</v>
      </c>
    </row>
    <row r="41" spans="2:8" x14ac:dyDescent="0.3">
      <c r="B41" s="3" t="s">
        <v>37</v>
      </c>
      <c r="C41" s="3">
        <f>SUM(H39:H48)/B9</f>
        <v>38.252800000000008</v>
      </c>
      <c r="D41" s="3"/>
      <c r="F41" s="3">
        <v>164</v>
      </c>
      <c r="G41" s="3">
        <v>31</v>
      </c>
      <c r="H41" s="3">
        <f>((F41-C38)^2)*G41</f>
        <v>1116</v>
      </c>
    </row>
    <row r="42" spans="2:8" x14ac:dyDescent="0.3">
      <c r="B42" s="3" t="s">
        <v>43</v>
      </c>
      <c r="C42" s="3">
        <f>B9*C41/C40</f>
        <v>31.737437945896733</v>
      </c>
      <c r="D42" s="3">
        <f>B9*C41/C39</f>
        <v>47.014409460359396</v>
      </c>
      <c r="F42" s="3">
        <v>167.2</v>
      </c>
      <c r="G42" s="3">
        <v>37</v>
      </c>
      <c r="H42" s="3">
        <f>((F42-C38)^2)*G42</f>
        <v>290.08000000000237</v>
      </c>
    </row>
    <row r="43" spans="2:8" x14ac:dyDescent="0.3">
      <c r="F43" s="3">
        <v>170.4</v>
      </c>
      <c r="G43" s="3">
        <v>43</v>
      </c>
      <c r="H43" s="3">
        <f>((F43-C38)^2)*G43</f>
        <v>6.8800000000001962</v>
      </c>
    </row>
    <row r="44" spans="2:8" x14ac:dyDescent="0.3">
      <c r="F44" s="3">
        <v>173.6</v>
      </c>
      <c r="G44" s="3">
        <v>30</v>
      </c>
      <c r="H44" s="3">
        <f>((F44-C38)^2)*G44</f>
        <v>388.79999999999876</v>
      </c>
    </row>
    <row r="45" spans="2:8" x14ac:dyDescent="0.3">
      <c r="F45" s="3">
        <v>176.8</v>
      </c>
      <c r="G45" s="3">
        <v>23</v>
      </c>
      <c r="H45" s="3">
        <f>((F45-C38)^2)*G45</f>
        <v>1063.5200000000034</v>
      </c>
    </row>
    <row r="46" spans="2:8" x14ac:dyDescent="0.3">
      <c r="F46" s="3">
        <v>180</v>
      </c>
      <c r="G46" s="3">
        <v>6</v>
      </c>
      <c r="H46" s="3">
        <f>((F46-C38)^2)*G46</f>
        <v>600</v>
      </c>
    </row>
    <row r="47" spans="2:8" x14ac:dyDescent="0.3">
      <c r="F47" s="3">
        <v>183.2</v>
      </c>
      <c r="G47" s="3">
        <v>5</v>
      </c>
      <c r="H47" s="3">
        <f>((F47-C38)^2)*G47</f>
        <v>871.19999999999845</v>
      </c>
    </row>
    <row r="48" spans="2:8" x14ac:dyDescent="0.3">
      <c r="F48" s="3">
        <v>186.4</v>
      </c>
      <c r="G48" s="3">
        <v>2</v>
      </c>
      <c r="H48" s="3">
        <f>((F48-C38)^2)*G48</f>
        <v>537.92000000000041</v>
      </c>
    </row>
    <row r="49" spans="6:8" x14ac:dyDescent="0.3">
      <c r="F49" s="3"/>
      <c r="G49" s="3"/>
      <c r="H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60" zoomScaleNormal="60" workbookViewId="0">
      <selection activeCell="B20" sqref="B20"/>
    </sheetView>
  </sheetViews>
  <sheetFormatPr defaultRowHeight="14.4" x14ac:dyDescent="0.3"/>
  <cols>
    <col min="1" max="1" width="20.44140625" style="5" customWidth="1"/>
    <col min="2" max="2" width="15.88671875" style="5" customWidth="1"/>
    <col min="3" max="3" width="11.77734375" style="5" customWidth="1"/>
    <col min="4" max="4" width="20.44140625" style="5" customWidth="1"/>
    <col min="5" max="5" width="19" style="5" customWidth="1"/>
    <col min="6" max="6" width="10.21875" style="5" customWidth="1"/>
    <col min="7" max="7" width="13.77734375" style="5" customWidth="1"/>
    <col min="8" max="8" width="13.5546875" style="5" customWidth="1"/>
    <col min="9" max="9" width="8.88671875" style="5"/>
    <col min="10" max="10" width="11.33203125" style="5" customWidth="1"/>
    <col min="11" max="11" width="15.21875" style="5" customWidth="1"/>
    <col min="12" max="12" width="21.77734375" style="5" customWidth="1"/>
    <col min="13" max="13" width="8.88671875" style="5"/>
    <col min="14" max="14" width="48.77734375" style="5" customWidth="1"/>
    <col min="15" max="15" width="8.88671875" style="5"/>
    <col min="16" max="16" width="57.33203125" style="5" customWidth="1"/>
    <col min="17" max="16384" width="8.88671875" style="5"/>
  </cols>
  <sheetData>
    <row r="1" spans="1:16" x14ac:dyDescent="0.3">
      <c r="A1" s="3" t="s">
        <v>0</v>
      </c>
      <c r="B1" s="3" t="s">
        <v>14</v>
      </c>
      <c r="C1" s="3" t="s">
        <v>15</v>
      </c>
      <c r="D1" s="3" t="s">
        <v>20</v>
      </c>
      <c r="E1" s="3" t="s">
        <v>21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60</v>
      </c>
      <c r="M1" s="13" t="s">
        <v>57</v>
      </c>
      <c r="N1" s="3" t="s">
        <v>22</v>
      </c>
      <c r="O1" s="3">
        <v>169.50400000000002</v>
      </c>
    </row>
    <row r="2" spans="1:16" x14ac:dyDescent="0.3">
      <c r="A2" s="3">
        <v>1</v>
      </c>
      <c r="B2" s="3">
        <v>156</v>
      </c>
      <c r="C2" s="3">
        <v>159.19999999999999</v>
      </c>
      <c r="D2" s="3">
        <f t="shared" ref="D2:D10" si="0">(B2+C2)/2</f>
        <v>157.6</v>
      </c>
      <c r="E2" s="3">
        <v>12</v>
      </c>
      <c r="F2" s="3">
        <f>(B2-O1)/O3</f>
        <v>-2.1904425538563026</v>
      </c>
      <c r="G2" s="3">
        <v>0</v>
      </c>
      <c r="H2" s="3">
        <f t="shared" ref="H2:H10" si="1">G3-G2</f>
        <v>4.732328859354918E-2</v>
      </c>
      <c r="I2" s="3">
        <f>O6*H2</f>
        <v>9.4646577187098355</v>
      </c>
      <c r="J2" s="3">
        <f t="shared" ref="J2:J10" si="2">E2-I2</f>
        <v>2.5353422812901645</v>
      </c>
      <c r="K2" s="3">
        <f t="shared" ref="K2:K10" si="3">J2^2</f>
        <v>6.4279604832976158</v>
      </c>
      <c r="L2" s="3">
        <f t="shared" ref="L2:L10" si="4">K2/I2</f>
        <v>0.67915403539535879</v>
      </c>
      <c r="N2" s="3" t="s">
        <v>26</v>
      </c>
      <c r="O2" s="3">
        <v>38.006783999993786</v>
      </c>
    </row>
    <row r="3" spans="1:16" x14ac:dyDescent="0.3">
      <c r="A3" s="3">
        <v>2</v>
      </c>
      <c r="B3" s="5">
        <v>159.19999999999999</v>
      </c>
      <c r="C3" s="3">
        <v>162.4</v>
      </c>
      <c r="D3" s="3">
        <f t="shared" si="0"/>
        <v>160.80000000000001</v>
      </c>
      <c r="E3" s="3">
        <v>11</v>
      </c>
      <c r="F3" s="3">
        <f>(B3-O1)/O3</f>
        <v>-1.671380337302679</v>
      </c>
      <c r="G3" s="3">
        <f t="shared" ref="G3:G10" si="5">_xlfn.NORM.S.DIST(F3,TRUE)</f>
        <v>4.732328859354918E-2</v>
      </c>
      <c r="H3" s="3">
        <f t="shared" si="1"/>
        <v>7.72718980836615E-2</v>
      </c>
      <c r="I3" s="3">
        <f>O6*H3</f>
        <v>15.4543796167323</v>
      </c>
      <c r="J3" s="3">
        <f t="shared" si="2"/>
        <v>-4.4543796167323002</v>
      </c>
      <c r="K3" s="3">
        <f t="shared" si="3"/>
        <v>19.841497769960192</v>
      </c>
      <c r="L3" s="3">
        <f t="shared" si="4"/>
        <v>1.2838753972678401</v>
      </c>
      <c r="M3" s="5" t="s">
        <v>58</v>
      </c>
      <c r="N3" s="3" t="s">
        <v>27</v>
      </c>
      <c r="O3" s="3">
        <v>6.1649642334723875</v>
      </c>
    </row>
    <row r="4" spans="1:16" x14ac:dyDescent="0.3">
      <c r="A4" s="3">
        <v>3</v>
      </c>
      <c r="B4" s="3">
        <v>162.4</v>
      </c>
      <c r="C4" s="3">
        <v>165.6</v>
      </c>
      <c r="D4" s="3">
        <f t="shared" si="0"/>
        <v>164</v>
      </c>
      <c r="E4" s="3">
        <v>31</v>
      </c>
      <c r="F4" s="3">
        <f>(B4-O1)/O3</f>
        <v>-1.1523181207490507</v>
      </c>
      <c r="G4" s="3">
        <f t="shared" si="5"/>
        <v>0.12459518667721067</v>
      </c>
      <c r="H4" s="3">
        <f t="shared" si="1"/>
        <v>0.13868808532957702</v>
      </c>
      <c r="I4" s="3">
        <f>O6*H4</f>
        <v>27.737617065915405</v>
      </c>
      <c r="J4" s="3">
        <f t="shared" si="2"/>
        <v>3.2623829340845951</v>
      </c>
      <c r="K4" s="3">
        <f t="shared" si="3"/>
        <v>10.643142408606412</v>
      </c>
      <c r="L4" s="3">
        <f t="shared" si="4"/>
        <v>0.38370788605647527</v>
      </c>
      <c r="N4" s="3" t="s">
        <v>28</v>
      </c>
      <c r="O4" s="3">
        <v>170.4</v>
      </c>
    </row>
    <row r="5" spans="1:16" x14ac:dyDescent="0.3">
      <c r="A5" s="3">
        <v>4</v>
      </c>
      <c r="B5" s="3">
        <v>165.6</v>
      </c>
      <c r="C5" s="3">
        <v>168.8</v>
      </c>
      <c r="D5" s="3">
        <f t="shared" si="0"/>
        <v>167.2</v>
      </c>
      <c r="E5" s="3">
        <v>37</v>
      </c>
      <c r="F5" s="3">
        <f>(B5-O1)/O3</f>
        <v>-0.6332559041954271</v>
      </c>
      <c r="G5" s="3">
        <f t="shared" si="5"/>
        <v>0.26328327200678769</v>
      </c>
      <c r="H5" s="3">
        <f t="shared" si="1"/>
        <v>0.19125885584791258</v>
      </c>
      <c r="I5" s="3">
        <f>O6*H5</f>
        <v>38.251771169582518</v>
      </c>
      <c r="J5" s="3">
        <f t="shared" si="2"/>
        <v>-1.2517711695825184</v>
      </c>
      <c r="K5" s="3">
        <f t="shared" si="3"/>
        <v>1.5669310609979861</v>
      </c>
      <c r="L5" s="3">
        <f t="shared" si="4"/>
        <v>4.0963621110543406E-2</v>
      </c>
    </row>
    <row r="6" spans="1:16" x14ac:dyDescent="0.3">
      <c r="A6" s="3">
        <v>5</v>
      </c>
      <c r="B6" s="3">
        <v>168.8</v>
      </c>
      <c r="C6" s="3">
        <v>172</v>
      </c>
      <c r="D6" s="3">
        <f t="shared" si="0"/>
        <v>170.4</v>
      </c>
      <c r="E6" s="3">
        <v>43</v>
      </c>
      <c r="F6" s="3">
        <f>(B6-O1)/O3</f>
        <v>-0.11419368764179885</v>
      </c>
      <c r="G6" s="3">
        <f t="shared" si="5"/>
        <v>0.45454212785470027</v>
      </c>
      <c r="H6" s="3">
        <f t="shared" si="1"/>
        <v>0.20267079585122916</v>
      </c>
      <c r="I6" s="3">
        <f>O6*H6</f>
        <v>40.534159170245829</v>
      </c>
      <c r="J6" s="3">
        <f t="shared" si="2"/>
        <v>2.4658408297541712</v>
      </c>
      <c r="K6" s="3">
        <f t="shared" si="3"/>
        <v>6.0803709976827394</v>
      </c>
      <c r="L6" s="3">
        <f t="shared" si="4"/>
        <v>0.15000609663925252</v>
      </c>
      <c r="N6" s="9" t="s">
        <v>44</v>
      </c>
      <c r="O6" s="9">
        <v>200</v>
      </c>
    </row>
    <row r="7" spans="1:16" x14ac:dyDescent="0.3">
      <c r="A7" s="3">
        <v>6</v>
      </c>
      <c r="B7" s="3">
        <v>172</v>
      </c>
      <c r="C7" s="3">
        <v>175.2</v>
      </c>
      <c r="D7" s="3">
        <f t="shared" si="0"/>
        <v>173.6</v>
      </c>
      <c r="E7" s="3">
        <v>30</v>
      </c>
      <c r="F7" s="3">
        <f>(B7-O1)/O3</f>
        <v>0.40486852891182473</v>
      </c>
      <c r="G7" s="3">
        <f t="shared" si="5"/>
        <v>0.65721292370592943</v>
      </c>
      <c r="H7" s="3">
        <f t="shared" si="1"/>
        <v>0.16502588916934879</v>
      </c>
      <c r="I7" s="3">
        <f>O6*H7</f>
        <v>33.005177833869759</v>
      </c>
      <c r="J7" s="3">
        <f t="shared" si="2"/>
        <v>-3.0051778338697588</v>
      </c>
      <c r="K7" s="3">
        <f t="shared" si="3"/>
        <v>9.0310938131821352</v>
      </c>
      <c r="L7" s="3">
        <f t="shared" si="4"/>
        <v>0.2736265763705254</v>
      </c>
    </row>
    <row r="8" spans="1:16" x14ac:dyDescent="0.3">
      <c r="A8" s="3">
        <v>7</v>
      </c>
      <c r="B8" s="3">
        <v>175.2</v>
      </c>
      <c r="C8" s="3">
        <v>178.4</v>
      </c>
      <c r="D8" s="3">
        <f t="shared" si="0"/>
        <v>176.8</v>
      </c>
      <c r="E8" s="3">
        <v>23</v>
      </c>
      <c r="F8" s="3">
        <f>(B8-O1)/O3</f>
        <v>0.9239307454654484</v>
      </c>
      <c r="G8" s="3">
        <f t="shared" si="5"/>
        <v>0.82223881287527822</v>
      </c>
      <c r="H8" s="3">
        <f t="shared" si="1"/>
        <v>0.10324996020812494</v>
      </c>
      <c r="I8" s="3">
        <f>O6*H8</f>
        <v>20.649992041624987</v>
      </c>
      <c r="J8" s="3">
        <f t="shared" si="2"/>
        <v>2.3500079583750129</v>
      </c>
      <c r="K8" s="3">
        <f t="shared" si="3"/>
        <v>5.5225374044258961</v>
      </c>
      <c r="L8" s="3">
        <f t="shared" si="4"/>
        <v>0.26743532846375456</v>
      </c>
    </row>
    <row r="9" spans="1:16" x14ac:dyDescent="0.3">
      <c r="A9" s="3">
        <v>8</v>
      </c>
      <c r="B9" s="3">
        <v>178.4</v>
      </c>
      <c r="C9" s="3">
        <v>181.6</v>
      </c>
      <c r="D9" s="3">
        <f t="shared" si="0"/>
        <v>180</v>
      </c>
      <c r="E9" s="3">
        <v>6</v>
      </c>
      <c r="F9" s="3">
        <f>(B9-O1)/O3</f>
        <v>1.4429929620190767</v>
      </c>
      <c r="G9" s="3">
        <f t="shared" si="5"/>
        <v>0.92548877308340316</v>
      </c>
      <c r="H9" s="3">
        <f t="shared" si="1"/>
        <v>4.9633196681471703E-2</v>
      </c>
      <c r="I9" s="3">
        <f>O6*H9</f>
        <v>9.9266393362943397</v>
      </c>
      <c r="J9" s="3">
        <f t="shared" si="2"/>
        <v>-3.9266393362943397</v>
      </c>
      <c r="K9" s="3">
        <f t="shared" si="3"/>
        <v>15.418496477334052</v>
      </c>
      <c r="L9" s="3">
        <f t="shared" si="4"/>
        <v>1.5532443513848715</v>
      </c>
    </row>
    <row r="10" spans="1:16" x14ac:dyDescent="0.3">
      <c r="A10" s="3">
        <v>9</v>
      </c>
      <c r="B10" s="3">
        <v>181.6</v>
      </c>
      <c r="C10" s="3">
        <v>188</v>
      </c>
      <c r="D10" s="3">
        <f t="shared" si="0"/>
        <v>184.8</v>
      </c>
      <c r="E10" s="3">
        <v>7</v>
      </c>
      <c r="F10" s="3">
        <f>(B10-O1)/O3</f>
        <v>1.9620551785727003</v>
      </c>
      <c r="G10" s="3">
        <f t="shared" si="5"/>
        <v>0.97512196976487486</v>
      </c>
      <c r="H10" s="3">
        <f t="shared" si="1"/>
        <v>2.4878030235125137E-2</v>
      </c>
      <c r="I10" s="3">
        <f>O6*H10</f>
        <v>4.9756060470250274</v>
      </c>
      <c r="J10" s="3">
        <f t="shared" si="2"/>
        <v>2.0243939529749726</v>
      </c>
      <c r="K10" s="3">
        <f t="shared" si="3"/>
        <v>4.0981708768416354</v>
      </c>
      <c r="L10" s="3">
        <f t="shared" si="4"/>
        <v>0.82365260394600159</v>
      </c>
      <c r="N10" s="3" t="s">
        <v>61</v>
      </c>
      <c r="O10" s="3">
        <v>0.05</v>
      </c>
    </row>
    <row r="11" spans="1:16" x14ac:dyDescent="0.3">
      <c r="A11" s="3"/>
      <c r="B11" s="3"/>
      <c r="C11" s="3"/>
      <c r="D11" s="3"/>
      <c r="E11" s="3"/>
      <c r="F11" s="3"/>
      <c r="G11" s="3">
        <v>1</v>
      </c>
      <c r="H11" s="3"/>
      <c r="I11" s="3"/>
      <c r="J11" s="3"/>
      <c r="K11" s="3"/>
      <c r="L11" s="3"/>
      <c r="N11" s="3" t="s">
        <v>62</v>
      </c>
      <c r="O11" s="3">
        <v>9</v>
      </c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N12" s="3" t="s">
        <v>63</v>
      </c>
      <c r="O12" s="3">
        <f>10-O11</f>
        <v>1</v>
      </c>
    </row>
    <row r="13" spans="1:16" ht="15.6" x14ac:dyDescent="0.3">
      <c r="A13" s="3" t="s">
        <v>24</v>
      </c>
      <c r="B13" s="3"/>
      <c r="C13" s="3"/>
      <c r="D13" s="3"/>
      <c r="E13" s="3">
        <v>200</v>
      </c>
      <c r="F13" s="3"/>
      <c r="G13" s="3"/>
      <c r="H13" s="3">
        <f>SUM(H2:H10)</f>
        <v>1</v>
      </c>
      <c r="I13" s="3">
        <f>SUM(I2:I10)</f>
        <v>200</v>
      </c>
      <c r="J13" s="3"/>
      <c r="K13" s="3"/>
      <c r="L13" s="3">
        <f>SUM(L2:L10)</f>
        <v>5.4556658966346232</v>
      </c>
      <c r="N13" s="15" t="s">
        <v>64</v>
      </c>
      <c r="O13" s="3">
        <f>_xlfn.CHISQ.INV.RT(O10,O11-O12-1)</f>
        <v>14.067140449340167</v>
      </c>
    </row>
    <row r="14" spans="1:16" x14ac:dyDescent="0.3">
      <c r="A14" s="3" t="s">
        <v>25</v>
      </c>
      <c r="B14" s="3"/>
      <c r="C14" s="3"/>
      <c r="D14" s="3"/>
      <c r="E14" s="3">
        <v>1</v>
      </c>
      <c r="F14" s="3"/>
      <c r="G14" s="3"/>
      <c r="H14" s="3"/>
      <c r="I14" s="3"/>
      <c r="J14" s="3"/>
      <c r="K14" s="3"/>
      <c r="L14" s="3"/>
      <c r="N14" s="3" t="s">
        <v>65</v>
      </c>
      <c r="O14" s="3">
        <f>L13</f>
        <v>5.4556658966346232</v>
      </c>
    </row>
    <row r="16" spans="1:16" x14ac:dyDescent="0.3">
      <c r="P16" s="5" t="s">
        <v>66</v>
      </c>
    </row>
    <row r="17" spans="1:1" x14ac:dyDescent="0.3">
      <c r="A17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zoomScale="90" zoomScaleNormal="90" workbookViewId="0">
      <selection activeCell="R16" sqref="R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8">
        <v>1</v>
      </c>
      <c r="B2" s="8">
        <v>168</v>
      </c>
      <c r="C2" s="8">
        <v>67</v>
      </c>
    </row>
    <row r="3" spans="1:3" x14ac:dyDescent="0.3">
      <c r="A3" s="8">
        <v>2</v>
      </c>
      <c r="B3" s="8">
        <v>177</v>
      </c>
      <c r="C3" s="8">
        <v>68</v>
      </c>
    </row>
    <row r="4" spans="1:3" x14ac:dyDescent="0.3">
      <c r="A4" s="8">
        <v>3</v>
      </c>
      <c r="B4" s="8">
        <v>175</v>
      </c>
      <c r="C4" s="8">
        <v>67</v>
      </c>
    </row>
    <row r="5" spans="1:3" x14ac:dyDescent="0.3">
      <c r="A5" s="8">
        <v>4</v>
      </c>
      <c r="B5" s="8">
        <v>160</v>
      </c>
      <c r="C5" s="8">
        <v>59</v>
      </c>
    </row>
    <row r="6" spans="1:3" x14ac:dyDescent="0.3">
      <c r="A6" s="8">
        <v>5</v>
      </c>
      <c r="B6" s="8">
        <v>172</v>
      </c>
      <c r="C6" s="8">
        <v>70</v>
      </c>
    </row>
    <row r="7" spans="1:3" x14ac:dyDescent="0.3">
      <c r="A7" s="8">
        <v>6</v>
      </c>
      <c r="B7" s="8">
        <v>171</v>
      </c>
      <c r="C7" s="8">
        <v>66</v>
      </c>
    </row>
    <row r="8" spans="1:3" x14ac:dyDescent="0.3">
      <c r="A8" s="8">
        <v>7</v>
      </c>
      <c r="B8" s="8">
        <v>159</v>
      </c>
      <c r="C8" s="8">
        <v>57</v>
      </c>
    </row>
    <row r="9" spans="1:3" x14ac:dyDescent="0.3">
      <c r="A9" s="8">
        <v>8</v>
      </c>
      <c r="B9" s="8">
        <v>165</v>
      </c>
      <c r="C9" s="8">
        <v>63</v>
      </c>
    </row>
    <row r="10" spans="1:3" x14ac:dyDescent="0.3">
      <c r="A10" s="8">
        <v>9</v>
      </c>
      <c r="B10" s="8">
        <v>173</v>
      </c>
      <c r="C10" s="8">
        <v>64</v>
      </c>
    </row>
    <row r="11" spans="1:3" x14ac:dyDescent="0.3">
      <c r="A11" s="8">
        <v>10</v>
      </c>
      <c r="B11" s="8">
        <v>174</v>
      </c>
      <c r="C11" s="8">
        <v>74</v>
      </c>
    </row>
    <row r="12" spans="1:3" x14ac:dyDescent="0.3">
      <c r="A12" s="8">
        <v>11</v>
      </c>
      <c r="B12" s="8">
        <v>161</v>
      </c>
      <c r="C12" s="8">
        <v>60</v>
      </c>
    </row>
    <row r="13" spans="1:3" x14ac:dyDescent="0.3">
      <c r="A13" s="8">
        <v>12</v>
      </c>
      <c r="B13" s="8">
        <v>165</v>
      </c>
      <c r="C13" s="8">
        <v>60</v>
      </c>
    </row>
    <row r="14" spans="1:3" x14ac:dyDescent="0.3">
      <c r="A14" s="8">
        <v>13</v>
      </c>
      <c r="B14" s="8">
        <v>175</v>
      </c>
      <c r="C14" s="8">
        <v>59</v>
      </c>
    </row>
    <row r="15" spans="1:3" x14ac:dyDescent="0.3">
      <c r="A15" s="8">
        <v>14</v>
      </c>
      <c r="B15" s="8">
        <v>176</v>
      </c>
      <c r="C15" s="8">
        <v>65</v>
      </c>
    </row>
    <row r="16" spans="1:3" x14ac:dyDescent="0.3">
      <c r="A16" s="8">
        <v>15</v>
      </c>
      <c r="B16" s="8">
        <v>170</v>
      </c>
      <c r="C16" s="8">
        <v>73</v>
      </c>
    </row>
    <row r="17" spans="1:3" x14ac:dyDescent="0.3">
      <c r="A17" s="8">
        <v>16</v>
      </c>
      <c r="B17" s="8">
        <v>184</v>
      </c>
      <c r="C17" s="8">
        <v>68</v>
      </c>
    </row>
    <row r="18" spans="1:3" x14ac:dyDescent="0.3">
      <c r="A18" s="8">
        <v>17</v>
      </c>
      <c r="B18" s="8">
        <v>171</v>
      </c>
      <c r="C18" s="8">
        <v>72</v>
      </c>
    </row>
    <row r="19" spans="1:3" x14ac:dyDescent="0.3">
      <c r="A19" s="8">
        <v>18</v>
      </c>
      <c r="B19" s="8">
        <v>172</v>
      </c>
      <c r="C19" s="8">
        <v>63</v>
      </c>
    </row>
    <row r="20" spans="1:3" x14ac:dyDescent="0.3">
      <c r="A20" s="8">
        <v>19</v>
      </c>
      <c r="B20" s="8">
        <v>176</v>
      </c>
      <c r="C20" s="8">
        <v>70</v>
      </c>
    </row>
    <row r="21" spans="1:3" x14ac:dyDescent="0.3">
      <c r="A21" s="8">
        <v>20</v>
      </c>
      <c r="B21" s="8">
        <v>159</v>
      </c>
      <c r="C21" s="8">
        <v>48</v>
      </c>
    </row>
    <row r="22" spans="1:3" x14ac:dyDescent="0.3">
      <c r="A22" s="8">
        <v>21</v>
      </c>
      <c r="B22" s="8">
        <v>178</v>
      </c>
      <c r="C22" s="8">
        <v>62</v>
      </c>
    </row>
    <row r="23" spans="1:3" x14ac:dyDescent="0.3">
      <c r="A23" s="8">
        <v>22</v>
      </c>
      <c r="B23" s="8">
        <v>164</v>
      </c>
      <c r="C23" s="8">
        <v>61</v>
      </c>
    </row>
    <row r="24" spans="1:3" x14ac:dyDescent="0.3">
      <c r="A24" s="8">
        <v>23</v>
      </c>
      <c r="B24" s="8">
        <v>173</v>
      </c>
      <c r="C24" s="8">
        <v>71</v>
      </c>
    </row>
    <row r="25" spans="1:3" x14ac:dyDescent="0.3">
      <c r="A25" s="8">
        <v>24</v>
      </c>
      <c r="B25" s="8">
        <v>175</v>
      </c>
      <c r="C25" s="8">
        <v>66</v>
      </c>
    </row>
    <row r="26" spans="1:3" x14ac:dyDescent="0.3">
      <c r="A26" s="8">
        <v>25</v>
      </c>
      <c r="B26" s="8">
        <v>159</v>
      </c>
      <c r="C26" s="8">
        <v>55</v>
      </c>
    </row>
    <row r="27" spans="1:3" x14ac:dyDescent="0.3">
      <c r="A27" s="8">
        <v>26</v>
      </c>
      <c r="B27" s="8">
        <v>169</v>
      </c>
      <c r="C27" s="8">
        <v>55</v>
      </c>
    </row>
    <row r="28" spans="1:3" x14ac:dyDescent="0.3">
      <c r="A28" s="8">
        <v>27</v>
      </c>
      <c r="B28" s="8">
        <v>173</v>
      </c>
      <c r="C28" s="8">
        <v>75</v>
      </c>
    </row>
    <row r="29" spans="1:3" x14ac:dyDescent="0.3">
      <c r="A29" s="8">
        <v>28</v>
      </c>
      <c r="B29" s="8">
        <v>173</v>
      </c>
      <c r="C29" s="8">
        <v>66</v>
      </c>
    </row>
    <row r="30" spans="1:3" x14ac:dyDescent="0.3">
      <c r="A30" s="8">
        <v>29</v>
      </c>
      <c r="B30" s="8">
        <v>161</v>
      </c>
      <c r="C30" s="8">
        <v>60</v>
      </c>
    </row>
    <row r="31" spans="1:3" x14ac:dyDescent="0.3">
      <c r="A31" s="8">
        <v>30</v>
      </c>
      <c r="B31" s="8">
        <v>168</v>
      </c>
      <c r="C31" s="8">
        <v>63</v>
      </c>
    </row>
    <row r="32" spans="1:3" x14ac:dyDescent="0.3">
      <c r="A32" s="8">
        <v>31</v>
      </c>
      <c r="B32" s="8">
        <v>168</v>
      </c>
      <c r="C32" s="8">
        <v>67</v>
      </c>
    </row>
    <row r="33" spans="1:3" x14ac:dyDescent="0.3">
      <c r="A33" s="8">
        <v>32</v>
      </c>
      <c r="B33" s="8">
        <v>164</v>
      </c>
      <c r="C33" s="8">
        <v>59</v>
      </c>
    </row>
    <row r="34" spans="1:3" x14ac:dyDescent="0.3">
      <c r="A34" s="8">
        <v>33</v>
      </c>
      <c r="B34" s="8">
        <v>168</v>
      </c>
      <c r="C34" s="8">
        <v>64</v>
      </c>
    </row>
    <row r="35" spans="1:3" x14ac:dyDescent="0.3">
      <c r="A35" s="8">
        <v>34</v>
      </c>
      <c r="B35" s="8">
        <v>181</v>
      </c>
      <c r="C35" s="8">
        <v>69</v>
      </c>
    </row>
    <row r="36" spans="1:3" x14ac:dyDescent="0.3">
      <c r="A36" s="8">
        <v>35</v>
      </c>
      <c r="B36" s="8">
        <v>170</v>
      </c>
      <c r="C36" s="8">
        <v>73</v>
      </c>
    </row>
    <row r="37" spans="1:3" x14ac:dyDescent="0.3">
      <c r="A37" s="8">
        <v>36</v>
      </c>
      <c r="B37" s="8">
        <v>184</v>
      </c>
      <c r="C37" s="8">
        <v>68</v>
      </c>
    </row>
    <row r="38" spans="1:3" x14ac:dyDescent="0.3">
      <c r="A38" s="8">
        <v>37</v>
      </c>
      <c r="B38" s="8">
        <v>169</v>
      </c>
      <c r="C38" s="8">
        <v>66</v>
      </c>
    </row>
    <row r="39" spans="1:3" x14ac:dyDescent="0.3">
      <c r="A39" s="8">
        <v>38</v>
      </c>
      <c r="B39" s="8">
        <v>170</v>
      </c>
      <c r="C39" s="8">
        <v>76</v>
      </c>
    </row>
    <row r="40" spans="1:3" x14ac:dyDescent="0.3">
      <c r="A40" s="8">
        <v>39</v>
      </c>
      <c r="B40" s="8">
        <v>176</v>
      </c>
      <c r="C40" s="8">
        <v>67</v>
      </c>
    </row>
    <row r="41" spans="1:3" x14ac:dyDescent="0.3">
      <c r="A41" s="8">
        <v>40</v>
      </c>
      <c r="B41" s="8">
        <v>169</v>
      </c>
      <c r="C41" s="8">
        <v>64</v>
      </c>
    </row>
    <row r="42" spans="1:3" x14ac:dyDescent="0.3">
      <c r="A42" s="8">
        <v>41</v>
      </c>
      <c r="B42" s="8">
        <v>170</v>
      </c>
      <c r="C42" s="8">
        <v>61</v>
      </c>
    </row>
    <row r="43" spans="1:3" x14ac:dyDescent="0.3">
      <c r="A43" s="8">
        <v>42</v>
      </c>
      <c r="B43" s="8">
        <v>171</v>
      </c>
      <c r="C43" s="8">
        <v>72</v>
      </c>
    </row>
    <row r="44" spans="1:3" x14ac:dyDescent="0.3">
      <c r="A44" s="8">
        <v>43</v>
      </c>
      <c r="B44" s="8">
        <v>168</v>
      </c>
      <c r="C44" s="8">
        <v>59</v>
      </c>
    </row>
    <row r="45" spans="1:3" x14ac:dyDescent="0.3">
      <c r="A45" s="8">
        <v>44</v>
      </c>
      <c r="B45" s="8">
        <v>161</v>
      </c>
      <c r="C45" s="8">
        <v>51</v>
      </c>
    </row>
    <row r="46" spans="1:3" x14ac:dyDescent="0.3">
      <c r="A46" s="8">
        <v>45</v>
      </c>
      <c r="B46" s="8">
        <v>165</v>
      </c>
      <c r="C46" s="8">
        <v>60</v>
      </c>
    </row>
    <row r="47" spans="1:3" x14ac:dyDescent="0.3">
      <c r="A47" s="8">
        <v>46</v>
      </c>
      <c r="B47" s="8">
        <v>168</v>
      </c>
      <c r="C47" s="8">
        <v>50</v>
      </c>
    </row>
    <row r="48" spans="1:3" x14ac:dyDescent="0.3">
      <c r="A48" s="8">
        <v>47</v>
      </c>
      <c r="B48" s="8">
        <v>175</v>
      </c>
      <c r="C48" s="8">
        <v>64</v>
      </c>
    </row>
    <row r="49" spans="1:3" x14ac:dyDescent="0.3">
      <c r="A49" s="8">
        <v>48</v>
      </c>
      <c r="B49" s="8">
        <v>174</v>
      </c>
      <c r="C49" s="8">
        <v>66</v>
      </c>
    </row>
    <row r="50" spans="1:3" x14ac:dyDescent="0.3">
      <c r="A50" s="8">
        <v>49</v>
      </c>
      <c r="B50" s="8">
        <v>188</v>
      </c>
      <c r="C50" s="8">
        <v>75</v>
      </c>
    </row>
    <row r="51" spans="1:3" x14ac:dyDescent="0.3">
      <c r="A51" s="8">
        <v>50</v>
      </c>
      <c r="B51" s="8">
        <v>166</v>
      </c>
      <c r="C51" s="8">
        <v>67</v>
      </c>
    </row>
    <row r="52" spans="1:3" x14ac:dyDescent="0.3">
      <c r="A52" s="8">
        <v>51</v>
      </c>
      <c r="B52" s="8">
        <v>178</v>
      </c>
      <c r="C52" s="8">
        <v>73</v>
      </c>
    </row>
    <row r="53" spans="1:3" x14ac:dyDescent="0.3">
      <c r="A53" s="8">
        <v>52</v>
      </c>
      <c r="B53" s="8">
        <v>163</v>
      </c>
      <c r="C53" s="8">
        <v>63</v>
      </c>
    </row>
    <row r="54" spans="1:3" x14ac:dyDescent="0.3">
      <c r="A54" s="8">
        <v>53</v>
      </c>
      <c r="B54" s="8">
        <v>170</v>
      </c>
      <c r="C54" s="8">
        <v>75</v>
      </c>
    </row>
    <row r="55" spans="1:3" x14ac:dyDescent="0.3">
      <c r="A55" s="8">
        <v>54</v>
      </c>
      <c r="B55" s="8">
        <v>164</v>
      </c>
      <c r="C55" s="8">
        <v>60</v>
      </c>
    </row>
    <row r="56" spans="1:3" x14ac:dyDescent="0.3">
      <c r="A56" s="8">
        <v>55</v>
      </c>
      <c r="B56" s="8">
        <v>164</v>
      </c>
      <c r="C56" s="8">
        <v>56</v>
      </c>
    </row>
    <row r="57" spans="1:3" x14ac:dyDescent="0.3">
      <c r="A57" s="8">
        <v>56</v>
      </c>
      <c r="B57" s="8">
        <v>168</v>
      </c>
      <c r="C57" s="8">
        <v>59</v>
      </c>
    </row>
    <row r="58" spans="1:3" x14ac:dyDescent="0.3">
      <c r="A58" s="8">
        <v>57</v>
      </c>
      <c r="B58" s="8">
        <v>167</v>
      </c>
      <c r="C58" s="8">
        <v>61</v>
      </c>
    </row>
    <row r="59" spans="1:3" x14ac:dyDescent="0.3">
      <c r="A59" s="8">
        <v>58</v>
      </c>
      <c r="B59" s="8">
        <v>166</v>
      </c>
      <c r="C59" s="8">
        <v>62</v>
      </c>
    </row>
    <row r="60" spans="1:3" x14ac:dyDescent="0.3">
      <c r="A60" s="8">
        <v>59</v>
      </c>
      <c r="B60" s="8">
        <v>162</v>
      </c>
      <c r="C60" s="8">
        <v>65</v>
      </c>
    </row>
    <row r="61" spans="1:3" x14ac:dyDescent="0.3">
      <c r="A61" s="8">
        <v>60</v>
      </c>
      <c r="B61" s="8">
        <v>171</v>
      </c>
      <c r="C61" s="8">
        <v>60</v>
      </c>
    </row>
    <row r="62" spans="1:3" x14ac:dyDescent="0.3">
      <c r="A62" s="8">
        <v>61</v>
      </c>
      <c r="B62" s="8">
        <v>168</v>
      </c>
      <c r="C62" s="8">
        <v>62</v>
      </c>
    </row>
    <row r="63" spans="1:3" x14ac:dyDescent="0.3">
      <c r="A63" s="8">
        <v>62</v>
      </c>
      <c r="B63" s="8">
        <v>173</v>
      </c>
      <c r="C63" s="8">
        <v>70</v>
      </c>
    </row>
    <row r="64" spans="1:3" x14ac:dyDescent="0.3">
      <c r="A64" s="8">
        <v>63</v>
      </c>
      <c r="B64" s="8">
        <v>167</v>
      </c>
      <c r="C64" s="8">
        <v>61</v>
      </c>
    </row>
    <row r="65" spans="1:3" x14ac:dyDescent="0.3">
      <c r="A65" s="8">
        <v>64</v>
      </c>
      <c r="B65" s="8">
        <v>170</v>
      </c>
      <c r="C65" s="8">
        <v>74</v>
      </c>
    </row>
    <row r="66" spans="1:3" x14ac:dyDescent="0.3">
      <c r="A66" s="8">
        <v>65</v>
      </c>
      <c r="B66" s="8">
        <v>171</v>
      </c>
      <c r="C66" s="8">
        <v>60</v>
      </c>
    </row>
    <row r="67" spans="1:3" x14ac:dyDescent="0.3">
      <c r="A67" s="8">
        <v>66</v>
      </c>
      <c r="B67" s="8">
        <v>173</v>
      </c>
      <c r="C67" s="8">
        <v>66</v>
      </c>
    </row>
    <row r="68" spans="1:3" x14ac:dyDescent="0.3">
      <c r="A68" s="8">
        <v>67</v>
      </c>
      <c r="B68" s="8">
        <v>187</v>
      </c>
      <c r="C68" s="8">
        <v>84</v>
      </c>
    </row>
    <row r="69" spans="1:3" x14ac:dyDescent="0.3">
      <c r="A69" s="8">
        <v>68</v>
      </c>
      <c r="B69" s="8">
        <v>166</v>
      </c>
      <c r="C69" s="8">
        <v>58</v>
      </c>
    </row>
    <row r="70" spans="1:3" x14ac:dyDescent="0.3">
      <c r="A70" s="8">
        <v>69</v>
      </c>
      <c r="B70" s="8">
        <v>170</v>
      </c>
      <c r="C70" s="8">
        <v>75</v>
      </c>
    </row>
    <row r="71" spans="1:3" x14ac:dyDescent="0.3">
      <c r="A71" s="8">
        <v>70</v>
      </c>
      <c r="B71" s="8">
        <v>178</v>
      </c>
      <c r="C71" s="8">
        <v>69</v>
      </c>
    </row>
    <row r="72" spans="1:3" x14ac:dyDescent="0.3">
      <c r="A72" s="8">
        <v>71</v>
      </c>
      <c r="B72" s="8">
        <v>173</v>
      </c>
      <c r="C72" s="8">
        <v>64</v>
      </c>
    </row>
    <row r="73" spans="1:3" x14ac:dyDescent="0.3">
      <c r="A73" s="8">
        <v>72</v>
      </c>
      <c r="B73" s="8">
        <v>179</v>
      </c>
      <c r="C73" s="8">
        <v>71</v>
      </c>
    </row>
    <row r="74" spans="1:3" x14ac:dyDescent="0.3">
      <c r="A74" s="8">
        <v>73</v>
      </c>
      <c r="B74" s="8">
        <v>171</v>
      </c>
      <c r="C74" s="8">
        <v>64</v>
      </c>
    </row>
    <row r="75" spans="1:3" x14ac:dyDescent="0.3">
      <c r="A75" s="8">
        <v>74</v>
      </c>
      <c r="B75" s="8">
        <v>174</v>
      </c>
      <c r="C75" s="8">
        <v>74</v>
      </c>
    </row>
    <row r="76" spans="1:3" x14ac:dyDescent="0.3">
      <c r="A76" s="8">
        <v>75</v>
      </c>
      <c r="B76" s="8">
        <v>164</v>
      </c>
      <c r="C76" s="8">
        <v>70</v>
      </c>
    </row>
    <row r="77" spans="1:3" x14ac:dyDescent="0.3">
      <c r="A77" s="8">
        <v>76</v>
      </c>
      <c r="B77" s="8">
        <v>173</v>
      </c>
      <c r="C77" s="8">
        <v>69</v>
      </c>
    </row>
    <row r="78" spans="1:3" x14ac:dyDescent="0.3">
      <c r="A78" s="8">
        <v>77</v>
      </c>
      <c r="B78" s="8">
        <v>168</v>
      </c>
      <c r="C78" s="8">
        <v>64</v>
      </c>
    </row>
    <row r="79" spans="1:3" x14ac:dyDescent="0.3">
      <c r="A79" s="8">
        <v>78</v>
      </c>
      <c r="B79" s="8">
        <v>166</v>
      </c>
      <c r="C79" s="8">
        <v>55</v>
      </c>
    </row>
    <row r="80" spans="1:3" x14ac:dyDescent="0.3">
      <c r="A80" s="8">
        <v>79</v>
      </c>
      <c r="B80" s="8">
        <v>177</v>
      </c>
      <c r="C80" s="8">
        <v>67</v>
      </c>
    </row>
    <row r="81" spans="1:3" x14ac:dyDescent="0.3">
      <c r="A81" s="8">
        <v>80</v>
      </c>
      <c r="B81" s="8">
        <v>170</v>
      </c>
      <c r="C81" s="8">
        <v>61</v>
      </c>
    </row>
    <row r="82" spans="1:3" x14ac:dyDescent="0.3">
      <c r="A82" s="8">
        <v>81</v>
      </c>
      <c r="B82" s="8">
        <v>167</v>
      </c>
      <c r="C82" s="8">
        <v>63</v>
      </c>
    </row>
    <row r="83" spans="1:3" x14ac:dyDescent="0.3">
      <c r="A83" s="8">
        <v>82</v>
      </c>
      <c r="B83" s="8">
        <v>174</v>
      </c>
      <c r="C83" s="8">
        <v>75</v>
      </c>
    </row>
    <row r="84" spans="1:3" x14ac:dyDescent="0.3">
      <c r="A84" s="8">
        <v>83</v>
      </c>
      <c r="B84" s="8">
        <v>164</v>
      </c>
      <c r="C84" s="8">
        <v>59</v>
      </c>
    </row>
    <row r="85" spans="1:3" x14ac:dyDescent="0.3">
      <c r="A85" s="8">
        <v>84</v>
      </c>
      <c r="B85" s="8">
        <v>164</v>
      </c>
      <c r="C85" s="8">
        <v>62</v>
      </c>
    </row>
    <row r="86" spans="1:3" x14ac:dyDescent="0.3">
      <c r="A86" s="8">
        <v>85</v>
      </c>
      <c r="B86" s="8">
        <v>178</v>
      </c>
      <c r="C86" s="8">
        <v>60</v>
      </c>
    </row>
    <row r="87" spans="1:3" x14ac:dyDescent="0.3">
      <c r="A87" s="8">
        <v>86</v>
      </c>
      <c r="B87" s="8">
        <v>173</v>
      </c>
      <c r="C87" s="8">
        <v>66</v>
      </c>
    </row>
    <row r="88" spans="1:3" x14ac:dyDescent="0.3">
      <c r="A88" s="8">
        <v>87</v>
      </c>
      <c r="B88" s="8">
        <v>179</v>
      </c>
      <c r="C88" s="8">
        <v>63</v>
      </c>
    </row>
    <row r="89" spans="1:3" x14ac:dyDescent="0.3">
      <c r="A89" s="8">
        <v>88</v>
      </c>
      <c r="B89" s="8">
        <v>165</v>
      </c>
      <c r="C89" s="8">
        <v>62</v>
      </c>
    </row>
    <row r="90" spans="1:3" x14ac:dyDescent="0.3">
      <c r="A90" s="8">
        <v>89</v>
      </c>
      <c r="B90" s="8">
        <v>171</v>
      </c>
      <c r="C90" s="8">
        <v>66</v>
      </c>
    </row>
    <row r="91" spans="1:3" x14ac:dyDescent="0.3">
      <c r="A91" s="8">
        <v>90</v>
      </c>
      <c r="B91" s="8">
        <v>171</v>
      </c>
      <c r="C91" s="8">
        <v>63</v>
      </c>
    </row>
    <row r="92" spans="1:3" x14ac:dyDescent="0.3">
      <c r="A92" s="8">
        <v>91</v>
      </c>
      <c r="B92" s="8">
        <v>170</v>
      </c>
      <c r="C92" s="8">
        <v>70</v>
      </c>
    </row>
    <row r="93" spans="1:3" x14ac:dyDescent="0.3">
      <c r="A93" s="8">
        <v>92</v>
      </c>
      <c r="B93" s="8">
        <v>170</v>
      </c>
      <c r="C93" s="8">
        <v>67</v>
      </c>
    </row>
    <row r="94" spans="1:3" x14ac:dyDescent="0.3">
      <c r="A94" s="8">
        <v>93</v>
      </c>
      <c r="B94" s="8">
        <v>165</v>
      </c>
      <c r="C94" s="8">
        <v>59</v>
      </c>
    </row>
    <row r="95" spans="1:3" x14ac:dyDescent="0.3">
      <c r="A95" s="8">
        <v>94</v>
      </c>
      <c r="B95" s="8">
        <v>156</v>
      </c>
      <c r="C95" s="8">
        <v>53</v>
      </c>
    </row>
    <row r="96" spans="1:3" x14ac:dyDescent="0.3">
      <c r="A96" s="8">
        <v>95</v>
      </c>
      <c r="B96" s="8">
        <v>164</v>
      </c>
      <c r="C96" s="8">
        <v>60</v>
      </c>
    </row>
    <row r="97" spans="1:3" x14ac:dyDescent="0.3">
      <c r="A97" s="8">
        <v>96</v>
      </c>
      <c r="B97" s="8">
        <v>158</v>
      </c>
      <c r="C97" s="8">
        <v>57</v>
      </c>
    </row>
    <row r="98" spans="1:3" x14ac:dyDescent="0.3">
      <c r="A98" s="8">
        <v>97</v>
      </c>
      <c r="B98" s="8">
        <v>165</v>
      </c>
      <c r="C98" s="8">
        <v>68</v>
      </c>
    </row>
    <row r="99" spans="1:3" x14ac:dyDescent="0.3">
      <c r="A99" s="8">
        <v>98</v>
      </c>
      <c r="B99" s="8">
        <v>172</v>
      </c>
      <c r="C99" s="8">
        <v>67</v>
      </c>
    </row>
    <row r="100" spans="1:3" x14ac:dyDescent="0.3">
      <c r="A100" s="8">
        <v>99</v>
      </c>
      <c r="B100" s="8">
        <v>178</v>
      </c>
      <c r="C100" s="8">
        <v>75</v>
      </c>
    </row>
    <row r="101" spans="1:3" x14ac:dyDescent="0.3">
      <c r="A101" s="8">
        <v>100</v>
      </c>
      <c r="B101" s="8">
        <v>159</v>
      </c>
      <c r="C101" s="8">
        <v>61</v>
      </c>
    </row>
    <row r="102" spans="1:3" x14ac:dyDescent="0.3">
      <c r="A102" s="8">
        <v>101</v>
      </c>
      <c r="B102" s="8">
        <v>167</v>
      </c>
      <c r="C102" s="8">
        <v>61</v>
      </c>
    </row>
    <row r="103" spans="1:3" x14ac:dyDescent="0.3">
      <c r="A103" s="8">
        <v>102</v>
      </c>
      <c r="B103" s="8">
        <v>174</v>
      </c>
      <c r="C103" s="8">
        <v>66</v>
      </c>
    </row>
    <row r="104" spans="1:3" x14ac:dyDescent="0.3">
      <c r="A104" s="8">
        <v>103</v>
      </c>
      <c r="B104" s="8">
        <v>175</v>
      </c>
      <c r="C104" s="8">
        <v>80</v>
      </c>
    </row>
    <row r="105" spans="1:3" x14ac:dyDescent="0.3">
      <c r="A105" s="8">
        <v>104</v>
      </c>
      <c r="B105" s="8">
        <v>167</v>
      </c>
      <c r="C105" s="8">
        <v>64</v>
      </c>
    </row>
    <row r="106" spans="1:3" x14ac:dyDescent="0.3">
      <c r="A106" s="8">
        <v>105</v>
      </c>
      <c r="B106" s="8">
        <v>180</v>
      </c>
      <c r="C106" s="8">
        <v>75</v>
      </c>
    </row>
    <row r="107" spans="1:3" x14ac:dyDescent="0.3">
      <c r="A107" s="8">
        <v>106</v>
      </c>
      <c r="B107" s="8">
        <v>166</v>
      </c>
      <c r="C107" s="8">
        <v>63</v>
      </c>
    </row>
    <row r="108" spans="1:3" x14ac:dyDescent="0.3">
      <c r="A108" s="8">
        <v>107</v>
      </c>
      <c r="B108" s="8">
        <v>176</v>
      </c>
      <c r="C108" s="8">
        <v>71</v>
      </c>
    </row>
    <row r="109" spans="1:3" x14ac:dyDescent="0.3">
      <c r="A109" s="8">
        <v>108</v>
      </c>
      <c r="B109" s="8">
        <v>174</v>
      </c>
      <c r="C109" s="8">
        <v>69</v>
      </c>
    </row>
    <row r="110" spans="1:3" x14ac:dyDescent="0.3">
      <c r="A110" s="8">
        <v>109</v>
      </c>
      <c r="B110" s="8">
        <v>169</v>
      </c>
      <c r="C110" s="8">
        <v>71</v>
      </c>
    </row>
    <row r="111" spans="1:3" x14ac:dyDescent="0.3">
      <c r="A111" s="8">
        <v>110</v>
      </c>
      <c r="B111" s="8">
        <v>177</v>
      </c>
      <c r="C111" s="8">
        <v>78</v>
      </c>
    </row>
    <row r="112" spans="1:3" x14ac:dyDescent="0.3">
      <c r="A112" s="8">
        <v>111</v>
      </c>
      <c r="B112" s="8">
        <v>167</v>
      </c>
      <c r="C112" s="8">
        <v>65</v>
      </c>
    </row>
    <row r="113" spans="1:3" x14ac:dyDescent="0.3">
      <c r="A113" s="8">
        <v>112</v>
      </c>
      <c r="B113" s="8">
        <v>170</v>
      </c>
      <c r="C113" s="8">
        <v>69</v>
      </c>
    </row>
    <row r="114" spans="1:3" x14ac:dyDescent="0.3">
      <c r="A114" s="8">
        <v>113</v>
      </c>
      <c r="B114" s="8">
        <v>158</v>
      </c>
      <c r="C114" s="8">
        <v>61</v>
      </c>
    </row>
    <row r="115" spans="1:3" x14ac:dyDescent="0.3">
      <c r="A115" s="8">
        <v>114</v>
      </c>
      <c r="B115" s="8">
        <v>171</v>
      </c>
      <c r="C115" s="8">
        <v>62</v>
      </c>
    </row>
    <row r="116" spans="1:3" x14ac:dyDescent="0.3">
      <c r="A116" s="8">
        <v>115</v>
      </c>
      <c r="B116" s="8">
        <v>176</v>
      </c>
      <c r="C116" s="8">
        <v>60</v>
      </c>
    </row>
    <row r="117" spans="1:3" x14ac:dyDescent="0.3">
      <c r="A117" s="8">
        <v>116</v>
      </c>
      <c r="B117" s="8">
        <v>172</v>
      </c>
      <c r="C117" s="8">
        <v>64</v>
      </c>
    </row>
    <row r="118" spans="1:3" x14ac:dyDescent="0.3">
      <c r="A118" s="8">
        <v>117</v>
      </c>
      <c r="B118" s="8">
        <v>165</v>
      </c>
      <c r="C118" s="8">
        <v>60</v>
      </c>
    </row>
    <row r="119" spans="1:3" x14ac:dyDescent="0.3">
      <c r="A119" s="8">
        <v>118</v>
      </c>
      <c r="B119" s="8">
        <v>178</v>
      </c>
      <c r="C119" s="8">
        <v>71</v>
      </c>
    </row>
    <row r="120" spans="1:3" x14ac:dyDescent="0.3">
      <c r="A120" s="8">
        <v>119</v>
      </c>
      <c r="B120" s="8">
        <v>157</v>
      </c>
      <c r="C120" s="8">
        <v>60</v>
      </c>
    </row>
    <row r="121" spans="1:3" x14ac:dyDescent="0.3">
      <c r="A121" s="8">
        <v>120</v>
      </c>
      <c r="B121" s="8">
        <v>169</v>
      </c>
      <c r="C121" s="8">
        <v>65</v>
      </c>
    </row>
    <row r="122" spans="1:3" x14ac:dyDescent="0.3">
      <c r="A122" s="8">
        <v>121</v>
      </c>
      <c r="B122" s="8">
        <v>169</v>
      </c>
      <c r="C122" s="8">
        <v>62</v>
      </c>
    </row>
    <row r="123" spans="1:3" x14ac:dyDescent="0.3">
      <c r="A123" s="8">
        <v>122</v>
      </c>
      <c r="B123" s="8">
        <v>167</v>
      </c>
      <c r="C123" s="8">
        <v>63</v>
      </c>
    </row>
    <row r="124" spans="1:3" x14ac:dyDescent="0.3">
      <c r="A124" s="8">
        <v>123</v>
      </c>
      <c r="B124" s="8">
        <v>177</v>
      </c>
      <c r="C124" s="8">
        <v>67</v>
      </c>
    </row>
    <row r="125" spans="1:3" x14ac:dyDescent="0.3">
      <c r="A125" s="8">
        <v>124</v>
      </c>
      <c r="B125" s="8">
        <v>159</v>
      </c>
      <c r="C125" s="8">
        <v>61</v>
      </c>
    </row>
    <row r="126" spans="1:3" x14ac:dyDescent="0.3">
      <c r="A126" s="8">
        <v>125</v>
      </c>
      <c r="B126" s="8">
        <v>172</v>
      </c>
      <c r="C126" s="8">
        <v>69</v>
      </c>
    </row>
    <row r="127" spans="1:3" x14ac:dyDescent="0.3">
      <c r="A127" s="8">
        <v>126</v>
      </c>
      <c r="B127" s="8">
        <v>167</v>
      </c>
      <c r="C127" s="8">
        <v>65</v>
      </c>
    </row>
    <row r="128" spans="1:3" x14ac:dyDescent="0.3">
      <c r="A128" s="8">
        <v>127</v>
      </c>
      <c r="B128" s="8">
        <v>164</v>
      </c>
      <c r="C128" s="8">
        <v>70</v>
      </c>
    </row>
    <row r="129" spans="1:3" x14ac:dyDescent="0.3">
      <c r="A129" s="8">
        <v>128</v>
      </c>
      <c r="B129" s="8">
        <v>174</v>
      </c>
      <c r="C129" s="8">
        <v>74</v>
      </c>
    </row>
    <row r="130" spans="1:3" x14ac:dyDescent="0.3">
      <c r="A130" s="8">
        <v>129</v>
      </c>
      <c r="B130" s="8">
        <v>176</v>
      </c>
      <c r="C130" s="8">
        <v>75</v>
      </c>
    </row>
    <row r="131" spans="1:3" x14ac:dyDescent="0.3">
      <c r="A131" s="8">
        <v>130</v>
      </c>
      <c r="B131" s="8">
        <v>159</v>
      </c>
      <c r="C131" s="8">
        <v>48</v>
      </c>
    </row>
    <row r="132" spans="1:3" x14ac:dyDescent="0.3">
      <c r="A132" s="8">
        <v>131</v>
      </c>
      <c r="B132" s="8">
        <v>169</v>
      </c>
      <c r="C132" s="8">
        <v>67</v>
      </c>
    </row>
    <row r="133" spans="1:3" x14ac:dyDescent="0.3">
      <c r="A133" s="8">
        <v>132</v>
      </c>
      <c r="B133" s="8">
        <v>167</v>
      </c>
      <c r="C133" s="8">
        <v>57</v>
      </c>
    </row>
    <row r="134" spans="1:3" x14ac:dyDescent="0.3">
      <c r="A134" s="8">
        <v>133</v>
      </c>
      <c r="B134" s="8">
        <v>157</v>
      </c>
      <c r="C134" s="8">
        <v>53</v>
      </c>
    </row>
    <row r="135" spans="1:3" x14ac:dyDescent="0.3">
      <c r="A135" s="8">
        <v>134</v>
      </c>
      <c r="B135" s="8">
        <v>175</v>
      </c>
      <c r="C135" s="8">
        <v>66</v>
      </c>
    </row>
    <row r="136" spans="1:3" x14ac:dyDescent="0.3">
      <c r="A136" s="8">
        <v>135</v>
      </c>
      <c r="B136" s="8">
        <v>165</v>
      </c>
      <c r="C136" s="8">
        <v>60</v>
      </c>
    </row>
    <row r="137" spans="1:3" x14ac:dyDescent="0.3">
      <c r="A137" s="8">
        <v>136</v>
      </c>
      <c r="B137" s="8">
        <v>168</v>
      </c>
      <c r="C137" s="8">
        <v>62</v>
      </c>
    </row>
    <row r="138" spans="1:3" x14ac:dyDescent="0.3">
      <c r="A138" s="8">
        <v>137</v>
      </c>
      <c r="B138" s="8">
        <v>172</v>
      </c>
      <c r="C138" s="8">
        <v>67</v>
      </c>
    </row>
    <row r="139" spans="1:3" x14ac:dyDescent="0.3">
      <c r="A139" s="8">
        <v>138</v>
      </c>
      <c r="B139" s="8">
        <v>173</v>
      </c>
      <c r="C139" s="8">
        <v>66</v>
      </c>
    </row>
    <row r="140" spans="1:3" x14ac:dyDescent="0.3">
      <c r="A140" s="8">
        <v>139</v>
      </c>
      <c r="B140" s="8">
        <v>167</v>
      </c>
      <c r="C140" s="8">
        <v>68</v>
      </c>
    </row>
    <row r="141" spans="1:3" x14ac:dyDescent="0.3">
      <c r="A141" s="8">
        <v>140</v>
      </c>
      <c r="B141" s="8">
        <v>163</v>
      </c>
      <c r="C141" s="8">
        <v>54</v>
      </c>
    </row>
    <row r="142" spans="1:3" x14ac:dyDescent="0.3">
      <c r="A142" s="8">
        <v>141</v>
      </c>
      <c r="B142" s="8">
        <v>166</v>
      </c>
      <c r="C142" s="8">
        <v>63</v>
      </c>
    </row>
    <row r="143" spans="1:3" x14ac:dyDescent="0.3">
      <c r="A143" s="8">
        <v>142</v>
      </c>
      <c r="B143" s="8">
        <v>168</v>
      </c>
      <c r="C143" s="8">
        <v>67</v>
      </c>
    </row>
    <row r="144" spans="1:3" x14ac:dyDescent="0.3">
      <c r="A144" s="8">
        <v>143</v>
      </c>
      <c r="B144" s="8">
        <v>169</v>
      </c>
      <c r="C144" s="8">
        <v>64</v>
      </c>
    </row>
    <row r="145" spans="1:3" x14ac:dyDescent="0.3">
      <c r="A145" s="8">
        <v>144</v>
      </c>
      <c r="B145" s="8">
        <v>177</v>
      </c>
      <c r="C145" s="8">
        <v>67</v>
      </c>
    </row>
    <row r="146" spans="1:3" x14ac:dyDescent="0.3">
      <c r="A146" s="8">
        <v>145</v>
      </c>
      <c r="B146" s="8">
        <v>170</v>
      </c>
      <c r="C146" s="8">
        <v>61</v>
      </c>
    </row>
    <row r="147" spans="1:3" x14ac:dyDescent="0.3">
      <c r="A147" s="8">
        <v>146</v>
      </c>
      <c r="B147" s="8">
        <v>170</v>
      </c>
      <c r="C147" s="8">
        <v>69</v>
      </c>
    </row>
    <row r="148" spans="1:3" x14ac:dyDescent="0.3">
      <c r="A148" s="8">
        <v>147</v>
      </c>
      <c r="B148" s="8">
        <v>176</v>
      </c>
      <c r="C148" s="8">
        <v>62</v>
      </c>
    </row>
    <row r="149" spans="1:3" x14ac:dyDescent="0.3">
      <c r="A149" s="8">
        <v>148</v>
      </c>
      <c r="B149" s="8">
        <v>165</v>
      </c>
      <c r="C149" s="8">
        <v>72</v>
      </c>
    </row>
    <row r="150" spans="1:3" x14ac:dyDescent="0.3">
      <c r="A150" s="8">
        <v>149</v>
      </c>
      <c r="B150" s="8">
        <v>182</v>
      </c>
      <c r="C150" s="8">
        <v>66</v>
      </c>
    </row>
    <row r="151" spans="1:3" x14ac:dyDescent="0.3">
      <c r="A151" s="8">
        <v>150</v>
      </c>
      <c r="B151" s="8">
        <v>173</v>
      </c>
      <c r="C151" s="8">
        <v>65</v>
      </c>
    </row>
    <row r="152" spans="1:3" x14ac:dyDescent="0.3">
      <c r="A152" s="8">
        <v>151</v>
      </c>
      <c r="B152" s="8">
        <v>170</v>
      </c>
      <c r="C152" s="8">
        <v>66</v>
      </c>
    </row>
    <row r="153" spans="1:3" x14ac:dyDescent="0.3">
      <c r="A153" s="8">
        <v>152</v>
      </c>
      <c r="B153" s="8">
        <v>174</v>
      </c>
      <c r="C153" s="8">
        <v>68</v>
      </c>
    </row>
    <row r="154" spans="1:3" x14ac:dyDescent="0.3">
      <c r="A154" s="8">
        <v>153</v>
      </c>
      <c r="B154" s="8">
        <v>178</v>
      </c>
      <c r="C154" s="8">
        <v>60</v>
      </c>
    </row>
    <row r="155" spans="1:3" x14ac:dyDescent="0.3">
      <c r="A155" s="8">
        <v>154</v>
      </c>
      <c r="B155" s="8">
        <v>178</v>
      </c>
      <c r="C155" s="8">
        <v>73</v>
      </c>
    </row>
    <row r="156" spans="1:3" x14ac:dyDescent="0.3">
      <c r="A156" s="8">
        <v>155</v>
      </c>
      <c r="B156" s="8">
        <v>161</v>
      </c>
      <c r="C156" s="8">
        <v>60</v>
      </c>
    </row>
    <row r="157" spans="1:3" x14ac:dyDescent="0.3">
      <c r="A157" s="8">
        <v>156</v>
      </c>
      <c r="B157" s="8">
        <v>173</v>
      </c>
      <c r="C157" s="8">
        <v>78</v>
      </c>
    </row>
    <row r="158" spans="1:3" x14ac:dyDescent="0.3">
      <c r="A158" s="8">
        <v>157</v>
      </c>
      <c r="B158" s="8">
        <v>164</v>
      </c>
      <c r="C158" s="8">
        <v>57</v>
      </c>
    </row>
    <row r="159" spans="1:3" x14ac:dyDescent="0.3">
      <c r="A159" s="8">
        <v>158</v>
      </c>
      <c r="B159" s="8">
        <v>176</v>
      </c>
      <c r="C159" s="8">
        <v>77</v>
      </c>
    </row>
    <row r="160" spans="1:3" x14ac:dyDescent="0.3">
      <c r="A160" s="8">
        <v>159</v>
      </c>
      <c r="B160" s="8">
        <v>165</v>
      </c>
      <c r="C160" s="8">
        <v>66</v>
      </c>
    </row>
    <row r="161" spans="1:3" x14ac:dyDescent="0.3">
      <c r="A161" s="8">
        <v>160</v>
      </c>
      <c r="B161" s="8">
        <v>174</v>
      </c>
      <c r="C161" s="8">
        <v>73</v>
      </c>
    </row>
    <row r="162" spans="1:3" x14ac:dyDescent="0.3">
      <c r="A162" s="8">
        <v>161</v>
      </c>
      <c r="B162" s="8">
        <v>164</v>
      </c>
      <c r="C162" s="8">
        <v>66</v>
      </c>
    </row>
    <row r="163" spans="1:3" x14ac:dyDescent="0.3">
      <c r="A163" s="8">
        <v>162</v>
      </c>
      <c r="B163" s="8">
        <v>169</v>
      </c>
      <c r="C163" s="8">
        <v>55</v>
      </c>
    </row>
    <row r="164" spans="1:3" x14ac:dyDescent="0.3">
      <c r="A164" s="8">
        <v>163</v>
      </c>
      <c r="B164" s="8">
        <v>164</v>
      </c>
      <c r="C164" s="8">
        <v>70</v>
      </c>
    </row>
    <row r="165" spans="1:3" x14ac:dyDescent="0.3">
      <c r="A165" s="8">
        <v>164</v>
      </c>
      <c r="B165" s="8">
        <v>178</v>
      </c>
      <c r="C165" s="8">
        <v>80</v>
      </c>
    </row>
    <row r="166" spans="1:3" x14ac:dyDescent="0.3">
      <c r="A166" s="8">
        <v>165</v>
      </c>
      <c r="B166" s="8">
        <v>156</v>
      </c>
      <c r="C166" s="8">
        <v>53</v>
      </c>
    </row>
    <row r="167" spans="1:3" x14ac:dyDescent="0.3">
      <c r="A167" s="8">
        <v>166</v>
      </c>
      <c r="B167" s="8">
        <v>165</v>
      </c>
      <c r="C167" s="8">
        <v>59</v>
      </c>
    </row>
    <row r="168" spans="1:3" x14ac:dyDescent="0.3">
      <c r="A168" s="8">
        <v>167</v>
      </c>
      <c r="B168" s="8">
        <v>162</v>
      </c>
      <c r="C168" s="8">
        <v>58</v>
      </c>
    </row>
    <row r="169" spans="1:3" x14ac:dyDescent="0.3">
      <c r="A169" s="8">
        <v>168</v>
      </c>
      <c r="B169" s="8">
        <v>167</v>
      </c>
      <c r="C169" s="8">
        <v>64</v>
      </c>
    </row>
    <row r="170" spans="1:3" x14ac:dyDescent="0.3">
      <c r="A170" s="8">
        <v>169</v>
      </c>
      <c r="B170" s="8">
        <v>165</v>
      </c>
      <c r="C170" s="8">
        <v>68</v>
      </c>
    </row>
    <row r="171" spans="1:3" x14ac:dyDescent="0.3">
      <c r="A171" s="8">
        <v>170</v>
      </c>
      <c r="B171" s="8">
        <v>177</v>
      </c>
      <c r="C171" s="8">
        <v>70</v>
      </c>
    </row>
    <row r="172" spans="1:3" x14ac:dyDescent="0.3">
      <c r="A172" s="8">
        <v>171</v>
      </c>
      <c r="B172" s="8">
        <v>161</v>
      </c>
      <c r="C172" s="8">
        <v>61</v>
      </c>
    </row>
    <row r="173" spans="1:3" x14ac:dyDescent="0.3">
      <c r="A173" s="8">
        <v>172</v>
      </c>
      <c r="B173" s="8">
        <v>163</v>
      </c>
      <c r="C173" s="8">
        <v>58</v>
      </c>
    </row>
    <row r="174" spans="1:3" x14ac:dyDescent="0.3">
      <c r="A174" s="8">
        <v>173</v>
      </c>
      <c r="B174" s="8">
        <v>166</v>
      </c>
      <c r="C174" s="8">
        <v>63</v>
      </c>
    </row>
    <row r="175" spans="1:3" x14ac:dyDescent="0.3">
      <c r="A175" s="8">
        <v>174</v>
      </c>
      <c r="B175" s="8">
        <v>182</v>
      </c>
      <c r="C175" s="8">
        <v>76</v>
      </c>
    </row>
    <row r="176" spans="1:3" x14ac:dyDescent="0.3">
      <c r="A176" s="8">
        <v>175</v>
      </c>
      <c r="B176" s="8">
        <v>167</v>
      </c>
      <c r="C176" s="8">
        <v>64</v>
      </c>
    </row>
    <row r="177" spans="1:3" x14ac:dyDescent="0.3">
      <c r="A177" s="8">
        <v>176</v>
      </c>
      <c r="B177" s="8">
        <v>167</v>
      </c>
      <c r="C177" s="8">
        <v>57</v>
      </c>
    </row>
    <row r="178" spans="1:3" x14ac:dyDescent="0.3">
      <c r="A178" s="8">
        <v>177</v>
      </c>
      <c r="B178" s="8">
        <v>171</v>
      </c>
      <c r="C178" s="8">
        <v>65</v>
      </c>
    </row>
    <row r="179" spans="1:3" x14ac:dyDescent="0.3">
      <c r="A179" s="8">
        <v>178</v>
      </c>
      <c r="B179" s="8">
        <v>182</v>
      </c>
      <c r="C179" s="8">
        <v>66</v>
      </c>
    </row>
    <row r="180" spans="1:3" x14ac:dyDescent="0.3">
      <c r="A180" s="8">
        <v>179</v>
      </c>
      <c r="B180" s="8">
        <v>169</v>
      </c>
      <c r="C180" s="8">
        <v>58</v>
      </c>
    </row>
    <row r="181" spans="1:3" x14ac:dyDescent="0.3">
      <c r="A181" s="8">
        <v>180</v>
      </c>
      <c r="B181" s="8">
        <v>172</v>
      </c>
      <c r="C181" s="8">
        <v>64</v>
      </c>
    </row>
    <row r="182" spans="1:3" x14ac:dyDescent="0.3">
      <c r="A182" s="8">
        <v>181</v>
      </c>
      <c r="B182" s="8">
        <v>179</v>
      </c>
      <c r="C182" s="8">
        <v>69</v>
      </c>
    </row>
    <row r="183" spans="1:3" x14ac:dyDescent="0.3">
      <c r="A183" s="8">
        <v>182</v>
      </c>
      <c r="B183" s="8">
        <v>179</v>
      </c>
      <c r="C183" s="8">
        <v>63</v>
      </c>
    </row>
    <row r="184" spans="1:3" x14ac:dyDescent="0.3">
      <c r="A184" s="8">
        <v>183</v>
      </c>
      <c r="B184" s="8">
        <v>173</v>
      </c>
      <c r="C184" s="8">
        <v>68</v>
      </c>
    </row>
    <row r="185" spans="1:3" x14ac:dyDescent="0.3">
      <c r="A185" s="8">
        <v>184</v>
      </c>
      <c r="B185" s="8">
        <v>169</v>
      </c>
      <c r="C185" s="8">
        <v>70</v>
      </c>
    </row>
    <row r="186" spans="1:3" x14ac:dyDescent="0.3">
      <c r="A186" s="8">
        <v>185</v>
      </c>
      <c r="B186" s="8">
        <v>161</v>
      </c>
      <c r="C186" s="8">
        <v>57</v>
      </c>
    </row>
    <row r="187" spans="1:3" x14ac:dyDescent="0.3">
      <c r="A187" s="8">
        <v>186</v>
      </c>
      <c r="B187" s="8">
        <v>165</v>
      </c>
      <c r="C187" s="8">
        <v>61</v>
      </c>
    </row>
    <row r="188" spans="1:3" x14ac:dyDescent="0.3">
      <c r="A188" s="8">
        <v>187</v>
      </c>
      <c r="B188" s="8">
        <v>165</v>
      </c>
      <c r="C188" s="8">
        <v>63</v>
      </c>
    </row>
    <row r="189" spans="1:3" x14ac:dyDescent="0.3">
      <c r="A189" s="8">
        <v>188</v>
      </c>
      <c r="B189" s="8">
        <v>162</v>
      </c>
      <c r="C189" s="8">
        <v>60</v>
      </c>
    </row>
    <row r="190" spans="1:3" x14ac:dyDescent="0.3">
      <c r="A190" s="8">
        <v>189</v>
      </c>
      <c r="B190" s="8">
        <v>167</v>
      </c>
      <c r="C190" s="8">
        <v>66</v>
      </c>
    </row>
    <row r="191" spans="1:3" x14ac:dyDescent="0.3">
      <c r="A191" s="8">
        <v>190</v>
      </c>
      <c r="B191" s="8">
        <v>168</v>
      </c>
      <c r="C191" s="8">
        <v>67</v>
      </c>
    </row>
    <row r="192" spans="1:3" x14ac:dyDescent="0.3">
      <c r="A192" s="8">
        <v>191</v>
      </c>
      <c r="B192" s="8">
        <v>170</v>
      </c>
      <c r="C192" s="8">
        <v>67</v>
      </c>
    </row>
    <row r="193" spans="1:3" x14ac:dyDescent="0.3">
      <c r="A193" s="8">
        <v>192</v>
      </c>
      <c r="B193" s="8">
        <v>162</v>
      </c>
      <c r="C193" s="8">
        <v>64</v>
      </c>
    </row>
    <row r="194" spans="1:3" x14ac:dyDescent="0.3">
      <c r="A194" s="8">
        <v>193</v>
      </c>
      <c r="B194" s="8">
        <v>168</v>
      </c>
      <c r="C194" s="8">
        <v>66</v>
      </c>
    </row>
    <row r="195" spans="1:3" x14ac:dyDescent="0.3">
      <c r="A195" s="8">
        <v>194</v>
      </c>
      <c r="B195" s="8">
        <v>163</v>
      </c>
      <c r="C195" s="8">
        <v>65</v>
      </c>
    </row>
    <row r="196" spans="1:3" x14ac:dyDescent="0.3">
      <c r="A196" s="8">
        <v>195</v>
      </c>
      <c r="B196" s="8">
        <v>175</v>
      </c>
      <c r="C196" s="8">
        <v>78</v>
      </c>
    </row>
    <row r="197" spans="1:3" x14ac:dyDescent="0.3">
      <c r="A197" s="8">
        <v>196</v>
      </c>
      <c r="B197" s="8">
        <v>163</v>
      </c>
      <c r="C197" s="8">
        <v>58</v>
      </c>
    </row>
    <row r="198" spans="1:3" x14ac:dyDescent="0.3">
      <c r="A198" s="8">
        <v>197</v>
      </c>
      <c r="B198" s="8">
        <v>166</v>
      </c>
      <c r="C198" s="8">
        <v>67</v>
      </c>
    </row>
    <row r="199" spans="1:3" x14ac:dyDescent="0.3">
      <c r="A199" s="8">
        <v>198</v>
      </c>
      <c r="B199" s="8">
        <v>166</v>
      </c>
      <c r="C199" s="8">
        <v>64</v>
      </c>
    </row>
    <row r="200" spans="1:3" x14ac:dyDescent="0.3">
      <c r="A200" s="8">
        <v>199</v>
      </c>
      <c r="B200" s="8">
        <v>173</v>
      </c>
      <c r="C200" s="8">
        <v>78</v>
      </c>
    </row>
    <row r="201" spans="1:3" x14ac:dyDescent="0.3">
      <c r="A201" s="8">
        <v>200</v>
      </c>
      <c r="B201" s="8">
        <v>166</v>
      </c>
      <c r="C201" s="8">
        <v>62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zoomScale="40" zoomScaleNormal="40" workbookViewId="0">
      <selection activeCell="P26" sqref="P26"/>
    </sheetView>
  </sheetViews>
  <sheetFormatPr defaultRowHeight="14.4" x14ac:dyDescent="0.3"/>
  <cols>
    <col min="1" max="1" width="33.44140625" style="5" customWidth="1"/>
    <col min="2" max="2" width="8.77734375" style="5" customWidth="1"/>
    <col min="3" max="3" width="8.88671875" style="5"/>
    <col min="4" max="4" width="21" style="5" customWidth="1"/>
    <col min="5" max="5" width="57.6640625" style="5" customWidth="1"/>
    <col min="6" max="6" width="8.88671875" style="5"/>
    <col min="7" max="7" width="11" style="5" bestFit="1" customWidth="1"/>
    <col min="8" max="8" width="8.88671875" style="5"/>
    <col min="9" max="9" width="12" style="5" bestFit="1" customWidth="1"/>
    <col min="10" max="10" width="8.88671875" style="5"/>
    <col min="11" max="12" width="12" style="5" bestFit="1" customWidth="1"/>
    <col min="13" max="15" width="8.88671875" style="5"/>
    <col min="16" max="16" width="17.5546875" style="5" customWidth="1"/>
    <col min="17" max="17" width="16.77734375" style="5" customWidth="1"/>
    <col min="18" max="19" width="8.88671875" style="5"/>
    <col min="20" max="20" width="19.77734375" style="5" customWidth="1"/>
    <col min="21" max="16384" width="8.88671875" style="5"/>
  </cols>
  <sheetData>
    <row r="1" spans="1:17" x14ac:dyDescent="0.3">
      <c r="D1" s="3" t="s">
        <v>44</v>
      </c>
      <c r="E1" s="3">
        <v>200</v>
      </c>
    </row>
    <row r="8" spans="1:17" x14ac:dyDescent="0.3">
      <c r="E8" s="3" t="s">
        <v>1</v>
      </c>
    </row>
    <row r="9" spans="1:17" x14ac:dyDescent="0.3">
      <c r="E9" s="3" t="s">
        <v>14</v>
      </c>
      <c r="F9" s="3">
        <v>156</v>
      </c>
      <c r="G9" s="3">
        <v>159.19999999999999</v>
      </c>
      <c r="H9" s="3">
        <v>162.4</v>
      </c>
      <c r="I9" s="3">
        <v>165.6</v>
      </c>
      <c r="J9" s="3">
        <v>168.8</v>
      </c>
      <c r="K9" s="3">
        <v>172</v>
      </c>
      <c r="L9" s="3">
        <v>175.2</v>
      </c>
      <c r="M9" s="3">
        <v>178.4</v>
      </c>
      <c r="N9" s="3">
        <v>181.6</v>
      </c>
      <c r="O9" s="3">
        <v>184.8</v>
      </c>
    </row>
    <row r="10" spans="1:17" x14ac:dyDescent="0.3">
      <c r="E10" s="3" t="s">
        <v>15</v>
      </c>
      <c r="F10" s="3">
        <v>159.19999999999999</v>
      </c>
      <c r="G10" s="3">
        <v>162.4</v>
      </c>
      <c r="H10" s="3">
        <v>165.6</v>
      </c>
      <c r="I10" s="3">
        <v>168.8</v>
      </c>
      <c r="J10" s="3">
        <v>172</v>
      </c>
      <c r="K10" s="3">
        <v>175.2</v>
      </c>
      <c r="L10" s="3">
        <v>178.4</v>
      </c>
      <c r="M10" s="3">
        <v>181.6</v>
      </c>
      <c r="N10" s="3">
        <v>184.8</v>
      </c>
      <c r="O10" s="3">
        <v>188</v>
      </c>
    </row>
    <row r="11" spans="1:17" x14ac:dyDescent="0.3">
      <c r="E11" s="3" t="s">
        <v>20</v>
      </c>
      <c r="F11" s="3">
        <v>157.6</v>
      </c>
      <c r="G11" s="3">
        <v>160.80000000000001</v>
      </c>
      <c r="H11" s="3">
        <v>164</v>
      </c>
      <c r="I11" s="3">
        <v>167.2</v>
      </c>
      <c r="J11" s="3">
        <v>170.4</v>
      </c>
      <c r="K11" s="3">
        <v>173.6</v>
      </c>
      <c r="L11" s="3">
        <v>176.8</v>
      </c>
      <c r="M11" s="3">
        <v>180</v>
      </c>
      <c r="N11" s="3">
        <v>183.2</v>
      </c>
      <c r="O11" s="3">
        <v>186.4</v>
      </c>
    </row>
    <row r="12" spans="1:17" x14ac:dyDescent="0.3">
      <c r="A12" s="3" t="s">
        <v>2</v>
      </c>
      <c r="B12" s="3" t="s">
        <v>14</v>
      </c>
      <c r="C12" s="3" t="s">
        <v>15</v>
      </c>
      <c r="D12" s="3" t="s">
        <v>20</v>
      </c>
      <c r="P12" s="3" t="s">
        <v>70</v>
      </c>
      <c r="Q12" s="3" t="s">
        <v>69</v>
      </c>
    </row>
    <row r="13" spans="1:17" x14ac:dyDescent="0.3">
      <c r="B13" s="3">
        <v>48</v>
      </c>
      <c r="C13" s="3">
        <v>51.6</v>
      </c>
      <c r="D13" s="3">
        <f t="shared" ref="D13:D22" si="0">(B13+C13)/2</f>
        <v>49.8</v>
      </c>
      <c r="F13" s="3">
        <f>COUNTIFS(height,"&gt;="&amp;F9,height,"&lt;"&amp;F10,weight,"&gt;="&amp;B13,weight,"&lt;"&amp;C13)</f>
        <v>2</v>
      </c>
      <c r="G13" s="3">
        <f>COUNTIFS(height,"&gt;="&amp;G9,height,"&lt;"&amp;G10,weight,"&gt;="&amp;B13,weight,"&lt;"&amp;C13)</f>
        <v>1</v>
      </c>
      <c r="H13" s="3">
        <f>COUNTIFS(height,"&gt;="&amp;H9,height,"&lt;"&amp;H10,weight,"&gt;="&amp;B13,weight,"&lt;"&amp;C13)</f>
        <v>0</v>
      </c>
      <c r="I13" s="3">
        <f>COUNTIFS(height,"&gt;="&amp;I9,height,"&lt;"&amp;I10,weight,"&gt;="&amp;B13,weight,"&lt;"&amp;C13)</f>
        <v>1</v>
      </c>
      <c r="J13" s="3">
        <f>COUNTIFS(height,"&gt;="&amp;J9,height,"&lt;"&amp;J10,weight,"&gt;="&amp;B13,weight,"&lt;"&amp;C13)</f>
        <v>0</v>
      </c>
      <c r="K13" s="3">
        <f>COUNTIFS(height,"&gt;="&amp;K9,height,"&lt;"&amp;K10,weight,"&gt;="&amp;B13,weight,"&lt;"&amp;C13)</f>
        <v>0</v>
      </c>
      <c r="L13" s="3">
        <f>COUNTIFS(height,"&gt;="&amp;L9,height,"&lt;"&amp;L10,weight,"&gt;="&amp;B13,weight,"&lt;"&amp;C13)</f>
        <v>0</v>
      </c>
      <c r="M13" s="3">
        <f>COUNTIFS(height,"&gt;="&amp;M9,height,"&lt;"&amp;M10,weight,"&gt;="&amp;B13,weight,"&lt;"&amp;C13)</f>
        <v>0</v>
      </c>
      <c r="N13" s="3">
        <f>COUNTIFS(height,"&gt;="&amp;N9,height,"&lt;"&amp;N10,weight,"&gt;="&amp;B13,weight,"&lt;"&amp;C13)</f>
        <v>0</v>
      </c>
      <c r="O13" s="3">
        <f>COUNTIFS(height,"&gt;="&amp;O9,height,"&lt;="&amp;O10,weight,"&gt;="&amp;B13,weight,"&lt;"&amp;C13)</f>
        <v>0</v>
      </c>
      <c r="P13" s="3">
        <f t="shared" ref="P13:P22" si="1">SUM(F13:O13)</f>
        <v>4</v>
      </c>
      <c r="Q13" s="3">
        <f>SUMPRODUCT(F13:O13,F11:O11)/P13</f>
        <v>160.80000000000001</v>
      </c>
    </row>
    <row r="14" spans="1:17" x14ac:dyDescent="0.3">
      <c r="B14" s="3">
        <v>51.6</v>
      </c>
      <c r="C14" s="3">
        <v>55.2</v>
      </c>
      <c r="D14" s="3">
        <f t="shared" si="0"/>
        <v>53.400000000000006</v>
      </c>
      <c r="F14" s="3">
        <f>COUNTIFS(height,"&gt;="&amp;F9,height,"&lt;"&amp;F10,weight,"&gt;="&amp;B14,weight,"&lt;"&amp;C14)</f>
        <v>4</v>
      </c>
      <c r="G14" s="3">
        <f>COUNTIFS(height,"&gt;="&amp;G9,height,"&lt;"&amp;G10,weight,"&gt;="&amp;B14,weight,"&lt;"&amp;C14)</f>
        <v>0</v>
      </c>
      <c r="H14" s="3">
        <f>COUNTIFS(height,"&gt;="&amp;H9,height,"&lt;"&amp;H10,weight,"&gt;="&amp;B14,weight,"&lt;"&amp;C14)</f>
        <v>1</v>
      </c>
      <c r="I14" s="3">
        <f>COUNTIFS(height,"&gt;="&amp;I9,height,"&lt;"&amp;I10,weight,"&gt;="&amp;B14,weight,"&lt;"&amp;C14)</f>
        <v>1</v>
      </c>
      <c r="J14" s="3">
        <f>COUNTIFS(height,"&gt;="&amp;J9,height,"&lt;"&amp;J10,weight,"&gt;="&amp;B14,weight,"&lt;"&amp;C14)</f>
        <v>2</v>
      </c>
      <c r="K14" s="3">
        <f>COUNTIFS(height,"&gt;="&amp;K9,height,"&lt;"&amp;K10,weight,"&gt;="&amp;B14,weight,"&lt;"&amp;C14)</f>
        <v>0</v>
      </c>
      <c r="L14" s="3">
        <f>COUNTIFS(height,"&gt;="&amp;L9,height,"&lt;"&amp;L10,weight,"&gt;="&amp;B14,weight,"&lt;"&amp;C14)</f>
        <v>0</v>
      </c>
      <c r="M14" s="3">
        <f>COUNTIFS(height,"&gt;="&amp;M9,height,"&lt;"&amp;M10,weight,"&gt;="&amp;B14,weight,"&lt;"&amp;C14)</f>
        <v>0</v>
      </c>
      <c r="N14" s="3">
        <f>COUNTIFS(height,"&gt;="&amp;N9,height,"&lt;"&amp;N10,weight,"&gt;="&amp;B14,weight,"&lt;"&amp;C14)</f>
        <v>0</v>
      </c>
      <c r="O14" s="3">
        <f>COUNTIFS(height,"&gt;="&amp;O9,height,"&lt;="&amp;O10,weight,"&gt;="&amp;B13,weight,"&lt;"&amp;C13)</f>
        <v>0</v>
      </c>
      <c r="P14" s="3">
        <f t="shared" si="1"/>
        <v>8</v>
      </c>
      <c r="Q14" s="3">
        <f>SUMPRODUCT(F14:O14,F11:O11)/P14</f>
        <v>162.79999999999998</v>
      </c>
    </row>
    <row r="15" spans="1:17" x14ac:dyDescent="0.3">
      <c r="B15" s="3">
        <v>55.2</v>
      </c>
      <c r="C15" s="3">
        <v>58.8</v>
      </c>
      <c r="D15" s="3">
        <f t="shared" si="0"/>
        <v>57</v>
      </c>
      <c r="F15" s="3">
        <f>COUNTIFS(height,"&gt;="&amp;F9,height,"&lt;"&amp;F10,weight,"&gt;="&amp;B15,weight,"&lt;"&amp;C15)</f>
        <v>2</v>
      </c>
      <c r="G15" s="3">
        <f>COUNTIFS(height,"&gt;="&amp;G9,height,"&lt;"&amp;G10,weight,"&gt;="&amp;B15,weight,"&lt;"&amp;C15)</f>
        <v>2</v>
      </c>
      <c r="H15" s="3">
        <f>COUNTIFS(height,"&gt;="&amp;H9,height,"&lt;"&amp;H10,weight,"&gt;="&amp;B15,weight,"&lt;"&amp;C15)</f>
        <v>4</v>
      </c>
      <c r="I15" s="3">
        <f>COUNTIFS(height,"&gt;="&amp;I9,height,"&lt;"&amp;I10,weight,"&gt;="&amp;B15,weight,"&lt;"&amp;C15)</f>
        <v>3</v>
      </c>
      <c r="J15" s="3">
        <f>COUNTIFS(height,"&gt;="&amp;J9,height,"&lt;"&amp;J10,weight,"&gt;="&amp;B15,weight,"&lt;"&amp;C15)</f>
        <v>1</v>
      </c>
      <c r="K15" s="3">
        <f>COUNTIFS(height,"&gt;="&amp;K9,height,"&lt;"&amp;K10,weight,"&gt;="&amp;B15,weight,"&lt;"&amp;C15)</f>
        <v>0</v>
      </c>
      <c r="L15" s="3">
        <f>COUNTIFS(height,"&gt;="&amp;L9,height,"&lt;"&amp;L10,weight,"&gt;="&amp;B15,weight,"&lt;"&amp;C15)</f>
        <v>0</v>
      </c>
      <c r="M15" s="3">
        <f>COUNTIFS(height,"&gt;="&amp;M9,height,"&lt;"&amp;M10,weight,"&gt;="&amp;B15,weight,"&lt;"&amp;C15)</f>
        <v>0</v>
      </c>
      <c r="N15" s="3">
        <f>COUNTIFS(height,"&gt;="&amp;N9,height,"&lt;"&amp;N10,weight,"&gt;="&amp;B15,weight,"&lt;"&amp;C15)</f>
        <v>0</v>
      </c>
      <c r="O15" s="3">
        <f>COUNTIFS(height,"&gt;="&amp;O9,height,"&lt;="&amp;O10,weight,"&gt;="&amp;B15,weight,"&lt;"&amp;C15)</f>
        <v>0</v>
      </c>
      <c r="P15" s="3">
        <f t="shared" si="1"/>
        <v>12</v>
      </c>
      <c r="Q15" s="3">
        <f>SUMPRODUCT(F15:O15,F11:O11)/P15</f>
        <v>163.73333333333332</v>
      </c>
    </row>
    <row r="16" spans="1:17" x14ac:dyDescent="0.3">
      <c r="B16" s="3">
        <v>58.8</v>
      </c>
      <c r="C16" s="3">
        <v>62.4</v>
      </c>
      <c r="D16" s="3">
        <f t="shared" si="0"/>
        <v>60.599999999999994</v>
      </c>
      <c r="F16" s="3">
        <f>COUNTIFS(height,"&gt;="&amp;F9,height,"&lt;"&amp;F10,weight,"&gt;="&amp;B16,weight,"&lt;"&amp;C16)</f>
        <v>4</v>
      </c>
      <c r="G16" s="3">
        <f>COUNTIFS(height,"&gt;="&amp;G9,height,"&lt;"&amp;G10,weight,"&gt;="&amp;B16,weight,"&lt;"&amp;C16)</f>
        <v>6</v>
      </c>
      <c r="H16" s="3">
        <f>COUNTIFS(height,"&gt;="&amp;H9,height,"&lt;"&amp;H10,weight,"&gt;="&amp;B16,weight,"&lt;"&amp;C16)</f>
        <v>14</v>
      </c>
      <c r="I16" s="3">
        <f>COUNTIFS(height,"&gt;="&amp;I9,height,"&lt;"&amp;I10,weight,"&gt;="&amp;B16,weight,"&lt;"&amp;C16)</f>
        <v>9</v>
      </c>
      <c r="J16" s="3">
        <f>COUNTIFS(height,"&gt;="&amp;J9,height,"&lt;"&amp;J10,weight,"&gt;="&amp;B16,weight,"&lt;"&amp;C16)</f>
        <v>7</v>
      </c>
      <c r="K16" s="3">
        <f>COUNTIFS(height,"&gt;="&amp;K9,height,"&lt;"&amp;K10,weight,"&gt;="&amp;B16,weight,"&lt;"&amp;C16)</f>
        <v>1</v>
      </c>
      <c r="L16" s="3">
        <f>COUNTIFS(height,"&gt;="&amp;L9,height,"&lt;"&amp;L10,weight,"&gt;="&amp;B16,weight,"&lt;"&amp;C16)</f>
        <v>5</v>
      </c>
      <c r="M16" s="3">
        <f>COUNTIFS(height,"&gt;="&amp;M9,height,"&lt;"&amp;M10,weight,"&gt;="&amp;B16,weight,"&lt;"&amp;C16)</f>
        <v>0</v>
      </c>
      <c r="N16" s="3">
        <f>COUNTIFS(height,"&gt;="&amp;N9,height,"&lt;"&amp;N10,weight,"&gt;="&amp;B16,weight,"&lt;"&amp;C16)</f>
        <v>0</v>
      </c>
      <c r="O16" s="3">
        <f>COUNTIFS(height,"&gt;="&amp;O9,height,"&lt;="&amp;O10,weight,"&gt;="&amp;B16,weight,"&lt;"&amp;C16)</f>
        <v>0</v>
      </c>
      <c r="P16" s="3">
        <f t="shared" si="1"/>
        <v>46</v>
      </c>
      <c r="Q16" s="3">
        <f>SUMPRODUCT(F16:O16,F11:O11)/P16</f>
        <v>166.22608695652175</v>
      </c>
    </row>
    <row r="17" spans="1:17" x14ac:dyDescent="0.3">
      <c r="B17" s="3">
        <v>62.4</v>
      </c>
      <c r="C17" s="3">
        <v>66</v>
      </c>
      <c r="D17" s="3">
        <f t="shared" si="0"/>
        <v>64.2</v>
      </c>
      <c r="F17" s="3">
        <f>COUNTIFS(height,"&gt;="&amp;F9,height,"&lt;"&amp;F10,weight,"&gt;="&amp;B17,weight,"&lt;"&amp;C17)</f>
        <v>0</v>
      </c>
      <c r="G17" s="3">
        <f>COUNTIFS(height,"&gt;="&amp;G9,height,"&lt;"&amp;G10,weight,"&gt;="&amp;B17,weight,"&lt;"&amp;C17)</f>
        <v>2</v>
      </c>
      <c r="H17" s="3">
        <f>COUNTIFS(height,"&gt;="&amp;H9,height,"&lt;"&amp;H10,weight,"&gt;="&amp;B17,weight,"&lt;"&amp;C17)</f>
        <v>4</v>
      </c>
      <c r="I17" s="3">
        <f>COUNTIFS(height,"&gt;="&amp;I9,height,"&lt;"&amp;I10,weight,"&gt;="&amp;B17,weight,"&lt;"&amp;C17)</f>
        <v>14</v>
      </c>
      <c r="J17" s="3">
        <f>COUNTIFS(height,"&gt;="&amp;J9,height,"&lt;"&amp;J10,weight,"&gt;="&amp;B17,weight,"&lt;"&amp;C17)</f>
        <v>6</v>
      </c>
      <c r="K17" s="3">
        <f>COUNTIFS(height,"&gt;="&amp;K9,height,"&lt;"&amp;K10,weight,"&gt;="&amp;B17,weight,"&lt;"&amp;C17)</f>
        <v>7</v>
      </c>
      <c r="L17" s="3">
        <f>COUNTIFS(height,"&gt;="&amp;L9,height,"&lt;"&amp;L10,weight,"&gt;="&amp;B17,weight,"&lt;"&amp;C17)</f>
        <v>1</v>
      </c>
      <c r="M17" s="3">
        <f>COUNTIFS(height,"&gt;="&amp;M9,height,"&lt;"&amp;M10,weight,"&gt;="&amp;B17,weight,"&lt;"&amp;C17)</f>
        <v>2</v>
      </c>
      <c r="N17" s="3">
        <f>COUNTIFS(height,"&gt;="&amp;N9,height,"&lt;"&amp;N10,weight,"&gt;="&amp;B17,weight,"&lt;"&amp;C17)</f>
        <v>0</v>
      </c>
      <c r="O17" s="3">
        <f>COUNTIFS(height,"&gt;="&amp;O9,height,"&lt;="&amp;O10,weight,"&gt;="&amp;B17,weight,"&lt;"&amp;C17)</f>
        <v>0</v>
      </c>
      <c r="P17" s="3">
        <f t="shared" si="1"/>
        <v>36</v>
      </c>
      <c r="Q17" s="3">
        <f>SUMPRODUCT(F17:O17,F11:O11)/P17</f>
        <v>169.24444444444441</v>
      </c>
    </row>
    <row r="18" spans="1:17" x14ac:dyDescent="0.3">
      <c r="B18" s="3">
        <v>66</v>
      </c>
      <c r="C18" s="3">
        <v>69.599999999999994</v>
      </c>
      <c r="D18" s="3">
        <f t="shared" si="0"/>
        <v>67.8</v>
      </c>
      <c r="F18" s="3">
        <f>COUNTIFS(height,"&gt;="&amp;F9,height,"&lt;"&amp;F10,weight,"&gt;="&amp;B18,weight,"&lt;"&amp;C18)</f>
        <v>0</v>
      </c>
      <c r="G18" s="3">
        <f>COUNTIFS(height,"&gt;="&amp;G9,height,"&lt;"&amp;G10,weight,"&gt;="&amp;B18,weight,"&lt;"&amp;C18)</f>
        <v>0</v>
      </c>
      <c r="H18" s="3">
        <f>COUNTIFS(height,"&gt;="&amp;H9,height,"&lt;"&amp;H10,weight,"&gt;="&amp;B18,weight,"&lt;"&amp;C18)</f>
        <v>4</v>
      </c>
      <c r="I18" s="3">
        <f>COUNTIFS(height,"&gt;="&amp;I9,height,"&lt;"&amp;I10,weight,"&gt;="&amp;B18,weight,"&lt;"&amp;C18)</f>
        <v>9</v>
      </c>
      <c r="J18" s="3">
        <f>COUNTIFS(height,"&gt;="&amp;J9,height,"&lt;"&amp;J10,weight,"&gt;="&amp;B18,weight,"&lt;"&amp;C18)</f>
        <v>9</v>
      </c>
      <c r="K18" s="3">
        <f>COUNTIFS(height,"&gt;="&amp;K9,height,"&lt;"&amp;K10,weight,"&gt;="&amp;B18,weight,"&lt;"&amp;C18)</f>
        <v>16</v>
      </c>
      <c r="L18" s="3">
        <f>COUNTIFS(height,"&gt;="&amp;L9,height,"&lt;"&amp;L10,weight,"&gt;="&amp;B18,weight,"&lt;"&amp;C18)</f>
        <v>6</v>
      </c>
      <c r="M18" s="3">
        <f>COUNTIFS(height,"&gt;="&amp;M9,height,"&lt;"&amp;M10,weight,"&gt;="&amp;B18,weight,"&lt;"&amp;C18)</f>
        <v>2</v>
      </c>
      <c r="N18" s="3">
        <f>COUNTIFS(height,"&gt;="&amp;N9,height,"&lt;"&amp;N10,weight,"&gt;="&amp;B18,weight,"&lt;"&amp;C18)</f>
        <v>4</v>
      </c>
      <c r="O18" s="3">
        <f>COUNTIFS(height,"&gt;="&amp;O9,height,"&lt;="&amp;O10,weight,"&gt;="&amp;B18,weight,"&lt;"&amp;C18)</f>
        <v>0</v>
      </c>
      <c r="P18" s="3">
        <f t="shared" si="1"/>
        <v>50</v>
      </c>
      <c r="Q18" s="3">
        <f>SUMPRODUCT(F18:O18,F11:O11)/P18</f>
        <v>172.512</v>
      </c>
    </row>
    <row r="19" spans="1:17" x14ac:dyDescent="0.3">
      <c r="B19" s="3">
        <v>69.599999999999994</v>
      </c>
      <c r="C19" s="3">
        <v>73.2</v>
      </c>
      <c r="D19" s="3">
        <f t="shared" si="0"/>
        <v>71.400000000000006</v>
      </c>
      <c r="F19" s="3">
        <f>COUNTIFS(height,"&gt;="&amp;F9,height,"&lt;"&amp;F10,weight,"&gt;="&amp;B19,weight,"&lt;"&amp;C19)</f>
        <v>0</v>
      </c>
      <c r="G19" s="3">
        <f>COUNTIFS(height,"&gt;="&amp;G9,height,"&lt;"&amp;G10,weight,"&gt;="&amp;B19,weight,"&lt;"&amp;C19)</f>
        <v>0</v>
      </c>
      <c r="H19" s="3">
        <f>COUNTIFS(height,"&gt;="&amp;H9,height,"&lt;"&amp;H10,weight,"&gt;="&amp;B19,weight,"&lt;"&amp;C19)</f>
        <v>4</v>
      </c>
      <c r="I19" s="3">
        <f>COUNTIFS(height,"&gt;="&amp;I9,height,"&lt;"&amp;I10,weight,"&gt;="&amp;B19,weight,"&lt;"&amp;C19)</f>
        <v>0</v>
      </c>
      <c r="J19" s="3">
        <f>COUNTIFS(height,"&gt;="&amp;J9,height,"&lt;"&amp;J10,weight,"&gt;="&amp;B19,weight,"&lt;"&amp;C19)</f>
        <v>7</v>
      </c>
      <c r="K19" s="3">
        <f>COUNTIFS(height,"&gt;="&amp;K9,height,"&lt;"&amp;K10,weight,"&gt;="&amp;B19,weight,"&lt;"&amp;C19)</f>
        <v>4</v>
      </c>
      <c r="L19" s="3">
        <f>COUNTIFS(height,"&gt;="&amp;L9,height,"&lt;"&amp;L10,weight,"&gt;="&amp;B19,weight,"&lt;"&amp;C19)</f>
        <v>6</v>
      </c>
      <c r="M19" s="3">
        <f>COUNTIFS(height,"&gt;="&amp;M9,height,"&lt;"&amp;M10,weight,"&gt;="&amp;B19,weight,"&lt;"&amp;C19)</f>
        <v>1</v>
      </c>
      <c r="N19" s="3">
        <f>COUNTIFS(height,"&gt;="&amp;N9,height,"&lt;"&amp;N10,weight,"&gt;="&amp;B19,weight,"&lt;"&amp;C19)</f>
        <v>0</v>
      </c>
      <c r="O19" s="3">
        <f>COUNTIFS(height,"&gt;="&amp;O9,height,"&lt;="&amp;O10,weight,"&gt;="&amp;B19,weight,"&lt;"&amp;C19)</f>
        <v>0</v>
      </c>
      <c r="P19" s="3">
        <f t="shared" si="1"/>
        <v>22</v>
      </c>
      <c r="Q19" s="3">
        <f>SUMPRODUCT(F19:O19,F11:O11)/P19</f>
        <v>172</v>
      </c>
    </row>
    <row r="20" spans="1:17" x14ac:dyDescent="0.3">
      <c r="B20" s="3">
        <v>73.2</v>
      </c>
      <c r="C20" s="3">
        <v>76.8</v>
      </c>
      <c r="D20" s="3">
        <f t="shared" si="0"/>
        <v>75</v>
      </c>
      <c r="F20" s="3">
        <f>COUNTIFS(height,"&gt;="&amp;F9,height,"&lt;"&amp;F10,weight,"&gt;="&amp;B20,weight,"&lt;"&amp;C20)</f>
        <v>0</v>
      </c>
      <c r="G20" s="3">
        <f>COUNTIFS(height,"&gt;="&amp;G9,height,"&lt;"&amp;G10,weight,"&gt;="&amp;B20,weight,"&lt;"&amp;C20)</f>
        <v>0</v>
      </c>
      <c r="H20" s="3">
        <f>COUNTIFS(height,"&gt;="&amp;H9,height,"&lt;"&amp;H10,weight,"&gt;="&amp;B20,weight,"&lt;"&amp;C20)</f>
        <v>0</v>
      </c>
      <c r="I20" s="3">
        <f>COUNTIFS(height,"&gt;="&amp;I9,height,"&lt;"&amp;I10,weight,"&gt;="&amp;B20,weight,"&lt;"&amp;C20)</f>
        <v>0</v>
      </c>
      <c r="J20" s="3">
        <f>COUNTIFS(height,"&gt;="&amp;J9,height,"&lt;"&amp;J10,weight,"&gt;="&amp;B20,weight,"&lt;"&amp;C20)</f>
        <v>4</v>
      </c>
      <c r="K20" s="3">
        <f>COUNTIFS(height,"&gt;="&amp;K9,height,"&lt;"&amp;K10,weight,"&gt;="&amp;B20,weight,"&lt;"&amp;C20)</f>
        <v>5</v>
      </c>
      <c r="L20" s="3">
        <f>COUNTIFS(height,"&gt;="&amp;L9,height,"&lt;"&amp;L10,weight,"&gt;="&amp;B20,weight,"&lt;"&amp;C20)</f>
        <v>2</v>
      </c>
      <c r="M20" s="3">
        <f>COUNTIFS(height,"&gt;="&amp;M9,height,"&lt;"&amp;M10,weight,"&gt;="&amp;B20,weight,"&lt;"&amp;C20)</f>
        <v>1</v>
      </c>
      <c r="N20" s="3">
        <f>COUNTIFS(height,"&gt;="&amp;N9,height,"&lt;"&amp;N10,weight,"&gt;="&amp;B20,weight,"&lt;"&amp;C20)</f>
        <v>1</v>
      </c>
      <c r="O20" s="3">
        <f>COUNTIFS(height,"&gt;="&amp;O9,height,"&lt;="&amp;O10,weight,"&gt;="&amp;B20,weight,"&lt;"&amp;C20)</f>
        <v>1</v>
      </c>
      <c r="P20" s="3">
        <f t="shared" si="1"/>
        <v>14</v>
      </c>
      <c r="Q20" s="3">
        <f>SUMPRODUCT(F20:O20,F11:O11)/P20</f>
        <v>175.2</v>
      </c>
    </row>
    <row r="21" spans="1:17" x14ac:dyDescent="0.3">
      <c r="B21" s="3">
        <v>76.8</v>
      </c>
      <c r="C21" s="3">
        <v>80.400000000000006</v>
      </c>
      <c r="D21" s="3">
        <f t="shared" si="0"/>
        <v>78.599999999999994</v>
      </c>
      <c r="F21" s="3">
        <f>COUNTIFS(height,"&gt;="&amp;F9,height,"&lt;"&amp;F10,weight,"&gt;="&amp;B21,weight,"&lt;"&amp;C21)</f>
        <v>0</v>
      </c>
      <c r="G21" s="3">
        <f>COUNTIFS(height,"&gt;="&amp;G9,height,"&lt;"&amp;G10,weight,"&gt;="&amp;B21,weight,"&lt;"&amp;C21)</f>
        <v>0</v>
      </c>
      <c r="H21" s="3">
        <f>COUNTIFS(height,"&gt;="&amp;H9,height,"&lt;"&amp;H10,weight,"&gt;="&amp;B21,weight,"&lt;"&amp;C21)</f>
        <v>0</v>
      </c>
      <c r="I21" s="3">
        <f>COUNTIFS(height,"&gt;="&amp;I9,height,"&lt;"&amp;I10,weight,"&gt;="&amp;B21,weight,"&lt;"&amp;C21)</f>
        <v>0</v>
      </c>
      <c r="J21" s="3">
        <f>COUNTIFS(height,"&gt;="&amp;J9,height,"&lt;"&amp;J10,weight,"&gt;="&amp;B21,weight,"&lt;"&amp;C21)</f>
        <v>0</v>
      </c>
      <c r="K21" s="3">
        <f>COUNTIFS(height,"&gt;="&amp;K9,height,"&lt;"&amp;K10,weight,"&gt;="&amp;B21,weight,"&lt;"&amp;C21)</f>
        <v>4</v>
      </c>
      <c r="L21" s="3">
        <f>COUNTIFS(height,"&gt;="&amp;L9,height,"&lt;"&amp;L10,weight,"&gt;="&amp;B21,weight,"&lt;"&amp;C21)</f>
        <v>3</v>
      </c>
      <c r="M21" s="3">
        <f>COUNTIFS(height,"&gt;="&amp;M9,height,"&lt;"&amp;M10,weight,"&gt;="&amp;B21,weight,"&lt;"&amp;C21)</f>
        <v>0</v>
      </c>
      <c r="N21" s="3">
        <f>COUNTIFS(height,"&gt;="&amp;N9,height,"&lt;"&amp;N10,weight,"&gt;="&amp;B21,weight,"&lt;"&amp;C21)</f>
        <v>0</v>
      </c>
      <c r="O21" s="3">
        <f>COUNTIFS(height,"&gt;="&amp;O9,height,"&lt;="&amp;O10,weight,"&gt;="&amp;B21,weight,"&lt;"&amp;C21)</f>
        <v>0</v>
      </c>
      <c r="P21" s="3">
        <f t="shared" si="1"/>
        <v>7</v>
      </c>
      <c r="Q21" s="3">
        <f>SUMPRODUCT(F21:O21,F11:O11)/P21</f>
        <v>174.97142857142859</v>
      </c>
    </row>
    <row r="22" spans="1:17" x14ac:dyDescent="0.3">
      <c r="B22" s="3">
        <v>80.400000000000006</v>
      </c>
      <c r="C22" s="3">
        <v>84</v>
      </c>
      <c r="D22" s="3">
        <f t="shared" si="0"/>
        <v>82.2</v>
      </c>
      <c r="F22" s="3">
        <f>COUNTIFS(height,"&gt;="&amp;F9,height,"&lt;"&amp;F10,weight,"&gt;="&amp;B22,weight,"&lt;="&amp;C22)</f>
        <v>0</v>
      </c>
      <c r="G22" s="3">
        <f>COUNTIFS(height,"&gt;="&amp;G9,height,"&lt;"&amp;G10,weight,"&gt;="&amp;B22,weight,"&lt;="&amp;C22)</f>
        <v>0</v>
      </c>
      <c r="H22" s="3">
        <f>COUNTIFS(height,"&gt;="&amp;H9,height,"&lt;"&amp;H10,weight,"&gt;="&amp;B22,weight,"&lt;="&amp;C22)</f>
        <v>0</v>
      </c>
      <c r="I22" s="3">
        <f>COUNTIFS(height,"&gt;="&amp;I9,height,"&lt;"&amp;I10,weight,"&gt;="&amp;B22,weight,"&lt;="&amp;C22)</f>
        <v>0</v>
      </c>
      <c r="J22" s="3">
        <f>COUNTIFS(height,"&gt;="&amp;J9,height,"&lt;"&amp;J10,weight,"&gt;="&amp;B22,weight,"&lt;="&amp;C22)</f>
        <v>0</v>
      </c>
      <c r="K22" s="3">
        <f>COUNTIFS(height,"&gt;="&amp;K9,height,"&lt;"&amp;K10,weight,"&gt;="&amp;B22,weight,"&lt;="&amp;C22)</f>
        <v>0</v>
      </c>
      <c r="L22" s="3">
        <f>COUNTIFS(height,"&gt;="&amp;L9,height,"&lt;"&amp;L10,weight,"&gt;="&amp;B22,weight,"&lt;="&amp;C22)</f>
        <v>0</v>
      </c>
      <c r="M22" s="3">
        <f>COUNTIFS(height,"&gt;="&amp;M9,height,"&lt;"&amp;M10,weight,"&gt;="&amp;B22,weight,"&lt;="&amp;C22)</f>
        <v>0</v>
      </c>
      <c r="N22" s="3">
        <f>COUNTIFS(height,"&gt;="&amp;N9,height,"&lt;"&amp;N10,weight,"&gt;="&amp;B22,weight,"&lt;="&amp;C22)</f>
        <v>0</v>
      </c>
      <c r="O22" s="3">
        <f>COUNTIFS(height,"&gt;="&amp;O9,height,"&lt;="&amp;O10,weight,"&gt;="&amp;B22,weight,"&lt;="&amp;C22)</f>
        <v>1</v>
      </c>
      <c r="P22" s="3">
        <f t="shared" si="1"/>
        <v>1</v>
      </c>
      <c r="Q22" s="3">
        <f>SUMPRODUCT(F22:O22,F11:O11)/P22</f>
        <v>186.4</v>
      </c>
    </row>
    <row r="23" spans="1:17" x14ac:dyDescent="0.3">
      <c r="E23" s="3" t="s">
        <v>68</v>
      </c>
      <c r="F23" s="3">
        <f t="shared" ref="F23:O23" si="2">SUM(F13:F22)</f>
        <v>12</v>
      </c>
      <c r="G23" s="3">
        <f t="shared" si="2"/>
        <v>11</v>
      </c>
      <c r="H23" s="3">
        <f t="shared" si="2"/>
        <v>31</v>
      </c>
      <c r="I23" s="3">
        <f t="shared" si="2"/>
        <v>37</v>
      </c>
      <c r="J23" s="3">
        <f t="shared" si="2"/>
        <v>36</v>
      </c>
      <c r="K23" s="3">
        <f t="shared" si="2"/>
        <v>37</v>
      </c>
      <c r="L23" s="3">
        <f t="shared" si="2"/>
        <v>23</v>
      </c>
      <c r="M23" s="3">
        <f t="shared" si="2"/>
        <v>6</v>
      </c>
      <c r="N23" s="3">
        <f t="shared" si="2"/>
        <v>5</v>
      </c>
      <c r="O23" s="3">
        <f t="shared" si="2"/>
        <v>2</v>
      </c>
      <c r="P23" s="3" t="b">
        <f>AND(SUM(F23:O23)=200,SUM(P13:P22)=200)</f>
        <v>1</v>
      </c>
      <c r="Q23" s="10"/>
    </row>
    <row r="24" spans="1:17" x14ac:dyDescent="0.3">
      <c r="E24" s="3" t="s">
        <v>69</v>
      </c>
      <c r="F24" s="3">
        <f>SUMPRODUCT(F13:F22,D13:D22)/F23</f>
        <v>55.800000000000004</v>
      </c>
      <c r="G24" s="3">
        <f>SUMPRODUCT(G13:G22,D13:D22)/G23</f>
        <v>59.618181818181817</v>
      </c>
      <c r="H24" s="3">
        <f>SUMPRODUCT(H13:H22,D13:D22)/H23</f>
        <v>62.690322580645152</v>
      </c>
      <c r="I24" s="3">
        <f>SUMPRODUCT(I13:I22,D13:D22)/I23</f>
        <v>62.935135135135134</v>
      </c>
      <c r="J24" s="3">
        <f>SUMPRODUCT(J13:J22,D13:D22)/J23</f>
        <v>66.2</v>
      </c>
      <c r="K24" s="3">
        <f>SUMPRODUCT(K13:K22,D13:D22)/K23</f>
        <v>69.454054054054055</v>
      </c>
      <c r="L24" s="3">
        <f>SUMPRODUCT(L13:L22,D13:D22)/L23</f>
        <v>69.052173913043475</v>
      </c>
      <c r="M24" s="3">
        <f>SUMPRODUCT(M13:M22,D13:D22)/M23</f>
        <v>68.399999999999991</v>
      </c>
      <c r="N24" s="3">
        <f>SUMPRODUCT(N13:N22,D13:D22)/N23</f>
        <v>69.239999999999995</v>
      </c>
      <c r="O24" s="3">
        <f>SUMPRODUCT(O13:O22,D13:D22)/O23</f>
        <v>78.599999999999994</v>
      </c>
      <c r="P24" s="10"/>
      <c r="Q24" s="10"/>
    </row>
    <row r="26" spans="1:17" x14ac:dyDescent="0.3">
      <c r="A26" s="19" t="s">
        <v>67</v>
      </c>
      <c r="B26" s="20"/>
      <c r="C26" s="21"/>
    </row>
    <row r="28" spans="1:17" x14ac:dyDescent="0.3">
      <c r="E28" s="3" t="s">
        <v>1</v>
      </c>
    </row>
    <row r="29" spans="1:17" x14ac:dyDescent="0.3">
      <c r="E29" s="3" t="s">
        <v>14</v>
      </c>
      <c r="F29" s="3">
        <v>156</v>
      </c>
      <c r="G29" s="3">
        <v>159.19999999999999</v>
      </c>
      <c r="H29" s="3">
        <v>162.4</v>
      </c>
      <c r="I29" s="3">
        <v>165.6</v>
      </c>
      <c r="J29" s="3">
        <v>168.8</v>
      </c>
      <c r="K29" s="3">
        <v>172</v>
      </c>
      <c r="L29" s="3">
        <v>175.2</v>
      </c>
      <c r="M29" s="3">
        <v>178.4</v>
      </c>
      <c r="N29" s="3">
        <v>181.6</v>
      </c>
    </row>
    <row r="30" spans="1:17" x14ac:dyDescent="0.3">
      <c r="E30" s="3" t="s">
        <v>15</v>
      </c>
      <c r="F30" s="3">
        <v>159.19999999999999</v>
      </c>
      <c r="G30" s="3">
        <v>162.4</v>
      </c>
      <c r="H30" s="3">
        <v>165.6</v>
      </c>
      <c r="I30" s="3">
        <v>168.8</v>
      </c>
      <c r="J30" s="3">
        <v>172</v>
      </c>
      <c r="K30" s="3">
        <v>175.2</v>
      </c>
      <c r="L30" s="3">
        <v>178.4</v>
      </c>
      <c r="M30" s="3">
        <v>181.6</v>
      </c>
      <c r="N30" s="3">
        <v>188</v>
      </c>
    </row>
    <row r="31" spans="1:17" x14ac:dyDescent="0.3">
      <c r="E31" s="3" t="s">
        <v>20</v>
      </c>
      <c r="F31" s="3">
        <v>157.6</v>
      </c>
      <c r="G31" s="3">
        <v>160.80000000000001</v>
      </c>
      <c r="H31" s="3">
        <v>164</v>
      </c>
      <c r="I31" s="3">
        <v>167.2</v>
      </c>
      <c r="J31" s="3">
        <v>170.4</v>
      </c>
      <c r="K31" s="3">
        <v>173.6</v>
      </c>
      <c r="L31" s="3">
        <v>176.8</v>
      </c>
      <c r="M31" s="3">
        <v>180</v>
      </c>
      <c r="N31" s="3">
        <v>184.8</v>
      </c>
    </row>
    <row r="32" spans="1:17" x14ac:dyDescent="0.3">
      <c r="A32" s="3" t="s">
        <v>2</v>
      </c>
      <c r="B32" s="3" t="s">
        <v>14</v>
      </c>
      <c r="C32" s="3" t="s">
        <v>15</v>
      </c>
      <c r="D32" s="3" t="s">
        <v>20</v>
      </c>
      <c r="O32" s="3" t="s">
        <v>70</v>
      </c>
      <c r="P32" s="3" t="s">
        <v>69</v>
      </c>
    </row>
    <row r="33" spans="2:16" x14ac:dyDescent="0.3">
      <c r="B33" s="3">
        <v>48</v>
      </c>
      <c r="C33" s="3">
        <v>51.6</v>
      </c>
      <c r="D33" s="3">
        <f t="shared" ref="D33:D42" si="3">(B33+C33)/2</f>
        <v>49.8</v>
      </c>
      <c r="F33" s="3">
        <f>COUNTIFS(height,"&gt;="&amp;F29,height,"&lt;"&amp;F30,weight,"&gt;="&amp;B33,weight,"&lt;"&amp;C33)</f>
        <v>2</v>
      </c>
      <c r="G33" s="3">
        <f>COUNTIFS(height,"&gt;="&amp;G29,height,"&lt;"&amp;G30,weight,"&gt;="&amp;B33,weight,"&lt;"&amp;C33)</f>
        <v>1</v>
      </c>
      <c r="H33" s="3">
        <f>COUNTIFS(height,"&gt;="&amp;H29,height,"&lt;"&amp;H30,weight,"&gt;="&amp;B33,weight,"&lt;"&amp;C33)</f>
        <v>0</v>
      </c>
      <c r="I33" s="3">
        <f>COUNTIFS(height,"&gt;="&amp;I29,height,"&lt;"&amp;I30,weight,"&gt;="&amp;B33,weight,"&lt;"&amp;C33)</f>
        <v>1</v>
      </c>
      <c r="J33" s="3">
        <f>COUNTIFS(height,"&gt;="&amp;J29,height,"&lt;"&amp;J30,weight,"&gt;="&amp;B33,weight,"&lt;"&amp;C33)</f>
        <v>0</v>
      </c>
      <c r="K33" s="3">
        <f>COUNTIFS(height,"&gt;="&amp;K29,height,"&lt;"&amp;K30,weight,"&gt;="&amp;B33,weight,"&lt;"&amp;C33)</f>
        <v>0</v>
      </c>
      <c r="L33" s="3">
        <f>COUNTIFS(height,"&gt;="&amp;L29,height,"&lt;"&amp;L30,weight,"&gt;="&amp;B33,weight,"&lt;"&amp;C33)</f>
        <v>0</v>
      </c>
      <c r="M33" s="3">
        <f>COUNTIFS(height,"&gt;="&amp;M29,height,"&lt;"&amp;M30,weight,"&gt;="&amp;B33,weight,"&lt;"&amp;C33)</f>
        <v>0</v>
      </c>
      <c r="N33" s="3">
        <f>COUNTIFS(height,"&gt;="&amp;N29,height,"&lt;="&amp;N30,weight,"&gt;="&amp;B33,weight,"&lt;"&amp;C33)</f>
        <v>0</v>
      </c>
      <c r="O33" s="3">
        <f t="shared" ref="O33:O42" si="4">SUM(F33:N33)</f>
        <v>4</v>
      </c>
      <c r="P33" s="3">
        <f>SUMPRODUCT(F33:N33,F31:N31)/O33</f>
        <v>160.80000000000001</v>
      </c>
    </row>
    <row r="34" spans="2:16" x14ac:dyDescent="0.3">
      <c r="B34" s="3">
        <v>51.6</v>
      </c>
      <c r="C34" s="3">
        <v>55.2</v>
      </c>
      <c r="D34" s="3">
        <f t="shared" si="3"/>
        <v>53.400000000000006</v>
      </c>
      <c r="F34" s="3">
        <f>COUNTIFS(height,"&gt;="&amp;F29,height,"&lt;"&amp;F30,weight,"&gt;="&amp;B34,weight,"&lt;"&amp;C34)</f>
        <v>4</v>
      </c>
      <c r="G34" s="3">
        <f>COUNTIFS(height,"&gt;="&amp;G29,height,"&lt;"&amp;G30,weight,"&gt;="&amp;B34,weight,"&lt;"&amp;C34)</f>
        <v>0</v>
      </c>
      <c r="H34" s="3">
        <f>COUNTIFS(height,"&gt;="&amp;H29,height,"&lt;"&amp;H30,weight,"&gt;="&amp;B34,weight,"&lt;"&amp;C34)</f>
        <v>1</v>
      </c>
      <c r="I34" s="3">
        <f>COUNTIFS(height,"&gt;="&amp;I29,height,"&lt;"&amp;I30,weight,"&gt;="&amp;B34,weight,"&lt;"&amp;C34)</f>
        <v>1</v>
      </c>
      <c r="J34" s="3">
        <f>COUNTIFS(height,"&gt;="&amp;J29,height,"&lt;"&amp;J30,weight,"&gt;="&amp;B34,weight,"&lt;"&amp;C34)</f>
        <v>2</v>
      </c>
      <c r="K34" s="3">
        <f>COUNTIFS(height,"&gt;="&amp;K29,height,"&lt;"&amp;K30,weight,"&gt;="&amp;B34,weight,"&lt;"&amp;C34)</f>
        <v>0</v>
      </c>
      <c r="L34" s="3">
        <f>COUNTIFS(height,"&gt;="&amp;L29,height,"&lt;"&amp;L30,weight,"&gt;="&amp;B34,weight,"&lt;"&amp;C34)</f>
        <v>0</v>
      </c>
      <c r="M34" s="3">
        <f>COUNTIFS(height,"&gt;="&amp;M29,height,"&lt;"&amp;M30,weight,"&gt;="&amp;B34,weight,"&lt;"&amp;C34)</f>
        <v>0</v>
      </c>
      <c r="N34" s="3">
        <f>COUNTIFS(height,"&gt;="&amp;N29,height,"&lt;="&amp;N30,weight,"&gt;="&amp;B34,weight,"&lt;"&amp;C34)</f>
        <v>0</v>
      </c>
      <c r="O34" s="3">
        <f t="shared" si="4"/>
        <v>8</v>
      </c>
      <c r="P34" s="3">
        <f>SUMPRODUCT(F34:N34,F31:N31)/O34</f>
        <v>162.79999999999998</v>
      </c>
    </row>
    <row r="35" spans="2:16" x14ac:dyDescent="0.3">
      <c r="B35" s="3">
        <v>55.2</v>
      </c>
      <c r="C35" s="3">
        <v>58.8</v>
      </c>
      <c r="D35" s="3">
        <f t="shared" si="3"/>
        <v>57</v>
      </c>
      <c r="F35" s="3">
        <f>COUNTIFS(height,"&gt;="&amp;F29,height,"&lt;"&amp;F30,weight,"&gt;="&amp;B35,weight,"&lt;"&amp;C35)</f>
        <v>2</v>
      </c>
      <c r="G35" s="3">
        <f>COUNTIFS(height,"&gt;="&amp;G29,height,"&lt;"&amp;G30,weight,"&gt;="&amp;B35,weight,"&lt;"&amp;C35)</f>
        <v>2</v>
      </c>
      <c r="H35" s="3">
        <f>COUNTIFS(height,"&gt;="&amp;H29,height,"&lt;"&amp;H30,weight,"&gt;="&amp;B35,weight,"&lt;"&amp;C35)</f>
        <v>4</v>
      </c>
      <c r="I35" s="3">
        <f>COUNTIFS(height,"&gt;="&amp;I29,height,"&lt;"&amp;I30,weight,"&gt;="&amp;B35,weight,"&lt;"&amp;C35)</f>
        <v>3</v>
      </c>
      <c r="J35" s="3">
        <f>COUNTIFS(height,"&gt;="&amp;J29,height,"&lt;"&amp;J30,weight,"&gt;="&amp;B35,weight,"&lt;"&amp;C35)</f>
        <v>1</v>
      </c>
      <c r="K35" s="3">
        <f>COUNTIFS(height,"&gt;="&amp;K29,height,"&lt;"&amp;K30,weight,"&gt;="&amp;B35,weight,"&lt;"&amp;C35)</f>
        <v>0</v>
      </c>
      <c r="L35" s="3">
        <f>COUNTIFS(height,"&gt;="&amp;L29,height,"&lt;"&amp;L30,weight,"&gt;="&amp;B35,weight,"&lt;"&amp;C35)</f>
        <v>0</v>
      </c>
      <c r="M35" s="3">
        <f>COUNTIFS(height,"&gt;="&amp;M29,height,"&lt;"&amp;M30,weight,"&gt;="&amp;B35,weight,"&lt;"&amp;C35)</f>
        <v>0</v>
      </c>
      <c r="N35" s="3">
        <f>COUNTIFS(height,"&gt;="&amp;N29,height,"&lt;="&amp;N30,weight,"&gt;="&amp;B35,weight,"&lt;"&amp;C35)</f>
        <v>0</v>
      </c>
      <c r="O35" s="3">
        <f t="shared" si="4"/>
        <v>12</v>
      </c>
      <c r="P35" s="3">
        <f>SUMPRODUCT(F35:N35,F31:N31)/O35</f>
        <v>163.73333333333332</v>
      </c>
    </row>
    <row r="36" spans="2:16" x14ac:dyDescent="0.3">
      <c r="B36" s="3">
        <v>58.8</v>
      </c>
      <c r="C36" s="3">
        <v>62.4</v>
      </c>
      <c r="D36" s="3">
        <f t="shared" si="3"/>
        <v>60.599999999999994</v>
      </c>
      <c r="F36" s="3">
        <f>COUNTIFS(height,"&gt;="&amp;F29,height,"&lt;"&amp;F30,weight,"&gt;="&amp;B36,weight,"&lt;"&amp;C36)</f>
        <v>4</v>
      </c>
      <c r="G36" s="3">
        <f>COUNTIFS(height,"&gt;="&amp;G29,height,"&lt;"&amp;G30,weight,"&gt;="&amp;B36,weight,"&lt;"&amp;C36)</f>
        <v>6</v>
      </c>
      <c r="H36" s="3">
        <f>COUNTIFS(height,"&gt;="&amp;H29,height,"&lt;"&amp;H30,weight,"&gt;="&amp;B36,weight,"&lt;"&amp;C36)</f>
        <v>14</v>
      </c>
      <c r="I36" s="3">
        <f>COUNTIFS(height,"&gt;="&amp;I29,height,"&lt;"&amp;I30,weight,"&gt;="&amp;B36,weight,"&lt;"&amp;C36)</f>
        <v>9</v>
      </c>
      <c r="J36" s="3">
        <f>COUNTIFS(height,"&gt;="&amp;J29,height,"&lt;"&amp;J30,weight,"&gt;="&amp;B36,weight,"&lt;"&amp;C36)</f>
        <v>7</v>
      </c>
      <c r="K36" s="3">
        <f>COUNTIFS(height,"&gt;="&amp;K29,height,"&lt;"&amp;K30,weight,"&gt;="&amp;B36,weight,"&lt;"&amp;C36)</f>
        <v>1</v>
      </c>
      <c r="L36" s="3">
        <f>COUNTIFS(height,"&gt;="&amp;L29,height,"&lt;"&amp;L30,weight,"&gt;="&amp;B36,weight,"&lt;"&amp;C36)</f>
        <v>5</v>
      </c>
      <c r="M36" s="3">
        <f>COUNTIFS(height,"&gt;="&amp;M29,height,"&lt;"&amp;M30,weight,"&gt;="&amp;B36,weight,"&lt;"&amp;C36)</f>
        <v>0</v>
      </c>
      <c r="N36" s="3">
        <f>COUNTIFS(height,"&gt;="&amp;N29,height,"&lt;="&amp;N30,weight,"&gt;="&amp;B36,weight,"&lt;"&amp;C36)</f>
        <v>0</v>
      </c>
      <c r="O36" s="3">
        <f t="shared" si="4"/>
        <v>46</v>
      </c>
      <c r="P36" s="3">
        <f>SUMPRODUCT(F36:N36,F31:N31)/O36</f>
        <v>166.22608695652175</v>
      </c>
    </row>
    <row r="37" spans="2:16" x14ac:dyDescent="0.3">
      <c r="B37" s="3">
        <v>62.4</v>
      </c>
      <c r="C37" s="3">
        <v>66</v>
      </c>
      <c r="D37" s="3">
        <f t="shared" si="3"/>
        <v>64.2</v>
      </c>
      <c r="F37" s="3">
        <f>COUNTIFS(height,"&gt;="&amp;F29,height,"&lt;"&amp;F30,weight,"&gt;="&amp;B37,weight,"&lt;"&amp;C37)</f>
        <v>0</v>
      </c>
      <c r="G37" s="3">
        <f>COUNTIFS(height,"&gt;="&amp;G29,height,"&lt;"&amp;G30,weight,"&gt;="&amp;B37,weight,"&lt;"&amp;C37)</f>
        <v>2</v>
      </c>
      <c r="H37" s="3">
        <f>COUNTIFS(height,"&gt;="&amp;H29,height,"&lt;"&amp;H30,weight,"&gt;="&amp;B37,weight,"&lt;"&amp;C37)</f>
        <v>4</v>
      </c>
      <c r="I37" s="3">
        <f>COUNTIFS(height,"&gt;="&amp;I29,height,"&lt;"&amp;I30,weight,"&gt;="&amp;B37,weight,"&lt;"&amp;C37)</f>
        <v>14</v>
      </c>
      <c r="J37" s="3">
        <f>COUNTIFS(height,"&gt;="&amp;J29,height,"&lt;"&amp;J30,weight,"&gt;="&amp;B37,weight,"&lt;"&amp;C37)</f>
        <v>6</v>
      </c>
      <c r="K37" s="3">
        <f>COUNTIFS(height,"&gt;="&amp;K29,height,"&lt;"&amp;K30,weight,"&gt;="&amp;B37,weight,"&lt;"&amp;C37)</f>
        <v>7</v>
      </c>
      <c r="L37" s="3">
        <f>COUNTIFS(height,"&gt;="&amp;L29,height,"&lt;"&amp;L30,weight,"&gt;="&amp;B37,weight,"&lt;"&amp;C37)</f>
        <v>1</v>
      </c>
      <c r="M37" s="3">
        <f>COUNTIFS(height,"&gt;="&amp;M29,height,"&lt;"&amp;M30,weight,"&gt;="&amp;B37,weight,"&lt;"&amp;C37)</f>
        <v>2</v>
      </c>
      <c r="N37" s="3">
        <f>COUNTIFS(height,"&gt;="&amp;N29,height,"&lt;="&amp;N30,weight,"&gt;="&amp;B37,weight,"&lt;"&amp;C37)</f>
        <v>0</v>
      </c>
      <c r="O37" s="3">
        <f t="shared" si="4"/>
        <v>36</v>
      </c>
      <c r="P37" s="3">
        <f>SUMPRODUCT(F37:N37,F31:N31)/O37</f>
        <v>169.24444444444441</v>
      </c>
    </row>
    <row r="38" spans="2:16" x14ac:dyDescent="0.3">
      <c r="B38" s="3">
        <v>66</v>
      </c>
      <c r="C38" s="3">
        <v>69.599999999999994</v>
      </c>
      <c r="D38" s="3">
        <f t="shared" si="3"/>
        <v>67.8</v>
      </c>
      <c r="F38" s="3">
        <f>COUNTIFS(height,"&gt;="&amp;F29,height,"&lt;"&amp;F30,weight,"&gt;="&amp;B38,weight,"&lt;"&amp;C38)</f>
        <v>0</v>
      </c>
      <c r="G38" s="3">
        <f>COUNTIFS(height,"&gt;="&amp;G29,height,"&lt;"&amp;G30,weight,"&gt;="&amp;B38,weight,"&lt;"&amp;C38)</f>
        <v>0</v>
      </c>
      <c r="H38" s="3">
        <f>COUNTIFS(height,"&gt;="&amp;H29,height,"&lt;"&amp;H30,weight,"&gt;="&amp;B38,weight,"&lt;"&amp;C38)</f>
        <v>4</v>
      </c>
      <c r="I38" s="3">
        <f>COUNTIFS(height,"&gt;="&amp;I29,height,"&lt;"&amp;I30,weight,"&gt;="&amp;B38,weight,"&lt;"&amp;C38)</f>
        <v>9</v>
      </c>
      <c r="J38" s="3">
        <f>COUNTIFS(height,"&gt;="&amp;J29,height,"&lt;"&amp;J30,weight,"&gt;="&amp;B38,weight,"&lt;"&amp;C38)</f>
        <v>9</v>
      </c>
      <c r="K38" s="3">
        <f>COUNTIFS(height,"&gt;="&amp;K29,height,"&lt;"&amp;K30,weight,"&gt;="&amp;B38,weight,"&lt;"&amp;C38)</f>
        <v>16</v>
      </c>
      <c r="L38" s="3">
        <f>COUNTIFS(height,"&gt;="&amp;L29,height,"&lt;"&amp;L30,weight,"&gt;="&amp;B38,weight,"&lt;"&amp;C38)</f>
        <v>6</v>
      </c>
      <c r="M38" s="3">
        <f>COUNTIFS(height,"&gt;="&amp;M29,height,"&lt;"&amp;M30,weight,"&gt;="&amp;B38,weight,"&lt;"&amp;C38)</f>
        <v>2</v>
      </c>
      <c r="N38" s="3">
        <f>COUNTIFS(height,"&gt;="&amp;N29,height,"&lt;="&amp;N30,weight,"&gt;="&amp;B38,weight,"&lt;"&amp;C38)</f>
        <v>4</v>
      </c>
      <c r="O38" s="3">
        <f t="shared" si="4"/>
        <v>50</v>
      </c>
      <c r="P38" s="3">
        <f>SUMPRODUCT(F38:N38,F31:N31)/O38</f>
        <v>172.64</v>
      </c>
    </row>
    <row r="39" spans="2:16" x14ac:dyDescent="0.3">
      <c r="B39" s="3">
        <v>69.599999999999994</v>
      </c>
      <c r="C39" s="3">
        <v>73.2</v>
      </c>
      <c r="D39" s="3">
        <f t="shared" si="3"/>
        <v>71.400000000000006</v>
      </c>
      <c r="F39" s="3">
        <f>COUNTIFS(height,"&gt;="&amp;F29,height,"&lt;"&amp;F30,weight,"&gt;="&amp;B39,weight,"&lt;"&amp;C39)</f>
        <v>0</v>
      </c>
      <c r="G39" s="3">
        <f>COUNTIFS(height,"&gt;="&amp;G29,height,"&lt;"&amp;G30,weight,"&gt;="&amp;B39,weight,"&lt;"&amp;C39)</f>
        <v>0</v>
      </c>
      <c r="H39" s="3">
        <f>COUNTIFS(height,"&gt;="&amp;H29,height,"&lt;"&amp;H30,weight,"&gt;="&amp;B39,weight,"&lt;"&amp;C39)</f>
        <v>4</v>
      </c>
      <c r="I39" s="3">
        <f>COUNTIFS(height,"&gt;="&amp;I29,height,"&lt;"&amp;I30,weight,"&gt;="&amp;B39,weight,"&lt;"&amp;C39)</f>
        <v>0</v>
      </c>
      <c r="J39" s="3">
        <f>COUNTIFS(height,"&gt;="&amp;J29,height,"&lt;"&amp;J30,weight,"&gt;="&amp;B39,weight,"&lt;"&amp;C39)</f>
        <v>7</v>
      </c>
      <c r="K39" s="3">
        <f>COUNTIFS(height,"&gt;="&amp;K29,height,"&lt;"&amp;K30,weight,"&gt;="&amp;B39,weight,"&lt;"&amp;C39)</f>
        <v>4</v>
      </c>
      <c r="L39" s="3">
        <f>COUNTIFS(height,"&gt;="&amp;L29,height,"&lt;"&amp;L30,weight,"&gt;="&amp;B39,weight,"&lt;"&amp;C39)</f>
        <v>6</v>
      </c>
      <c r="M39" s="3">
        <f>COUNTIFS(height,"&gt;="&amp;M29,height,"&lt;"&amp;M30,weight,"&gt;="&amp;B39,weight,"&lt;"&amp;C39)</f>
        <v>1</v>
      </c>
      <c r="N39" s="3">
        <f>COUNTIFS(height,"&gt;="&amp;N29,height,"&lt;="&amp;N30,weight,"&gt;="&amp;B39,weight,"&lt;"&amp;C39)</f>
        <v>0</v>
      </c>
      <c r="O39" s="3">
        <f t="shared" si="4"/>
        <v>22</v>
      </c>
      <c r="P39" s="3">
        <f>SUMPRODUCT(F39:N39,F31:N31)/O39</f>
        <v>172</v>
      </c>
    </row>
    <row r="40" spans="2:16" x14ac:dyDescent="0.3">
      <c r="B40" s="3">
        <v>73.2</v>
      </c>
      <c r="C40" s="3">
        <v>76.8</v>
      </c>
      <c r="D40" s="3">
        <f t="shared" si="3"/>
        <v>75</v>
      </c>
      <c r="F40" s="3">
        <f>COUNTIFS(height,"&gt;="&amp;F29,height,"&lt;"&amp;F30,weight,"&gt;="&amp;B40,weight,"&lt;"&amp;C40)</f>
        <v>0</v>
      </c>
      <c r="G40" s="3">
        <f>COUNTIFS(height,"&gt;="&amp;G29,height,"&lt;"&amp;G30,weight,"&gt;="&amp;B40,weight,"&lt;"&amp;C40)</f>
        <v>0</v>
      </c>
      <c r="H40" s="3">
        <f>COUNTIFS(height,"&gt;="&amp;H29,height,"&lt;"&amp;H30,weight,"&gt;="&amp;B40,weight,"&lt;"&amp;C40)</f>
        <v>0</v>
      </c>
      <c r="I40" s="3">
        <f>COUNTIFS(height,"&gt;="&amp;I29,height,"&lt;"&amp;I30,weight,"&gt;="&amp;B40,weight,"&lt;"&amp;C40)</f>
        <v>0</v>
      </c>
      <c r="J40" s="3">
        <f>COUNTIFS(height,"&gt;="&amp;J29,height,"&lt;"&amp;J30,weight,"&gt;="&amp;B40,weight,"&lt;"&amp;C40)</f>
        <v>4</v>
      </c>
      <c r="K40" s="3">
        <f>COUNTIFS(height,"&gt;="&amp;K29,height,"&lt;"&amp;K30,weight,"&gt;="&amp;B40,weight,"&lt;"&amp;C40)</f>
        <v>5</v>
      </c>
      <c r="L40" s="3">
        <f>COUNTIFS(height,"&gt;="&amp;L29,height,"&lt;"&amp;L30,weight,"&gt;="&amp;B40,weight,"&lt;"&amp;C40)</f>
        <v>2</v>
      </c>
      <c r="M40" s="3">
        <f>COUNTIFS(height,"&gt;="&amp;M29,height,"&lt;"&amp;M30,weight,"&gt;="&amp;B40,weight,"&lt;"&amp;C40)</f>
        <v>1</v>
      </c>
      <c r="N40" s="3">
        <f>COUNTIFS(height,"&gt;="&amp;N29,height,"&lt;="&amp;N30,weight,"&gt;="&amp;B40,weight,"&lt;"&amp;C40)</f>
        <v>2</v>
      </c>
      <c r="O40" s="3">
        <f t="shared" si="4"/>
        <v>14</v>
      </c>
      <c r="P40" s="3">
        <f>SUMPRODUCT(F40:N40,F31:N31)/O40</f>
        <v>175.2</v>
      </c>
    </row>
    <row r="41" spans="2:16" x14ac:dyDescent="0.3">
      <c r="B41" s="3">
        <v>76.8</v>
      </c>
      <c r="C41" s="3">
        <v>80.400000000000006</v>
      </c>
      <c r="D41" s="3">
        <f t="shared" si="3"/>
        <v>78.599999999999994</v>
      </c>
      <c r="F41" s="3">
        <f>COUNTIFS(height,"&gt;="&amp;F29,height,"&lt;"&amp;F30,weight,"&gt;="&amp;B41,weight,"&lt;"&amp;C41)</f>
        <v>0</v>
      </c>
      <c r="G41" s="3">
        <f>COUNTIFS(height,"&gt;="&amp;G29,height,"&lt;"&amp;G30,weight,"&gt;="&amp;B41,weight,"&lt;"&amp;C41)</f>
        <v>0</v>
      </c>
      <c r="H41" s="3">
        <f>COUNTIFS(height,"&gt;="&amp;H29,height,"&lt;"&amp;H30,weight,"&gt;="&amp;B41,weight,"&lt;"&amp;C41)</f>
        <v>0</v>
      </c>
      <c r="I41" s="3">
        <f>COUNTIFS(height,"&gt;="&amp;I29,height,"&lt;"&amp;I30,weight,"&gt;="&amp;B41,weight,"&lt;"&amp;C41)</f>
        <v>0</v>
      </c>
      <c r="J41" s="3">
        <f>COUNTIFS(height,"&gt;="&amp;J29,height,"&lt;"&amp;J30,weight,"&gt;="&amp;B41,weight,"&lt;"&amp;C41)</f>
        <v>0</v>
      </c>
      <c r="K41" s="3">
        <f>COUNTIFS(height,"&gt;="&amp;K29,height,"&lt;"&amp;K30,weight,"&gt;="&amp;B41,weight,"&lt;"&amp;C41)</f>
        <v>4</v>
      </c>
      <c r="L41" s="3">
        <f>COUNTIFS(height,"&gt;="&amp;L29,height,"&lt;"&amp;L30,weight,"&gt;="&amp;B41,weight,"&lt;"&amp;C41)</f>
        <v>3</v>
      </c>
      <c r="M41" s="3">
        <f>COUNTIFS(height,"&gt;="&amp;M29,height,"&lt;"&amp;M30,weight,"&gt;="&amp;B41,weight,"&lt;"&amp;C41)</f>
        <v>0</v>
      </c>
      <c r="N41" s="3">
        <f>COUNTIFS(height,"&gt;="&amp;N29,height,"&lt;="&amp;N30,weight,"&gt;="&amp;B41,weight,"&lt;"&amp;C41)</f>
        <v>0</v>
      </c>
      <c r="O41" s="3">
        <f t="shared" si="4"/>
        <v>7</v>
      </c>
      <c r="P41" s="3">
        <f>SUMPRODUCT(F41:N41,F31:N31)/O41</f>
        <v>174.97142857142859</v>
      </c>
    </row>
    <row r="42" spans="2:16" x14ac:dyDescent="0.3">
      <c r="B42" s="3">
        <v>80.400000000000006</v>
      </c>
      <c r="C42" s="3">
        <v>84</v>
      </c>
      <c r="D42" s="3">
        <f t="shared" si="3"/>
        <v>82.2</v>
      </c>
      <c r="F42" s="3">
        <f>COUNTIFS(height,"&gt;="&amp;F29,height,"&lt;"&amp;F30,weight,"&gt;="&amp;B42,weight,"&lt;="&amp;C42)</f>
        <v>0</v>
      </c>
      <c r="G42" s="3">
        <f>COUNTIFS(height,"&gt;="&amp;G29,height,"&lt;"&amp;G30,weight,"&gt;="&amp;B42,weight,"&lt;="&amp;C42)</f>
        <v>0</v>
      </c>
      <c r="H42" s="3">
        <f>COUNTIFS(height,"&gt;="&amp;H29,height,"&lt;"&amp;H30,weight,"&gt;="&amp;B42,weight,"&lt;="&amp;C42)</f>
        <v>0</v>
      </c>
      <c r="I42" s="3">
        <f>COUNTIFS(height,"&gt;="&amp;I29,height,"&lt;"&amp;I30,weight,"&gt;="&amp;B42,weight,"&lt;="&amp;C42)</f>
        <v>0</v>
      </c>
      <c r="J42" s="3">
        <f>COUNTIFS(height,"&gt;="&amp;J29,height,"&lt;"&amp;J30,weight,"&gt;="&amp;B42,weight,"&lt;="&amp;C42)</f>
        <v>0</v>
      </c>
      <c r="K42" s="3">
        <f>COUNTIFS(height,"&gt;="&amp;K29,height,"&lt;"&amp;K30,weight,"&gt;="&amp;B42,weight,"&lt;="&amp;C42)</f>
        <v>0</v>
      </c>
      <c r="L42" s="3">
        <f>COUNTIFS(height,"&gt;="&amp;L29,height,"&lt;"&amp;L30,weight,"&gt;="&amp;B42,weight,"&lt;="&amp;C42)</f>
        <v>0</v>
      </c>
      <c r="M42" s="3">
        <f>COUNTIFS(height,"&gt;="&amp;M29,height,"&lt;"&amp;M30,weight,"&gt;="&amp;B42,weight,"&lt;="&amp;C42)</f>
        <v>0</v>
      </c>
      <c r="N42" s="3">
        <f>COUNTIFS(height,"&gt;="&amp;N29,height,"&lt;="&amp;N30,weight,"&gt;="&amp;B42,weight,"&lt;="&amp;C42)</f>
        <v>1</v>
      </c>
      <c r="O42" s="3">
        <f t="shared" si="4"/>
        <v>1</v>
      </c>
      <c r="P42" s="3">
        <f>SUMPRODUCT(F42:N42,F31:N31)/O42</f>
        <v>184.8</v>
      </c>
    </row>
    <row r="43" spans="2:16" x14ac:dyDescent="0.3">
      <c r="E43" s="3" t="s">
        <v>68</v>
      </c>
      <c r="F43" s="3">
        <f t="shared" ref="F43:N43" si="5">SUM(F33:F42)</f>
        <v>12</v>
      </c>
      <c r="G43" s="3">
        <f t="shared" si="5"/>
        <v>11</v>
      </c>
      <c r="H43" s="3">
        <f t="shared" si="5"/>
        <v>31</v>
      </c>
      <c r="I43" s="3">
        <f t="shared" si="5"/>
        <v>37</v>
      </c>
      <c r="J43" s="3">
        <f t="shared" si="5"/>
        <v>36</v>
      </c>
      <c r="K43" s="3">
        <f t="shared" si="5"/>
        <v>37</v>
      </c>
      <c r="L43" s="3">
        <f t="shared" si="5"/>
        <v>23</v>
      </c>
      <c r="M43" s="3">
        <f t="shared" si="5"/>
        <v>6</v>
      </c>
      <c r="N43" s="3">
        <f t="shared" si="5"/>
        <v>7</v>
      </c>
      <c r="O43" s="3" t="b">
        <f>AND(SUM(F43:N43)=200,SUM(O33:O42)=200)</f>
        <v>1</v>
      </c>
    </row>
    <row r="44" spans="2:16" x14ac:dyDescent="0.3">
      <c r="E44" s="3" t="s">
        <v>69</v>
      </c>
      <c r="F44" s="3">
        <f>SUMPRODUCT(F33:F42,D33:D42)/F43</f>
        <v>55.800000000000004</v>
      </c>
      <c r="G44" s="3">
        <f>SUMPRODUCT(G33:G42,D33:D42)/G43</f>
        <v>59.618181818181817</v>
      </c>
      <c r="H44" s="3">
        <f>SUMPRODUCT(H33:H42,D33:D42)/H43</f>
        <v>62.690322580645152</v>
      </c>
      <c r="I44" s="3">
        <f>SUMPRODUCT(I33:I42,D33:D42)/I43</f>
        <v>62.935135135135134</v>
      </c>
      <c r="J44" s="3">
        <f>SUMPRODUCT(J33:J42,D33:D42)/J43</f>
        <v>66.2</v>
      </c>
      <c r="K44" s="3">
        <f>SUMPRODUCT(K33:K42,D33:D42)/K43</f>
        <v>69.454054054054055</v>
      </c>
      <c r="L44" s="3">
        <f>SUMPRODUCT(L33:L42,D33:D42)/L43</f>
        <v>69.052173913043475</v>
      </c>
      <c r="M44" s="3">
        <f>SUMPRODUCT(M33:M42,D33:D42)/M43</f>
        <v>68.399999999999991</v>
      </c>
      <c r="N44" s="3">
        <f>SUMPRODUCT(N33:N42,D33:D42)/N43</f>
        <v>71.914285714285711</v>
      </c>
    </row>
    <row r="47" spans="2:16" x14ac:dyDescent="0.3">
      <c r="F47" s="3">
        <f>(F33-$O33*F$43*(1/$E1))^2/($F43*O$33)</f>
        <v>6.4533333333333331E-2</v>
      </c>
      <c r="G47" s="3">
        <f>(G33-$O33*G$43*(1/$E1))^2/($G43*O$33)</f>
        <v>1.3827272727272728E-2</v>
      </c>
      <c r="H47" s="3">
        <f>(H33-$O33*H$43*(1/$E1))^2/($H43*O$33)</f>
        <v>3.1000000000000003E-3</v>
      </c>
      <c r="I47" s="3">
        <f>(I33-$O33*I$43*(1/$E1))^2/($I43*O$33)</f>
        <v>4.5675675675675682E-4</v>
      </c>
      <c r="J47" s="3">
        <f>(J33-$O33*J$43*(1/$E1))^2/($J43*O$33)</f>
        <v>3.5999999999999999E-3</v>
      </c>
      <c r="K47" s="3">
        <f>(K33-$O33*K$43*(1/$E1))^2/($K43*O$33)</f>
        <v>3.6999999999999997E-3</v>
      </c>
      <c r="L47" s="3">
        <f>(L33-$O33*L$43*(1/$E1))^2/($L43*O$33)</f>
        <v>2.3E-3</v>
      </c>
      <c r="M47" s="3">
        <f>(M33-$O33*M$43*(1/$E1))^2/($M43*O$33)</f>
        <v>5.9999999999999995E-4</v>
      </c>
      <c r="N47" s="16">
        <f>(N33-$O33*N$43*(1/$E1))^2/($N43*O$33)</f>
        <v>7.000000000000001E-4</v>
      </c>
      <c r="O47" s="3">
        <f t="shared" ref="O47:O56" si="6">SUM(F47:N47)</f>
        <v>9.2817362817362831E-2</v>
      </c>
    </row>
    <row r="48" spans="2:16" x14ac:dyDescent="0.3">
      <c r="F48" s="3">
        <f>(F34-$O34*F$43*(1/$E1))^2/($F43*O$34)</f>
        <v>0.12906666666666666</v>
      </c>
      <c r="G48" s="3">
        <f>(G34-$O34*G$43*(1/$E1))^2/($G43*O$34)</f>
        <v>2.2000000000000001E-3</v>
      </c>
      <c r="H48" s="3">
        <f>(H34-$O34*H$43*(1/$E1))^2/($H43*O$34)</f>
        <v>2.3225806451612904E-4</v>
      </c>
      <c r="I48" s="3">
        <f>(I34-$O34*I$43*(1/$E1))^2/($I43*O$34)</f>
        <v>7.7837837837837836E-4</v>
      </c>
      <c r="J48" s="3">
        <f>(J34-$O34*J$43*(1/$E1))^2/($J43*O$34)</f>
        <v>1.088888888888889E-3</v>
      </c>
      <c r="K48" s="3">
        <f>(K34-$O34*K$43*(1/$E1))^2/($K43*O$34)</f>
        <v>7.3999999999999995E-3</v>
      </c>
      <c r="L48" s="3">
        <f>(L34-$O34*L$43*(1/$E1))^2/($L43*O$34)</f>
        <v>4.5999999999999999E-3</v>
      </c>
      <c r="M48" s="3">
        <f>(M34-$O34*M$43*(1/$E1))^2/($M43*O$34)</f>
        <v>1.1999999999999999E-3</v>
      </c>
      <c r="N48" s="16">
        <f>(N34-$O34*N$43*(1/$E1))^2/($N43*O$34)</f>
        <v>1.4000000000000002E-3</v>
      </c>
      <c r="O48" s="3">
        <f t="shared" si="6"/>
        <v>0.14796619199845007</v>
      </c>
    </row>
    <row r="49" spans="5:16" x14ac:dyDescent="0.3">
      <c r="F49" s="3">
        <f>(F35-$O35*F$43*(1/$E1))^2/($F43*O$35)</f>
        <v>1.1377777777777778E-2</v>
      </c>
      <c r="G49" s="3">
        <f>(G35-$O35*G$43*(1/$E1))^2/($G43*O$35)</f>
        <v>1.3603030303030301E-2</v>
      </c>
      <c r="H49" s="3">
        <f>(H35-$O35*H$43*(1/$E1))^2/($H43*O$35)</f>
        <v>1.2310752688172038E-2</v>
      </c>
      <c r="I49" s="3">
        <f>(I35-$O35*I$43*(1/$E1))^2/($I43*O$35)</f>
        <v>1.3702702702702697E-3</v>
      </c>
      <c r="J49" s="3">
        <f>(J35-$O35*J43*(1/$E1))^2/($J43*O$35)</f>
        <v>3.1148148148148155E-3</v>
      </c>
      <c r="K49" s="3">
        <f>(K35-$O35*K$43*(1/$E1))^2/($K43*O$35)</f>
        <v>1.1100000000000002E-2</v>
      </c>
      <c r="L49" s="3">
        <f>(L35-$O35*L$43*(1/$E1))^2/($L43*O$35)</f>
        <v>6.9000000000000008E-3</v>
      </c>
      <c r="M49" s="3">
        <f>(M35-$O35*M$43*(1/$E1))^2/($M43*O$35)</f>
        <v>1.8E-3</v>
      </c>
      <c r="N49" s="16">
        <f>(N35-$O35*N$43*(1/$E1))^2/($N43*O$35)</f>
        <v>2.0999999999999999E-3</v>
      </c>
      <c r="O49" s="3">
        <f t="shared" si="6"/>
        <v>6.3676645854065211E-2</v>
      </c>
    </row>
    <row r="50" spans="5:16" x14ac:dyDescent="0.3">
      <c r="F50" s="3">
        <f>(F36-$O36*F$43*(1/$E1))^2/($F43*O$36)</f>
        <v>2.7855072463768104E-3</v>
      </c>
      <c r="G50" s="3">
        <f>(G36-$O36*G$43*(1/$E1))^2/($G43*O$36)</f>
        <v>2.3796245059288536E-2</v>
      </c>
      <c r="H50" s="3">
        <f>(H36-$O36*H$43*(1/$E1))^2/($H43*O$36)</f>
        <v>3.3097405329593266E-2</v>
      </c>
      <c r="I50" s="3">
        <f>(I36-$O36*I$43*(1/$E1))^2/($I43*O$36)</f>
        <v>1.4106933019976511E-4</v>
      </c>
      <c r="J50" s="3">
        <f>(J36-$O36*J$43*(1/$E1))^2/($J43*O$36)</f>
        <v>9.8937198067632743E-4</v>
      </c>
      <c r="K50" s="3">
        <f>(K36-$O36*K$43*(1/$E1))^2/($K43*O$36)</f>
        <v>3.3137544065804929E-2</v>
      </c>
      <c r="L50" s="3">
        <f>(L36-$O36*L$43*(1/$E1))^2/(L43*O$36)</f>
        <v>7.9489603024574689E-5</v>
      </c>
      <c r="M50" s="3">
        <f>(M36-$O36*M$43*(1/$E1))^2/($M43*O$36)</f>
        <v>6.9000000000000008E-3</v>
      </c>
      <c r="N50" s="16">
        <f>(N36-$O36*N$43*(1/$E1))^2/($N43*O$36)</f>
        <v>8.0500000000000016E-3</v>
      </c>
      <c r="O50" s="3">
        <f t="shared" si="6"/>
        <v>0.10897663261496421</v>
      </c>
    </row>
    <row r="51" spans="5:16" x14ac:dyDescent="0.3">
      <c r="F51" s="3">
        <f>(F37-$O37*F$43*(1/$E1))^2/($F43*O$37)</f>
        <v>1.0800000000000001E-2</v>
      </c>
      <c r="G51" s="3">
        <f>(G37-$O37*G$43*(1/$E1))^2/($G43*O$37)</f>
        <v>1.010101010101012E-6</v>
      </c>
      <c r="H51" s="3">
        <f>(H37-$O37*H$43*(1/$E1))^2/($H43*O$37)</f>
        <v>2.2369175627240147E-3</v>
      </c>
      <c r="I51" s="3">
        <f>(I37-$O37*I$43*(1/$E1))^2/($I43*O$37)</f>
        <v>4.0447147147147144E-2</v>
      </c>
      <c r="J51" s="3">
        <f>(J37-$O37*J$43*(1/$E1))^2/(J43*O$37)</f>
        <v>1.7777777777777808E-4</v>
      </c>
      <c r="K51" s="3">
        <f>(K37-$O37*K$43*(1/$E1))^2/($K43*O$37)</f>
        <v>8.6786786786786715E-5</v>
      </c>
      <c r="L51" s="3">
        <f>(L37-$O37*L$43*(1/$E1))^2/($L43*O$37)</f>
        <v>1.1907729468599032E-2</v>
      </c>
      <c r="M51" s="3">
        <f>(M37-$O37*M$43*(1/$E1))^2/(M43*O$37)</f>
        <v>3.9185185185185174E-3</v>
      </c>
      <c r="N51" s="16">
        <f>(N37-$O37*N$43*(1/$E1))^2/($N43*O$37)</f>
        <v>6.3000000000000009E-3</v>
      </c>
      <c r="O51" s="3">
        <f t="shared" si="6"/>
        <v>7.5875887362563371E-2</v>
      </c>
    </row>
    <row r="52" spans="5:16" x14ac:dyDescent="0.3">
      <c r="F52" s="3">
        <f>(F38-$O38*F$43*(1/$E1))^2/($F43*O$38)</f>
        <v>1.4999999999999999E-2</v>
      </c>
      <c r="G52" s="3">
        <f>(G38-$O38*G$43*(1/$E1))^2/($G43*O$38)</f>
        <v>1.375E-2</v>
      </c>
      <c r="H52" s="3">
        <f>(H38-$O38*H$43*(1/$E1))^2/($H43*O$38)</f>
        <v>9.0725806451612909E-3</v>
      </c>
      <c r="I52" s="3">
        <f>(I38-$O38*I$43*(1/$E1))^2/($I43*O$38)</f>
        <v>3.3783783783783784E-5</v>
      </c>
      <c r="J52" s="3">
        <f>(J38-$O38*J$43*(1/$E1))^2/($J43*O$38)</f>
        <v>0</v>
      </c>
      <c r="K52" s="3">
        <f>(K38-$O38*K$43*(1/$E1))^2/($K43*O$38)</f>
        <v>2.462837837837838E-2</v>
      </c>
      <c r="L52" s="3">
        <f>(L38-$O38*L$43*(1/$E1))^2/($L43*O$38)</f>
        <v>5.4347826086956524E-5</v>
      </c>
      <c r="M52" s="3">
        <f>(M38-$O38*M$43*(1/$E1))^2/($M43*O$38)</f>
        <v>8.3333333333333339E-4</v>
      </c>
      <c r="N52" s="16">
        <f>(N38-$O38*N$43*(1/$E1))^2/($N43*O$38)</f>
        <v>1.4464285714285714E-2</v>
      </c>
      <c r="O52" s="3">
        <f t="shared" si="6"/>
        <v>7.7836709681029459E-2</v>
      </c>
    </row>
    <row r="53" spans="5:16" x14ac:dyDescent="0.3">
      <c r="F53" s="3">
        <f>(F39-$O39*F$43*(1/$E1))^2/($F43*O$39)</f>
        <v>6.6000000000000008E-3</v>
      </c>
      <c r="G53" s="3">
        <f>(G39-$O39*G$43*(1/$E1))^2/($G43*O$39)</f>
        <v>6.0499999999999998E-3</v>
      </c>
      <c r="H53" s="3">
        <f>(H39-$O39*H$43*(1/$E1))^2/($H43*O$39)</f>
        <v>5.1041055718475047E-4</v>
      </c>
      <c r="I53" s="3">
        <f>(I39-$O39*I$43*(1/$E1))^2/($I43*O$39)</f>
        <v>2.0350000000000004E-2</v>
      </c>
      <c r="J53" s="3">
        <f>(J39-$O39*J$43*(1/$E1))^2/($J43*O$39)</f>
        <v>1.1668686868686868E-2</v>
      </c>
      <c r="K53" s="3">
        <f>(K39-$O39*K$43*(1/$E1))^2/($K43*O$39)</f>
        <v>6.0196560196560685E-6</v>
      </c>
      <c r="L53" s="3">
        <f>(L39-$O39*L$43*(1/$E1))^2/($L43*O$39)</f>
        <v>2.3796245059288536E-2</v>
      </c>
      <c r="M53" s="3">
        <f>(M39-$O39*M$43*(1/$E1))^2/($M43*O$39)</f>
        <v>8.7575757575757563E-4</v>
      </c>
      <c r="N53" s="16">
        <f>(N39-$O39*N$43*(1/$E1))^2/($N43*O$39)</f>
        <v>3.8499999999999997E-3</v>
      </c>
      <c r="O53" s="3">
        <f t="shared" si="6"/>
        <v>7.37071197169374E-2</v>
      </c>
    </row>
    <row r="54" spans="5:16" x14ac:dyDescent="0.3">
      <c r="F54" s="3">
        <f>(F40-$O40*F$43*(1/$E1))^2/($F43*O$40)</f>
        <v>4.1999999999999997E-3</v>
      </c>
      <c r="G54" s="3">
        <f>(G40-$O40*G$43*(1/$E1))^2/($G43*O$40)</f>
        <v>3.8499999999999997E-3</v>
      </c>
      <c r="H54" s="3">
        <f>(H40-$O40*H$43*(1/$E1))^2/($H43*O$40)</f>
        <v>1.085E-2</v>
      </c>
      <c r="I54" s="3">
        <f>(I40-$O40*I$43*(1/$E1))^2/($I43*O$40)</f>
        <v>1.2949999999999998E-2</v>
      </c>
      <c r="J54" s="3">
        <f>(J40-$O40*J$43*(1/$E1))^2/($J43*O$40)</f>
        <v>4.3460317460317461E-3</v>
      </c>
      <c r="K54" s="3">
        <f>(K40-$O40*K$43*(1/$E1))^2/($K43*O$40)</f>
        <v>1.1212548262548264E-2</v>
      </c>
      <c r="L54" s="3">
        <f>(L40-$O40*L$43*(1/$E1))^2/($L43*O$40)</f>
        <v>4.7236024844720477E-4</v>
      </c>
      <c r="M54" s="3">
        <f>(M40-$O40*M$43*(1/$E1))^2/($M43*O$40)</f>
        <v>4.0047619047619059E-3</v>
      </c>
      <c r="N54" s="16">
        <f>(N40-$O40*N$43*(1/$E1))^2/($N43*O$40)</f>
        <v>2.3266326530612245E-2</v>
      </c>
      <c r="O54" s="3">
        <f t="shared" si="6"/>
        <v>7.5152028692401368E-2</v>
      </c>
    </row>
    <row r="55" spans="5:16" x14ac:dyDescent="0.3">
      <c r="F55" s="3">
        <f>(F41-$O41*F$43*(1/$E1))^2/($F43*O$41)</f>
        <v>2.0999999999999999E-3</v>
      </c>
      <c r="G55" s="3">
        <f>(G41-$O41*G$43*(1/$E1))^2/($G43*O$41)</f>
        <v>1.9249999999999998E-3</v>
      </c>
      <c r="H55" s="3">
        <f>(H41-$O41*H$43*(1/$E1))^2/($H43*O$41)</f>
        <v>5.4250000000000001E-3</v>
      </c>
      <c r="I55" s="3">
        <f>(I41-$O41*I$43*(1/$E1))^2/($I43*O$41)</f>
        <v>6.474999999999999E-3</v>
      </c>
      <c r="J55" s="3">
        <f>(J41-$O41*J$43*(1/$E1))^2/($J43*O$41)</f>
        <v>6.3000000000000009E-3</v>
      </c>
      <c r="K55" s="3">
        <f>(K41-$O41*K$43*(1/$E1))^2/($K43*O$41)</f>
        <v>2.8251061776061775E-2</v>
      </c>
      <c r="L55" s="3">
        <f>(L41-$O41*L$43*(1/$E1))^2/($L43*O$41)</f>
        <v>2.9925621118012419E-2</v>
      </c>
      <c r="M55" s="3">
        <f>(M41-$O41*M$43*(1/$E1))^2/($M43*O$41)</f>
        <v>1.0499999999999999E-3</v>
      </c>
      <c r="N55" s="16">
        <f>(N41-$O41*N$43*(1/$E1))^2/($N43*O$41)</f>
        <v>1.225E-3</v>
      </c>
      <c r="O55" s="3">
        <f t="shared" si="6"/>
        <v>8.2676682894074191E-2</v>
      </c>
    </row>
    <row r="56" spans="5:16" x14ac:dyDescent="0.3">
      <c r="F56" s="3">
        <f>(F42-$O42*F$43*(1/$E1))^2/($F43*O$42)</f>
        <v>2.9999999999999997E-4</v>
      </c>
      <c r="G56" s="3">
        <f>(G42-$O42*G$43*(1/$E1))^2/($G43*O$42)</f>
        <v>2.7500000000000002E-4</v>
      </c>
      <c r="H56" s="3">
        <f>(H42-$O42*H$43*(1/$E1))^2/($H43*O$42)</f>
        <v>7.7500000000000008E-4</v>
      </c>
      <c r="I56" s="3">
        <f>(I42-$O42*I$43*(1/$E1))^2/($I43*O$42)</f>
        <v>9.2499999999999993E-4</v>
      </c>
      <c r="J56" s="3">
        <f>(J42-$O42*J$43*(1/$E1))^2/($J43*O$42)</f>
        <v>8.9999999999999998E-4</v>
      </c>
      <c r="K56" s="3">
        <f>(K42-$O42*K$43*(1/$E1))^2/($K43*O$42)</f>
        <v>9.2499999999999993E-4</v>
      </c>
      <c r="L56" s="3">
        <f>(L42-$O42*L$43*(1/$E1))^2/($L43*O$42)</f>
        <v>5.7499999999999999E-4</v>
      </c>
      <c r="M56" s="3">
        <f>(M42-$O42*M$43*(1/$E1))^2/($M43*O$42)</f>
        <v>1.4999999999999999E-4</v>
      </c>
      <c r="N56" s="16">
        <f>(N42-$O42*N$43*(1/$E1))^2/($N43*O$42)</f>
        <v>0.13303214285714285</v>
      </c>
      <c r="O56" s="3">
        <f t="shared" si="6"/>
        <v>0.13785714285714284</v>
      </c>
    </row>
    <row r="57" spans="5:16" x14ac:dyDescent="0.3">
      <c r="O57" s="3">
        <f>SUM(O47:O56)*E1</f>
        <v>187.30848089779818</v>
      </c>
      <c r="P57" s="3" t="s">
        <v>71</v>
      </c>
    </row>
    <row r="59" spans="5:16" x14ac:dyDescent="0.3">
      <c r="F59" s="10"/>
      <c r="G59" s="10"/>
      <c r="H59" s="10"/>
    </row>
    <row r="60" spans="5:16" x14ac:dyDescent="0.3">
      <c r="E60" s="5" t="s">
        <v>89</v>
      </c>
    </row>
    <row r="61" spans="5:16" x14ac:dyDescent="0.3">
      <c r="E61" s="5" t="s">
        <v>90</v>
      </c>
    </row>
  </sheetData>
  <mergeCells count="1">
    <mergeCell ref="A26:C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zoomScale="50" zoomScaleNormal="50" workbookViewId="0">
      <selection activeCell="R24" sqref="R24"/>
    </sheetView>
  </sheetViews>
  <sheetFormatPr defaultRowHeight="14.4" x14ac:dyDescent="0.3"/>
  <cols>
    <col min="1" max="3" width="8.88671875" style="5"/>
    <col min="4" max="4" width="21.44140625" style="5" customWidth="1"/>
    <col min="5" max="5" width="29.33203125" style="5" customWidth="1"/>
    <col min="6" max="6" width="14.109375" style="5" customWidth="1"/>
    <col min="7" max="7" width="12.88671875" style="5" customWidth="1"/>
    <col min="8" max="8" width="14.88671875" style="5" customWidth="1"/>
    <col min="9" max="9" width="13.44140625" style="5" customWidth="1"/>
    <col min="10" max="10" width="14.33203125" style="5" customWidth="1"/>
    <col min="11" max="11" width="15.88671875" style="5" customWidth="1"/>
    <col min="12" max="12" width="15.6640625" style="5" customWidth="1"/>
    <col min="13" max="13" width="15.109375" style="5" customWidth="1"/>
    <col min="14" max="14" width="16.33203125" style="5" customWidth="1"/>
    <col min="15" max="15" width="14.21875" style="5" customWidth="1"/>
    <col min="16" max="16" width="15.44140625" style="5" customWidth="1"/>
    <col min="17" max="17" width="18.33203125" style="5" customWidth="1"/>
    <col min="18" max="18" width="26.6640625" style="5" customWidth="1"/>
    <col min="19" max="19" width="13.6640625" style="5" customWidth="1"/>
    <col min="20" max="20" width="14" style="5" customWidth="1"/>
    <col min="21" max="21" width="8.88671875" style="5"/>
    <col min="22" max="22" width="29.109375" style="5" customWidth="1"/>
    <col min="23" max="16384" width="8.88671875" style="5"/>
  </cols>
  <sheetData>
    <row r="1" spans="1:23" x14ac:dyDescent="0.3">
      <c r="E1" s="3" t="s">
        <v>1</v>
      </c>
    </row>
    <row r="2" spans="1:23" x14ac:dyDescent="0.3">
      <c r="E2" s="3" t="s">
        <v>14</v>
      </c>
      <c r="F2" s="3">
        <v>156</v>
      </c>
      <c r="G2" s="3">
        <v>159.19999999999999</v>
      </c>
      <c r="H2" s="3">
        <v>162.4</v>
      </c>
      <c r="I2" s="3">
        <v>165.6</v>
      </c>
      <c r="J2" s="3">
        <v>168.8</v>
      </c>
      <c r="K2" s="3">
        <v>172</v>
      </c>
      <c r="L2" s="3">
        <v>175.2</v>
      </c>
      <c r="M2" s="3">
        <v>178.4</v>
      </c>
      <c r="N2" s="3">
        <v>181.6</v>
      </c>
      <c r="O2" s="3">
        <v>184.8</v>
      </c>
    </row>
    <row r="3" spans="1:23" x14ac:dyDescent="0.3">
      <c r="E3" s="3" t="s">
        <v>15</v>
      </c>
      <c r="F3" s="3">
        <v>159.19999999999999</v>
      </c>
      <c r="G3" s="3">
        <v>162.4</v>
      </c>
      <c r="H3" s="3">
        <v>165.6</v>
      </c>
      <c r="I3" s="3">
        <v>168.8</v>
      </c>
      <c r="J3" s="3">
        <v>172</v>
      </c>
      <c r="K3" s="3">
        <v>175.2</v>
      </c>
      <c r="L3" s="3">
        <v>178.4</v>
      </c>
      <c r="M3" s="3">
        <v>181.6</v>
      </c>
      <c r="N3" s="3">
        <v>184.8</v>
      </c>
      <c r="O3" s="3">
        <v>188</v>
      </c>
    </row>
    <row r="4" spans="1:23" x14ac:dyDescent="0.3">
      <c r="E4" s="3" t="s">
        <v>20</v>
      </c>
      <c r="F4" s="3">
        <v>157.6</v>
      </c>
      <c r="G4" s="3">
        <v>160.80000000000001</v>
      </c>
      <c r="H4" s="3">
        <v>164</v>
      </c>
      <c r="I4" s="3">
        <v>167.2</v>
      </c>
      <c r="J4" s="3">
        <v>170.4</v>
      </c>
      <c r="K4" s="3">
        <v>173.6</v>
      </c>
      <c r="L4" s="3">
        <v>176.8</v>
      </c>
      <c r="M4" s="3">
        <v>180</v>
      </c>
      <c r="N4" s="3">
        <v>183.2</v>
      </c>
      <c r="O4" s="3">
        <v>186.4</v>
      </c>
    </row>
    <row r="5" spans="1:23" x14ac:dyDescent="0.3">
      <c r="A5" s="3" t="s">
        <v>2</v>
      </c>
      <c r="B5" s="3" t="s">
        <v>14</v>
      </c>
      <c r="C5" s="3" t="s">
        <v>15</v>
      </c>
      <c r="D5" s="3" t="s">
        <v>20</v>
      </c>
      <c r="P5" s="3" t="s">
        <v>70</v>
      </c>
      <c r="Q5" s="3" t="s">
        <v>69</v>
      </c>
      <c r="R5" s="3" t="s">
        <v>114</v>
      </c>
      <c r="S5" s="9" t="s">
        <v>116</v>
      </c>
      <c r="V5" s="3" t="s">
        <v>117</v>
      </c>
      <c r="W5" s="3">
        <f>SUMPRODUCT(P6:P15,S6:S15)/200</f>
        <v>23.079456684610069</v>
      </c>
    </row>
    <row r="6" spans="1:23" x14ac:dyDescent="0.3">
      <c r="B6" s="3">
        <v>48</v>
      </c>
      <c r="C6" s="3">
        <v>51.6</v>
      </c>
      <c r="D6" s="3">
        <f t="shared" ref="D6:D15" si="0">(B6+C6)/2</f>
        <v>49.8</v>
      </c>
      <c r="F6" s="3">
        <f>COUNTIFS(height,"&gt;="&amp;F2,height,"&lt;"&amp;F3,weight,"&gt;="&amp;B6,weight,"&lt;"&amp;C6)</f>
        <v>2</v>
      </c>
      <c r="G6" s="3">
        <f>COUNTIFS(height,"&gt;="&amp;G2,height,"&lt;"&amp;G3,weight,"&gt;="&amp;B6,weight,"&lt;"&amp;C6)</f>
        <v>1</v>
      </c>
      <c r="H6" s="3">
        <f>COUNTIFS(height,"&gt;="&amp;H2,height,"&lt;"&amp;H3,weight,"&gt;="&amp;B6,weight,"&lt;"&amp;C6)</f>
        <v>0</v>
      </c>
      <c r="I6" s="3">
        <f>COUNTIFS(height,"&gt;="&amp;I2,height,"&lt;"&amp;I3,weight,"&gt;="&amp;B6,weight,"&lt;"&amp;C6)</f>
        <v>1</v>
      </c>
      <c r="J6" s="3">
        <f>COUNTIFS(height,"&gt;="&amp;J2,height,"&lt;"&amp;J3,weight,"&gt;="&amp;B6,weight,"&lt;"&amp;C6)</f>
        <v>0</v>
      </c>
      <c r="K6" s="3">
        <f>COUNTIFS(height,"&gt;="&amp;K2,height,"&lt;"&amp;K3,weight,"&gt;="&amp;B6,weight,"&lt;"&amp;C6)</f>
        <v>0</v>
      </c>
      <c r="L6" s="3">
        <f>COUNTIFS(height,"&gt;="&amp;L2,height,"&lt;"&amp;L3,weight,"&gt;="&amp;B6,weight,"&lt;"&amp;C6)</f>
        <v>0</v>
      </c>
      <c r="M6" s="3">
        <f>COUNTIFS(height,"&gt;="&amp;M2,height,"&lt;"&amp;M3,weight,"&gt;="&amp;B6,weight,"&lt;"&amp;C6)</f>
        <v>0</v>
      </c>
      <c r="N6" s="3">
        <f>COUNTIFS(height,"&gt;="&amp;N2,height,"&lt;"&amp;N3,weight,"&gt;="&amp;B6,weight,"&lt;"&amp;C6)</f>
        <v>0</v>
      </c>
      <c r="O6" s="3">
        <f>COUNTIFS(height,"&gt;="&amp;O2,height,"&lt;="&amp;O3,weight,"&gt;="&amp;B6,weight,"&lt;"&amp;C6)</f>
        <v>0</v>
      </c>
      <c r="P6" s="3">
        <f t="shared" ref="P6:P15" si="1">SUM(F6:O6)</f>
        <v>4</v>
      </c>
      <c r="Q6" s="3">
        <f>SUMPRODUCT(F6:O6,F4:O4)/P6</f>
        <v>160.80000000000001</v>
      </c>
      <c r="R6" s="3">
        <f>SUMPRODUCT(F4:O4,F4:O4,F6:O6)/P6</f>
        <v>25872</v>
      </c>
      <c r="S6" s="3">
        <f>R6-Q6^2</f>
        <v>15.359999999996944</v>
      </c>
      <c r="T6" s="3">
        <f>P6*(Q16-Q6)^2</f>
        <v>310.88742399999819</v>
      </c>
      <c r="V6" s="3" t="s">
        <v>118</v>
      </c>
      <c r="W6" s="3">
        <f>SUM(T6:T15)/200</f>
        <v>15.47388731538992</v>
      </c>
    </row>
    <row r="7" spans="1:23" x14ac:dyDescent="0.3">
      <c r="B7" s="3">
        <v>51.6</v>
      </c>
      <c r="C7" s="3">
        <v>55.2</v>
      </c>
      <c r="D7" s="3">
        <f t="shared" si="0"/>
        <v>53.400000000000006</v>
      </c>
      <c r="F7" s="3">
        <f>COUNTIFS(height,"&gt;="&amp;F2,height,"&lt;"&amp;F3,weight,"&gt;="&amp;B7,weight,"&lt;"&amp;C7)</f>
        <v>4</v>
      </c>
      <c r="G7" s="3">
        <f>COUNTIFS(height,"&gt;="&amp;G2,height,"&lt;"&amp;G3,weight,"&gt;="&amp;B7,weight,"&lt;"&amp;C7)</f>
        <v>0</v>
      </c>
      <c r="H7" s="3">
        <f>COUNTIFS(height,"&gt;="&amp;H2,height,"&lt;"&amp;H3,weight,"&gt;="&amp;B7,weight,"&lt;"&amp;C7)</f>
        <v>1</v>
      </c>
      <c r="I7" s="3">
        <f>COUNTIFS(height,"&gt;="&amp;I2,height,"&lt;"&amp;I3,weight,"&gt;="&amp;B7,weight,"&lt;"&amp;C7)</f>
        <v>1</v>
      </c>
      <c r="J7" s="3">
        <f>COUNTIFS(height,"&gt;="&amp;J2,height,"&lt;"&amp;J3,weight,"&gt;="&amp;B7,weight,"&lt;"&amp;C7)</f>
        <v>2</v>
      </c>
      <c r="K7" s="3">
        <f>COUNTIFS(height,"&gt;="&amp;K2,height,"&lt;"&amp;K3,weight,"&gt;="&amp;B7,weight,"&lt;"&amp;C7)</f>
        <v>0</v>
      </c>
      <c r="L7" s="3">
        <f>COUNTIFS(height,"&gt;="&amp;L2,height,"&lt;"&amp;L3,weight,"&gt;="&amp;B7,weight,"&lt;"&amp;C7)</f>
        <v>0</v>
      </c>
      <c r="M7" s="3">
        <f>COUNTIFS(height,"&gt;="&amp;M2,height,"&lt;"&amp;M3,weight,"&gt;="&amp;B7,weight,"&lt;"&amp;C7)</f>
        <v>0</v>
      </c>
      <c r="N7" s="3">
        <f>COUNTIFS(height,"&gt;="&amp;N2,height,"&lt;"&amp;N3,weight,"&gt;="&amp;B7,weight,"&lt;"&amp;C7)</f>
        <v>0</v>
      </c>
      <c r="O7" s="3">
        <f>COUNTIFS(height,"&gt;="&amp;O2,height,"&lt;="&amp;O3,weight,"&gt;="&amp;B6,weight,"&lt;"&amp;C6)</f>
        <v>0</v>
      </c>
      <c r="P7" s="3">
        <f t="shared" si="1"/>
        <v>8</v>
      </c>
      <c r="Q7" s="3">
        <f>SUMPRODUCT(F7:O7,F4:O4)/P7</f>
        <v>162.79999999999998</v>
      </c>
      <c r="R7" s="3">
        <f>SUMPRODUCT(F4:O4,F4:O4,F7:O7)/P7</f>
        <v>26534.400000000001</v>
      </c>
      <c r="S7" s="3">
        <f>R7-Q7^2</f>
        <v>30.560000000008586</v>
      </c>
      <c r="T7" s="3">
        <f>P7*(Q16-Q7)^2</f>
        <v>371.66284800000028</v>
      </c>
      <c r="V7" s="3" t="s">
        <v>119</v>
      </c>
      <c r="W7" s="3">
        <f>W6+W5</f>
        <v>38.553343999999989</v>
      </c>
    </row>
    <row r="8" spans="1:23" x14ac:dyDescent="0.3">
      <c r="B8" s="3">
        <v>55.2</v>
      </c>
      <c r="C8" s="3">
        <v>58.8</v>
      </c>
      <c r="D8" s="3">
        <f t="shared" si="0"/>
        <v>57</v>
      </c>
      <c r="F8" s="3">
        <f>COUNTIFS(height,"&gt;="&amp;F2,height,"&lt;"&amp;F3,weight,"&gt;="&amp;B8,weight,"&lt;"&amp;C8)</f>
        <v>2</v>
      </c>
      <c r="G8" s="3">
        <f>COUNTIFS(height,"&gt;="&amp;G2,height,"&lt;"&amp;G3,weight,"&gt;="&amp;B8,weight,"&lt;"&amp;C8)</f>
        <v>2</v>
      </c>
      <c r="H8" s="3">
        <f>COUNTIFS(height,"&gt;="&amp;H2,height,"&lt;"&amp;H3,weight,"&gt;="&amp;B8,weight,"&lt;"&amp;C8)</f>
        <v>4</v>
      </c>
      <c r="I8" s="3">
        <f>COUNTIFS(height,"&gt;="&amp;I2,height,"&lt;"&amp;I3,weight,"&gt;="&amp;B8,weight,"&lt;"&amp;C8)</f>
        <v>3</v>
      </c>
      <c r="J8" s="3">
        <f>COUNTIFS(height,"&gt;="&amp;J2,height,"&lt;"&amp;J3,weight,"&gt;="&amp;B8,weight,"&lt;"&amp;C8)</f>
        <v>1</v>
      </c>
      <c r="K8" s="3">
        <f>COUNTIFS(height,"&gt;="&amp;K2,height,"&lt;"&amp;K3,weight,"&gt;="&amp;B8,weight,"&lt;"&amp;C8)</f>
        <v>0</v>
      </c>
      <c r="L8" s="3">
        <f>COUNTIFS(height,"&gt;="&amp;L2,height,"&lt;"&amp;L3,weight,"&gt;="&amp;B8,weight,"&lt;"&amp;C8)</f>
        <v>0</v>
      </c>
      <c r="M8" s="3">
        <f>COUNTIFS(height,"&gt;="&amp;M2,height,"&lt;"&amp;M3,weight,"&gt;="&amp;B8,weight,"&lt;"&amp;C8)</f>
        <v>0</v>
      </c>
      <c r="N8" s="3">
        <f>COUNTIFS(height,"&gt;="&amp;N2,height,"&lt;"&amp;N3,weight,"&gt;="&amp;B8,weight,"&lt;"&amp;C8)</f>
        <v>0</v>
      </c>
      <c r="O8" s="3">
        <f>COUNTIFS(height,"&gt;="&amp;O2,height,"&lt;="&amp;O3,weight,"&gt;="&amp;B8,weight,"&lt;"&amp;C8)</f>
        <v>0</v>
      </c>
      <c r="P8" s="3">
        <f t="shared" si="1"/>
        <v>12</v>
      </c>
      <c r="Q8" s="3">
        <f>SUMPRODUCT(F8:O8,F4:O4)/P8</f>
        <v>163.73333333333332</v>
      </c>
      <c r="R8" s="3">
        <f>SUMPRODUCT(F4:O4,F4:O4,F8:O8)/P8</f>
        <v>26823.039999999997</v>
      </c>
      <c r="S8" s="3">
        <f>R8-Q8^2</f>
        <v>14.435555555555766</v>
      </c>
      <c r="T8" s="3">
        <f>P8*(Q16-Q8)^2</f>
        <v>415.26920533333316</v>
      </c>
    </row>
    <row r="9" spans="1:23" x14ac:dyDescent="0.3">
      <c r="B9" s="3">
        <v>58.8</v>
      </c>
      <c r="C9" s="3">
        <v>62.4</v>
      </c>
      <c r="D9" s="3">
        <f t="shared" si="0"/>
        <v>60.599999999999994</v>
      </c>
      <c r="F9" s="3">
        <f>COUNTIFS(height,"&gt;="&amp;F2,height,"&lt;"&amp;F3,weight,"&gt;="&amp;B9,weight,"&lt;"&amp;C9)</f>
        <v>4</v>
      </c>
      <c r="G9" s="3">
        <f>COUNTIFS(height,"&gt;="&amp;G2,height,"&lt;"&amp;G3,weight,"&gt;="&amp;B9,weight,"&lt;"&amp;C9)</f>
        <v>6</v>
      </c>
      <c r="H9" s="3">
        <f>COUNTIFS(height,"&gt;="&amp;H2,height,"&lt;"&amp;H3,weight,"&gt;="&amp;B9,weight,"&lt;"&amp;C9)</f>
        <v>14</v>
      </c>
      <c r="I9" s="3">
        <f>COUNTIFS(height,"&gt;="&amp;I2,height,"&lt;"&amp;I3,weight,"&gt;="&amp;B9,weight,"&lt;"&amp;C9)</f>
        <v>9</v>
      </c>
      <c r="J9" s="3">
        <f>COUNTIFS(height,"&gt;="&amp;J2,height,"&lt;"&amp;J3,weight,"&gt;="&amp;B9,weight,"&lt;"&amp;C9)</f>
        <v>7</v>
      </c>
      <c r="K9" s="3">
        <f>COUNTIFS(height,"&gt;="&amp;K2,height,"&lt;"&amp;K3,weight,"&gt;="&amp;B9,weight,"&lt;"&amp;C9)</f>
        <v>1</v>
      </c>
      <c r="L9" s="3">
        <f>COUNTIFS(height,"&gt;="&amp;L2,height,"&lt;"&amp;L3,weight,"&gt;="&amp;B9,weight,"&lt;"&amp;C9)</f>
        <v>5</v>
      </c>
      <c r="M9" s="3">
        <f>COUNTIFS(height,"&gt;="&amp;M2,height,"&lt;"&amp;M3,weight,"&gt;="&amp;B9,weight,"&lt;"&amp;C9)</f>
        <v>0</v>
      </c>
      <c r="N9" s="3">
        <f>COUNTIFS(height,"&gt;="&amp;N2,height,"&lt;"&amp;N3,weight,"&gt;="&amp;B9,weight,"&lt;"&amp;C9)</f>
        <v>0</v>
      </c>
      <c r="O9" s="3">
        <f>COUNTIFS(height,"&gt;="&amp;O2,height,"&lt;="&amp;O3,weight,"&gt;="&amp;B9,weight,"&lt;"&amp;C9)</f>
        <v>0</v>
      </c>
      <c r="P9" s="3">
        <f t="shared" si="1"/>
        <v>46</v>
      </c>
      <c r="Q9" s="3">
        <f>SUMPRODUCT(F9:O9,F4:O4)/P9</f>
        <v>166.22608695652175</v>
      </c>
      <c r="R9" s="3">
        <f>SUMPRODUCT(F4:O4,F4:O4,F9:O9)/P9</f>
        <v>27659.102608695652</v>
      </c>
      <c r="S9" s="3">
        <f>R9-Q9^2</f>
        <v>27.990623818521271</v>
      </c>
      <c r="T9" s="3">
        <f>P9*(Q16-Q9)^2</f>
        <v>528.60948034781666</v>
      </c>
    </row>
    <row r="10" spans="1:23" x14ac:dyDescent="0.3">
      <c r="B10" s="3">
        <v>62.4</v>
      </c>
      <c r="C10" s="3">
        <v>66</v>
      </c>
      <c r="D10" s="3">
        <f t="shared" si="0"/>
        <v>64.2</v>
      </c>
      <c r="F10" s="3">
        <f>COUNTIFS(height,"&gt;="&amp;F2,height,"&lt;"&amp;F3,weight,"&gt;="&amp;B10,weight,"&lt;"&amp;C10)</f>
        <v>0</v>
      </c>
      <c r="G10" s="3">
        <f>COUNTIFS(height,"&gt;="&amp;G2,height,"&lt;"&amp;G3,weight,"&gt;="&amp;B10,weight,"&lt;"&amp;C10)</f>
        <v>2</v>
      </c>
      <c r="H10" s="3">
        <f>COUNTIFS(height,"&gt;="&amp;H2,height,"&lt;"&amp;H3,weight,"&gt;="&amp;B10,weight,"&lt;"&amp;C10)</f>
        <v>4</v>
      </c>
      <c r="I10" s="3">
        <f>COUNTIFS(height,"&gt;="&amp;I2,height,"&lt;"&amp;I3,weight,"&gt;="&amp;B10,weight,"&lt;"&amp;C10)</f>
        <v>14</v>
      </c>
      <c r="J10" s="3">
        <f>COUNTIFS(height,"&gt;="&amp;J2,height,"&lt;"&amp;J3,weight,"&gt;="&amp;B10,weight,"&lt;"&amp;C10)</f>
        <v>6</v>
      </c>
      <c r="K10" s="3">
        <f>COUNTIFS(height,"&gt;="&amp;K2,height,"&lt;"&amp;K3,weight,"&gt;="&amp;B10,weight,"&lt;"&amp;C10)</f>
        <v>7</v>
      </c>
      <c r="L10" s="3">
        <f>COUNTIFS(height,"&gt;="&amp;L2,height,"&lt;"&amp;L3,weight,"&gt;="&amp;B10,weight,"&lt;"&amp;C10)</f>
        <v>1</v>
      </c>
      <c r="M10" s="3">
        <f>COUNTIFS(height,"&gt;="&amp;M2,height,"&lt;"&amp;M3,weight,"&gt;="&amp;B10,weight,"&lt;"&amp;C10)</f>
        <v>2</v>
      </c>
      <c r="N10" s="3">
        <f>COUNTIFS(height,"&gt;="&amp;N2,height,"&lt;"&amp;N3,weight,"&gt;="&amp;B10,weight,"&lt;"&amp;C10)</f>
        <v>0</v>
      </c>
      <c r="O10" s="3">
        <f>COUNTIFS(height,"&gt;="&amp;O2,height,"&lt;="&amp;O3,weight,"&gt;="&amp;B10,weight,"&lt;"&amp;C10)</f>
        <v>0</v>
      </c>
      <c r="P10" s="3">
        <f t="shared" si="1"/>
        <v>36</v>
      </c>
      <c r="Q10" s="3">
        <f>SUMPRODUCT(F10:O10,F4:O4)/P10</f>
        <v>169.24444444444441</v>
      </c>
      <c r="R10" s="3">
        <f>SUMPRODUCT(F4:O4,F4:O4,F10:O10)/P10</f>
        <v>28664.248888888887</v>
      </c>
      <c r="S10" s="3">
        <f>R10-Q10^2</f>
        <v>20.566913580256369</v>
      </c>
      <c r="T10" s="3">
        <f>P10*(Q16-Q10)^2</f>
        <v>4.9699271111116001</v>
      </c>
    </row>
    <row r="11" spans="1:23" x14ac:dyDescent="0.3">
      <c r="B11" s="3">
        <v>66</v>
      </c>
      <c r="C11" s="3">
        <v>69.599999999999994</v>
      </c>
      <c r="D11" s="3">
        <f t="shared" si="0"/>
        <v>67.8</v>
      </c>
      <c r="F11" s="3">
        <f>COUNTIFS(height,"&gt;="&amp;F2,height,"&lt;"&amp;F3,weight,"&gt;="&amp;B11,weight,"&lt;"&amp;C11)</f>
        <v>0</v>
      </c>
      <c r="G11" s="3">
        <f>COUNTIFS(height,"&gt;="&amp;G2,height,"&lt;"&amp;G3,weight,"&gt;="&amp;B11,weight,"&lt;"&amp;C11)</f>
        <v>0</v>
      </c>
      <c r="H11" s="3">
        <f>COUNTIFS(height,"&gt;="&amp;H2,height,"&lt;"&amp;H3,weight,"&gt;="&amp;B11,weight,"&lt;"&amp;C11)</f>
        <v>4</v>
      </c>
      <c r="I11" s="3">
        <f>COUNTIFS(height,"&gt;="&amp;I2,height,"&lt;"&amp;I3,weight,"&gt;="&amp;B11,weight,"&lt;"&amp;C11)</f>
        <v>9</v>
      </c>
      <c r="J11" s="3">
        <f>COUNTIFS(height,"&gt;="&amp;J2,height,"&lt;"&amp;J3,weight,"&gt;="&amp;B11,weight,"&lt;"&amp;C11)</f>
        <v>9</v>
      </c>
      <c r="K11" s="3">
        <f>COUNTIFS(height,"&gt;="&amp;K2,height,"&lt;"&amp;K3,weight,"&gt;="&amp;B11,weight,"&lt;"&amp;C11)</f>
        <v>16</v>
      </c>
      <c r="L11" s="3">
        <f>COUNTIFS(height,"&gt;="&amp;L2,height,"&lt;"&amp;L3,weight,"&gt;="&amp;B11,weight,"&lt;"&amp;C11)</f>
        <v>6</v>
      </c>
      <c r="M11" s="3">
        <f>COUNTIFS(height,"&gt;="&amp;M2,height,"&lt;"&amp;M3,weight,"&gt;="&amp;B11,weight,"&lt;"&amp;C11)</f>
        <v>2</v>
      </c>
      <c r="N11" s="3">
        <f>COUNTIFS(height,"&gt;="&amp;N2,height,"&lt;"&amp;N3,weight,"&gt;="&amp;B11,weight,"&lt;"&amp;C11)</f>
        <v>4</v>
      </c>
      <c r="O11" s="3">
        <f>COUNTIFS(height,"&gt;="&amp;O2,height,"&lt;="&amp;O3,weight,"&gt;="&amp;B11,weight,"&lt;"&amp;C11)</f>
        <v>0</v>
      </c>
      <c r="P11" s="3">
        <f t="shared" si="1"/>
        <v>50</v>
      </c>
      <c r="Q11" s="3">
        <f>SUMPRODUCT(F11:O11,F4:O4)/P11</f>
        <v>172.512</v>
      </c>
      <c r="R11" s="3">
        <f>SUMPRODUCT(F4:O4,F4:O4,F11:O11)/P11</f>
        <v>29786.035199999995</v>
      </c>
      <c r="S11" s="3">
        <f>R11-Q11^2</f>
        <v>25.645055999993929</v>
      </c>
      <c r="T11" s="3">
        <f>P11*(Q16-Q11)^2</f>
        <v>419.34080000000432</v>
      </c>
    </row>
    <row r="12" spans="1:23" x14ac:dyDescent="0.3">
      <c r="B12" s="3">
        <v>69.599999999999994</v>
      </c>
      <c r="C12" s="3">
        <v>73.2</v>
      </c>
      <c r="D12" s="3">
        <f t="shared" si="0"/>
        <v>71.400000000000006</v>
      </c>
      <c r="F12" s="3">
        <f>COUNTIFS(height,"&gt;="&amp;F2,height,"&lt;"&amp;F3,weight,"&gt;="&amp;B12,weight,"&lt;"&amp;C12)</f>
        <v>0</v>
      </c>
      <c r="G12" s="3">
        <f>COUNTIFS(height,"&gt;="&amp;G2,height,"&lt;"&amp;G3,weight,"&gt;="&amp;B12,weight,"&lt;"&amp;C12)</f>
        <v>0</v>
      </c>
      <c r="H12" s="3">
        <f>COUNTIFS(height,"&gt;="&amp;H2,height,"&lt;"&amp;H3,weight,"&gt;="&amp;B12,weight,"&lt;"&amp;C12)</f>
        <v>4</v>
      </c>
      <c r="I12" s="3">
        <f>COUNTIFS(height,"&gt;="&amp;I2,height,"&lt;"&amp;I3,weight,"&gt;="&amp;B12,weight,"&lt;"&amp;C12)</f>
        <v>0</v>
      </c>
      <c r="J12" s="3">
        <f>COUNTIFS(height,"&gt;="&amp;J2,height,"&lt;"&amp;J3,weight,"&gt;="&amp;B12,weight,"&lt;"&amp;C12)</f>
        <v>7</v>
      </c>
      <c r="K12" s="3">
        <f>COUNTIFS(height,"&gt;="&amp;K2,height,"&lt;"&amp;K3,weight,"&gt;="&amp;B12,weight,"&lt;"&amp;C12)</f>
        <v>4</v>
      </c>
      <c r="L12" s="3">
        <f>COUNTIFS(height,"&gt;="&amp;L2,height,"&lt;"&amp;L3,weight,"&gt;="&amp;B12,weight,"&lt;"&amp;C12)</f>
        <v>6</v>
      </c>
      <c r="M12" s="3">
        <f>COUNTIFS(height,"&gt;="&amp;M2,height,"&lt;"&amp;M3,weight,"&gt;="&amp;B12,weight,"&lt;"&amp;C12)</f>
        <v>1</v>
      </c>
      <c r="N12" s="3">
        <f>COUNTIFS(height,"&gt;="&amp;N2,height,"&lt;"&amp;N3,weight,"&gt;="&amp;B12,weight,"&lt;"&amp;C12)</f>
        <v>0</v>
      </c>
      <c r="O12" s="3">
        <f>COUNTIFS(height,"&gt;="&amp;O2,height,"&lt;="&amp;O3,weight,"&gt;="&amp;B12,weight,"&lt;"&amp;C12)</f>
        <v>0</v>
      </c>
      <c r="P12" s="3">
        <f t="shared" si="1"/>
        <v>22</v>
      </c>
      <c r="Q12" s="3">
        <f>SUMPRODUCT(F12:O12,F4:O4)/P12</f>
        <v>172</v>
      </c>
      <c r="R12" s="3">
        <f>SUMPRODUCT(F4:O4,F4:O4,F12:O12)/P12</f>
        <v>29606.109090909093</v>
      </c>
      <c r="S12" s="3">
        <f>R12-Q12^2</f>
        <v>22.109090909092629</v>
      </c>
      <c r="T12" s="3">
        <f>P12*(Q16-Q12)^2</f>
        <v>125.03603200000154</v>
      </c>
    </row>
    <row r="13" spans="1:23" x14ac:dyDescent="0.3">
      <c r="B13" s="3">
        <v>73.2</v>
      </c>
      <c r="C13" s="3">
        <v>76.8</v>
      </c>
      <c r="D13" s="3">
        <f t="shared" si="0"/>
        <v>75</v>
      </c>
      <c r="F13" s="3">
        <f>COUNTIFS(height,"&gt;="&amp;F2,height,"&lt;"&amp;F3,weight,"&gt;="&amp;B13,weight,"&lt;"&amp;C13)</f>
        <v>0</v>
      </c>
      <c r="G13" s="3">
        <f>COUNTIFS(height,"&gt;="&amp;G2,height,"&lt;"&amp;G3,weight,"&gt;="&amp;B13,weight,"&lt;"&amp;C13)</f>
        <v>0</v>
      </c>
      <c r="H13" s="3">
        <f>COUNTIFS(height,"&gt;="&amp;H2,height,"&lt;"&amp;H3,weight,"&gt;="&amp;B13,weight,"&lt;"&amp;C13)</f>
        <v>0</v>
      </c>
      <c r="I13" s="3">
        <f>COUNTIFS(height,"&gt;="&amp;I2,height,"&lt;"&amp;I3,weight,"&gt;="&amp;B13,weight,"&lt;"&amp;C13)</f>
        <v>0</v>
      </c>
      <c r="J13" s="3">
        <f>COUNTIFS(height,"&gt;="&amp;J2,height,"&lt;"&amp;J3,weight,"&gt;="&amp;B13,weight,"&lt;"&amp;C13)</f>
        <v>4</v>
      </c>
      <c r="K13" s="3">
        <f>COUNTIFS(height,"&gt;="&amp;K2,height,"&lt;"&amp;K3,weight,"&gt;="&amp;B13,weight,"&lt;"&amp;C13)</f>
        <v>5</v>
      </c>
      <c r="L13" s="3">
        <f>COUNTIFS(height,"&gt;="&amp;L2,height,"&lt;"&amp;L3,weight,"&gt;="&amp;B13,weight,"&lt;"&amp;C13)</f>
        <v>2</v>
      </c>
      <c r="M13" s="3">
        <f>COUNTIFS(height,"&gt;="&amp;M2,height,"&lt;"&amp;M3,weight,"&gt;="&amp;B13,weight,"&lt;"&amp;C13)</f>
        <v>1</v>
      </c>
      <c r="N13" s="3">
        <f>COUNTIFS(height,"&gt;="&amp;N2,height,"&lt;"&amp;N3,weight,"&gt;="&amp;B13,weight,"&lt;"&amp;C13)</f>
        <v>1</v>
      </c>
      <c r="O13" s="3">
        <f>COUNTIFS(height,"&gt;="&amp;O2,height,"&lt;="&amp;O3,weight,"&gt;="&amp;B13,weight,"&lt;"&amp;C13)</f>
        <v>1</v>
      </c>
      <c r="P13" s="3">
        <f t="shared" si="1"/>
        <v>14</v>
      </c>
      <c r="Q13" s="3">
        <f>SUMPRODUCT(F13:O13,F4:O4)/P13</f>
        <v>175.2</v>
      </c>
      <c r="R13" s="3">
        <f>SUMPRODUCT(F4:O4,F4:O4,F13:O13)/P13</f>
        <v>30718.080000000005</v>
      </c>
      <c r="S13" s="3">
        <f>R13-Q13^2</f>
        <v>23.040000000008149</v>
      </c>
      <c r="T13" s="3">
        <f>P13*(Q16-Q13)^2</f>
        <v>436.53478400000051</v>
      </c>
    </row>
    <row r="14" spans="1:23" x14ac:dyDescent="0.3">
      <c r="B14" s="3">
        <v>76.8</v>
      </c>
      <c r="C14" s="3">
        <v>80.400000000000006</v>
      </c>
      <c r="D14" s="3">
        <f t="shared" si="0"/>
        <v>78.599999999999994</v>
      </c>
      <c r="F14" s="3">
        <f>COUNTIFS(height,"&gt;="&amp;F2,height,"&lt;"&amp;F3,weight,"&gt;="&amp;B14,weight,"&lt;"&amp;C14)</f>
        <v>0</v>
      </c>
      <c r="G14" s="3">
        <f>COUNTIFS(height,"&gt;="&amp;G2,height,"&lt;"&amp;G3,weight,"&gt;="&amp;B14,weight,"&lt;"&amp;C14)</f>
        <v>0</v>
      </c>
      <c r="H14" s="3">
        <f>COUNTIFS(height,"&gt;="&amp;H2,height,"&lt;"&amp;H3,weight,"&gt;="&amp;B14,weight,"&lt;"&amp;C14)</f>
        <v>0</v>
      </c>
      <c r="I14" s="3">
        <f>COUNTIFS(height,"&gt;="&amp;I2,height,"&lt;"&amp;I3,weight,"&gt;="&amp;B14,weight,"&lt;"&amp;C14)</f>
        <v>0</v>
      </c>
      <c r="J14" s="3">
        <f>COUNTIFS(height,"&gt;="&amp;J2,height,"&lt;"&amp;J3,weight,"&gt;="&amp;B14,weight,"&lt;"&amp;C14)</f>
        <v>0</v>
      </c>
      <c r="K14" s="3">
        <f>COUNTIFS(height,"&gt;="&amp;K2,height,"&lt;"&amp;K3,weight,"&gt;="&amp;B14,weight,"&lt;"&amp;C14)</f>
        <v>4</v>
      </c>
      <c r="L14" s="3">
        <f>COUNTIFS(height,"&gt;="&amp;L2,height,"&lt;"&amp;L3,weight,"&gt;="&amp;B14,weight,"&lt;"&amp;C14)</f>
        <v>3</v>
      </c>
      <c r="M14" s="3">
        <f>COUNTIFS(height,"&gt;="&amp;M2,height,"&lt;"&amp;M3,weight,"&gt;="&amp;B14,weight,"&lt;"&amp;C14)</f>
        <v>0</v>
      </c>
      <c r="N14" s="3">
        <f>COUNTIFS(height,"&gt;="&amp;N2,height,"&lt;"&amp;N3,weight,"&gt;="&amp;B14,weight,"&lt;"&amp;C14)</f>
        <v>0</v>
      </c>
      <c r="O14" s="3">
        <f>COUNTIFS(height,"&gt;="&amp;O2,height,"&lt;="&amp;O3,weight,"&gt;="&amp;B14,weight,"&lt;"&amp;C14)</f>
        <v>0</v>
      </c>
      <c r="P14" s="3">
        <f t="shared" si="1"/>
        <v>7</v>
      </c>
      <c r="Q14" s="3">
        <f>SUMPRODUCT(F14:O14,F4:O4)/P14</f>
        <v>174.97142857142859</v>
      </c>
      <c r="R14" s="3">
        <f>SUMPRODUCT(F4:O4,F4:O4,F14:O14)/P14</f>
        <v>30617.508571428571</v>
      </c>
      <c r="S14" s="3">
        <f>R14-Q14^2</f>
        <v>2.5077551020331157</v>
      </c>
      <c r="T14" s="3">
        <f>P14*(Q16-Q14)^2</f>
        <v>200.76430628571671</v>
      </c>
    </row>
    <row r="15" spans="1:23" x14ac:dyDescent="0.3">
      <c r="B15" s="3">
        <v>80.400000000000006</v>
      </c>
      <c r="C15" s="3">
        <v>84</v>
      </c>
      <c r="D15" s="3">
        <f t="shared" si="0"/>
        <v>82.2</v>
      </c>
      <c r="F15" s="3">
        <f>COUNTIFS(height,"&gt;="&amp;F2,height,"&lt;"&amp;F3,weight,"&gt;="&amp;B15,weight,"&lt;="&amp;C15)</f>
        <v>0</v>
      </c>
      <c r="G15" s="3">
        <f>COUNTIFS(height,"&gt;="&amp;G2,height,"&lt;"&amp;G3,weight,"&gt;="&amp;B15,weight,"&lt;="&amp;C15)</f>
        <v>0</v>
      </c>
      <c r="H15" s="3">
        <f>COUNTIFS(height,"&gt;="&amp;H2,height,"&lt;"&amp;H3,weight,"&gt;="&amp;B15,weight,"&lt;="&amp;C15)</f>
        <v>0</v>
      </c>
      <c r="I15" s="3">
        <f>COUNTIFS(height,"&gt;="&amp;I2,height,"&lt;"&amp;I3,weight,"&gt;="&amp;B15,weight,"&lt;="&amp;C15)</f>
        <v>0</v>
      </c>
      <c r="J15" s="3">
        <f>COUNTIFS(height,"&gt;="&amp;J2,height,"&lt;"&amp;J3,weight,"&gt;="&amp;B15,weight,"&lt;="&amp;C15)</f>
        <v>0</v>
      </c>
      <c r="K15" s="3">
        <f>COUNTIFS(height,"&gt;="&amp;K2,height,"&lt;"&amp;K3,weight,"&gt;="&amp;B15,weight,"&lt;="&amp;C15)</f>
        <v>0</v>
      </c>
      <c r="L15" s="3">
        <f>COUNTIFS(height,"&gt;="&amp;L2,height,"&lt;"&amp;L3,weight,"&gt;="&amp;B15,weight,"&lt;="&amp;C15)</f>
        <v>0</v>
      </c>
      <c r="M15" s="3">
        <f>COUNTIFS(height,"&gt;="&amp;M2,height,"&lt;"&amp;M3,weight,"&gt;="&amp;B15,weight,"&lt;="&amp;C15)</f>
        <v>0</v>
      </c>
      <c r="N15" s="3">
        <f>COUNTIFS(height,"&gt;="&amp;N2,height,"&lt;"&amp;N3,weight,"&gt;="&amp;B15,weight,"&lt;="&amp;C15)</f>
        <v>0</v>
      </c>
      <c r="O15" s="3">
        <f>COUNTIFS(height,"&gt;="&amp;O2,height,"&lt;="&amp;O3,weight,"&gt;="&amp;B15,weight,"&lt;="&amp;C15)</f>
        <v>1</v>
      </c>
      <c r="P15" s="3">
        <f t="shared" si="1"/>
        <v>1</v>
      </c>
      <c r="Q15" s="3">
        <f>SUMPRODUCT(F15:O15,F4:O4)/P15</f>
        <v>186.4</v>
      </c>
      <c r="R15" s="3">
        <f>SUMPRODUCT(F4:O4,F4:O4,F15:O15)/P15</f>
        <v>34744.959999999999</v>
      </c>
      <c r="S15" s="3">
        <f>R15-Q15^2</f>
        <v>0</v>
      </c>
      <c r="T15" s="3">
        <f>P15*(Q16-Q15)^2</f>
        <v>281.70265600000067</v>
      </c>
    </row>
    <row r="16" spans="1:23" x14ac:dyDescent="0.3">
      <c r="E16" s="3" t="s">
        <v>68</v>
      </c>
      <c r="F16" s="3">
        <f t="shared" ref="F16:O16" si="2">SUM(F6:F15)</f>
        <v>12</v>
      </c>
      <c r="G16" s="3">
        <f t="shared" si="2"/>
        <v>11</v>
      </c>
      <c r="H16" s="3">
        <f t="shared" si="2"/>
        <v>31</v>
      </c>
      <c r="I16" s="3">
        <f t="shared" si="2"/>
        <v>37</v>
      </c>
      <c r="J16" s="3">
        <f t="shared" si="2"/>
        <v>36</v>
      </c>
      <c r="K16" s="3">
        <f t="shared" si="2"/>
        <v>37</v>
      </c>
      <c r="L16" s="3">
        <f t="shared" si="2"/>
        <v>23</v>
      </c>
      <c r="M16" s="3">
        <f t="shared" si="2"/>
        <v>6</v>
      </c>
      <c r="N16" s="3">
        <f t="shared" si="2"/>
        <v>5</v>
      </c>
      <c r="O16" s="3">
        <f t="shared" si="2"/>
        <v>2</v>
      </c>
      <c r="P16" s="3" t="b">
        <f>AND(SUM(F16:O16)=200,SUM(P6:P15)=200)</f>
        <v>1</v>
      </c>
      <c r="Q16" s="3">
        <f>SUMPRODUCT(Q6:Q15,P6:P15)/200</f>
        <v>169.61599999999999</v>
      </c>
    </row>
    <row r="17" spans="5:17" x14ac:dyDescent="0.3">
      <c r="E17" s="3" t="s">
        <v>69</v>
      </c>
      <c r="F17" s="3">
        <f>SUMPRODUCT(F6:F15,D6:D15)/F16</f>
        <v>55.800000000000004</v>
      </c>
      <c r="G17" s="3">
        <f>SUMPRODUCT(G6:G15,D6:D15)/G16</f>
        <v>59.618181818181817</v>
      </c>
      <c r="H17" s="3">
        <f>SUMPRODUCT(H6:H15,D6:D15)/H16</f>
        <v>62.690322580645152</v>
      </c>
      <c r="I17" s="3">
        <f>SUMPRODUCT(I6:I15,D6:D15)/I16</f>
        <v>62.935135135135134</v>
      </c>
      <c r="J17" s="3">
        <f>SUMPRODUCT(J6:J15,D6:D15)/J16</f>
        <v>66.2</v>
      </c>
      <c r="K17" s="3">
        <f>SUMPRODUCT(K6:K15,D6:D15)/K16</f>
        <v>69.454054054054055</v>
      </c>
      <c r="L17" s="3">
        <f>SUMPRODUCT(L6:L15,D6:D15)/L16</f>
        <v>69.052173913043475</v>
      </c>
      <c r="M17" s="3">
        <f>SUMPRODUCT(M6:M15,D6:D15)/M16</f>
        <v>68.399999999999991</v>
      </c>
      <c r="N17" s="3">
        <f>SUMPRODUCT(N6:N15,D6:D15)/N16</f>
        <v>69.239999999999995</v>
      </c>
      <c r="O17" s="3">
        <f>SUMPRODUCT(O6:O15,D6:D15)/O16</f>
        <v>78.599999999999994</v>
      </c>
      <c r="P17" s="3">
        <f>SUMPRODUCT(F17:O17,F16:O16)/200</f>
        <v>65.262000000000015</v>
      </c>
      <c r="Q17" s="10"/>
    </row>
    <row r="18" spans="5:17" x14ac:dyDescent="0.3">
      <c r="E18" s="3" t="s">
        <v>114</v>
      </c>
      <c r="F18" s="3">
        <f>SUMPRODUCT(D6:D15,D6:D15,F6:F15)/F16</f>
        <v>3129.4799999999996</v>
      </c>
      <c r="G18" s="3">
        <f>SUMPRODUCT(D6:D15,D6:D15,G6:G15)/G16</f>
        <v>3568.68</v>
      </c>
      <c r="H18" s="3">
        <f>SUMPRODUCT(D6:D15,D6:D15,H6:H15)/H16</f>
        <v>3952.4632258064512</v>
      </c>
      <c r="I18" s="3">
        <f>SUMPRODUCT(D6:D15,D6:D15,I6:I15)/I16</f>
        <v>3978.496216216216</v>
      </c>
      <c r="J18" s="3">
        <f>SUMPRODUCT(D6:D15,D6:D15,J6:J15)/J16</f>
        <v>4415.16</v>
      </c>
      <c r="K18" s="3">
        <f>SUMPRODUCT(D6:D15,D6:D15,K6:K15)/K16</f>
        <v>4845.9989189189191</v>
      </c>
      <c r="L18" s="3">
        <f>SUMPRODUCT(D6:D15,D6:D15,L6:L15)/L16</f>
        <v>4801.5704347826086</v>
      </c>
      <c r="M18" s="3">
        <f>SUMPRODUCT(D6:D15,D6:D15,M6:M15)/M16</f>
        <v>4693.32</v>
      </c>
      <c r="N18" s="3">
        <f>SUMPRODUCT(D6:D15,D6:D15,N6:N15)/N16</f>
        <v>4802.4719999999998</v>
      </c>
      <c r="O18" s="3">
        <f>SUMPRODUCT(D6:D15,D6:D15,O6:O15)/O16</f>
        <v>6190.92</v>
      </c>
    </row>
    <row r="19" spans="5:17" x14ac:dyDescent="0.3">
      <c r="E19" s="9" t="s">
        <v>115</v>
      </c>
      <c r="F19" s="3">
        <f>F18-F17^2</f>
        <v>15.839999999999236</v>
      </c>
      <c r="G19" s="3">
        <f>G18-G17^2</f>
        <v>14.352396694214804</v>
      </c>
      <c r="H19" s="3">
        <f>H18-H17^2</f>
        <v>22.386680541103942</v>
      </c>
      <c r="I19" s="3">
        <f>I18-I17^2</f>
        <v>17.664981738495044</v>
      </c>
      <c r="J19" s="3">
        <f>J18-J17^2</f>
        <v>32.719999999999345</v>
      </c>
      <c r="K19" s="3">
        <f>K18-K17^2</f>
        <v>22.133294375456899</v>
      </c>
      <c r="L19" s="3">
        <f>L18-L17^2</f>
        <v>33.367712665406543</v>
      </c>
      <c r="M19" s="3">
        <f>M18-M17^2</f>
        <v>14.760000000001128</v>
      </c>
      <c r="N19" s="3">
        <f>N18-N17^2</f>
        <v>8.2944000000006781</v>
      </c>
      <c r="O19" s="3">
        <f>O18-O17^2</f>
        <v>12.960000000000946</v>
      </c>
    </row>
    <row r="20" spans="5:17" x14ac:dyDescent="0.3">
      <c r="F20" s="3">
        <f>F16*(F17-P17)^2</f>
        <v>1074.3533280000024</v>
      </c>
      <c r="G20" s="3">
        <f>G16*(G17-P17)^2</f>
        <v>350.37952036363828</v>
      </c>
      <c r="H20" s="3">
        <f>H16*(H17-P17)^2</f>
        <v>205.01926722581032</v>
      </c>
      <c r="I20" s="3">
        <f>I16*(I17-P17)^2</f>
        <v>200.3291036756784</v>
      </c>
      <c r="J20" s="3">
        <f>J16*(J17-P17)^2</f>
        <v>31.674383999999204</v>
      </c>
      <c r="K20" s="3">
        <f>K16*(K17-P17)^2</f>
        <v>650.21273610810374</v>
      </c>
      <c r="L20" s="3">
        <f>L16*(L17-P17)^2</f>
        <v>330.4046206956491</v>
      </c>
      <c r="M20" s="3">
        <f>M16*(M17-P17)^2</f>
        <v>59.082263999999128</v>
      </c>
      <c r="N20" s="3">
        <f>N16*(N17-P17)^2</f>
        <v>79.122419999999209</v>
      </c>
      <c r="O20" s="3">
        <f>O16*(O17-P17)^2</f>
        <v>355.80448799999891</v>
      </c>
    </row>
    <row r="22" spans="5:17" x14ac:dyDescent="0.3">
      <c r="E22" s="3" t="s">
        <v>117</v>
      </c>
      <c r="F22" s="3">
        <f>SUMPRODUCT(F16:O16,F19:O19)/200</f>
        <v>23.079045339655686</v>
      </c>
    </row>
    <row r="23" spans="5:17" x14ac:dyDescent="0.3">
      <c r="E23" s="3" t="s">
        <v>118</v>
      </c>
      <c r="F23" s="3">
        <f>SUM(F20:O20)/200</f>
        <v>16.681910660344396</v>
      </c>
    </row>
    <row r="24" spans="5:17" x14ac:dyDescent="0.3">
      <c r="E24" s="3" t="s">
        <v>119</v>
      </c>
      <c r="F24" s="3">
        <f>F23+F22</f>
        <v>39.760956000000078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18" sqref="A18"/>
    </sheetView>
  </sheetViews>
  <sheetFormatPr defaultRowHeight="14.4" x14ac:dyDescent="0.3"/>
  <cols>
    <col min="1" max="1" width="88.44140625" style="5" customWidth="1"/>
    <col min="2" max="2" width="22.88671875" style="5" customWidth="1"/>
    <col min="3" max="3" width="55.109375" style="5" customWidth="1"/>
    <col min="4" max="16384" width="8.88671875" style="5"/>
  </cols>
  <sheetData>
    <row r="2" spans="1:3" x14ac:dyDescent="0.3">
      <c r="A2" s="5" t="s">
        <v>88</v>
      </c>
    </row>
    <row r="6" spans="1:3" x14ac:dyDescent="0.3">
      <c r="A6" s="3" t="s">
        <v>65</v>
      </c>
      <c r="B6" s="3">
        <f>_xlfn.CHISQ.INV.RT(0.05,9*8)</f>
        <v>92.808270383107711</v>
      </c>
      <c r="C6" s="3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zoomScale="70" zoomScaleNormal="70" workbookViewId="0">
      <selection activeCell="A26" sqref="A26"/>
    </sheetView>
  </sheetViews>
  <sheetFormatPr defaultRowHeight="14.4" x14ac:dyDescent="0.3"/>
  <cols>
    <col min="1" max="1" width="19.6640625" style="6" customWidth="1"/>
    <col min="2" max="2" width="8.88671875" style="6"/>
    <col min="3" max="3" width="21" style="6" customWidth="1"/>
    <col min="4" max="4" width="24.109375" style="6" customWidth="1"/>
    <col min="5" max="5" width="12.109375" style="6" customWidth="1"/>
    <col min="6" max="6" width="8.88671875" style="6"/>
    <col min="7" max="7" width="12" style="6" bestFit="1" customWidth="1"/>
    <col min="8" max="14" width="8.88671875" style="6"/>
    <col min="15" max="15" width="25.77734375" style="6" customWidth="1"/>
    <col min="16" max="16" width="16.77734375" style="6" customWidth="1"/>
    <col min="17" max="17" width="16.6640625" style="6" customWidth="1"/>
    <col min="18" max="18" width="9.44140625" style="6" customWidth="1"/>
    <col min="19" max="21" width="8.88671875" style="6"/>
    <col min="22" max="22" width="16" style="6" customWidth="1"/>
    <col min="23" max="16384" width="8.88671875" style="6"/>
  </cols>
  <sheetData>
    <row r="1" spans="1:23" x14ac:dyDescent="0.3">
      <c r="A1" s="10"/>
      <c r="B1" s="10"/>
      <c r="C1" s="10"/>
      <c r="D1" s="3" t="s">
        <v>14</v>
      </c>
      <c r="E1" s="3">
        <v>156</v>
      </c>
      <c r="F1" s="3">
        <v>159.19999999999999</v>
      </c>
      <c r="G1" s="3">
        <v>162.4</v>
      </c>
      <c r="H1" s="3">
        <v>165.6</v>
      </c>
      <c r="I1" s="3">
        <v>168.8</v>
      </c>
      <c r="J1" s="3">
        <v>172</v>
      </c>
      <c r="K1" s="3">
        <v>175.2</v>
      </c>
      <c r="L1" s="3">
        <v>178.4</v>
      </c>
      <c r="M1" s="3">
        <v>181.6</v>
      </c>
      <c r="N1" s="3">
        <v>184.8</v>
      </c>
      <c r="O1" s="10"/>
      <c r="V1" s="10"/>
      <c r="W1" s="10"/>
    </row>
    <row r="2" spans="1:23" x14ac:dyDescent="0.3">
      <c r="A2" s="10"/>
      <c r="B2" s="10"/>
      <c r="C2" s="10"/>
      <c r="D2" s="3" t="s">
        <v>15</v>
      </c>
      <c r="E2" s="3">
        <v>159.19999999999999</v>
      </c>
      <c r="F2" s="3">
        <v>162.4</v>
      </c>
      <c r="G2" s="3">
        <v>165.6</v>
      </c>
      <c r="H2" s="3">
        <v>168.8</v>
      </c>
      <c r="I2" s="3">
        <v>172</v>
      </c>
      <c r="J2" s="3">
        <v>175.2</v>
      </c>
      <c r="K2" s="3">
        <v>178.4</v>
      </c>
      <c r="L2" s="3">
        <v>181.6</v>
      </c>
      <c r="M2" s="3">
        <v>184.8</v>
      </c>
      <c r="N2" s="3">
        <v>188</v>
      </c>
      <c r="O2" s="10"/>
    </row>
    <row r="3" spans="1:23" x14ac:dyDescent="0.3">
      <c r="A3" s="10"/>
      <c r="B3" s="10"/>
      <c r="C3" s="10"/>
      <c r="D3" s="3" t="s">
        <v>20</v>
      </c>
      <c r="E3" s="3">
        <v>157.6</v>
      </c>
      <c r="F3" s="3">
        <v>160.80000000000001</v>
      </c>
      <c r="G3" s="3">
        <v>164</v>
      </c>
      <c r="H3" s="3">
        <v>167.2</v>
      </c>
      <c r="I3" s="3">
        <v>170.4</v>
      </c>
      <c r="J3" s="3">
        <v>173.6</v>
      </c>
      <c r="K3" s="3">
        <v>176.8</v>
      </c>
      <c r="L3" s="3">
        <v>180</v>
      </c>
      <c r="M3" s="3">
        <v>183.2</v>
      </c>
      <c r="N3" s="3">
        <v>186.4</v>
      </c>
      <c r="O3" s="10"/>
    </row>
    <row r="4" spans="1:23" x14ac:dyDescent="0.3">
      <c r="A4" s="3" t="s">
        <v>14</v>
      </c>
      <c r="B4" s="3" t="s">
        <v>15</v>
      </c>
      <c r="C4" s="3" t="s">
        <v>20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 t="s">
        <v>70</v>
      </c>
      <c r="P4" s="11" t="s">
        <v>78</v>
      </c>
    </row>
    <row r="5" spans="1:23" x14ac:dyDescent="0.3">
      <c r="A5" s="3">
        <v>48</v>
      </c>
      <c r="B5" s="3">
        <v>51.6</v>
      </c>
      <c r="C5" s="3">
        <f t="shared" ref="C5:C14" si="0">(A5+B5)/2</f>
        <v>49.8</v>
      </c>
      <c r="D5" s="10"/>
      <c r="E5" s="3">
        <f>COUNTIFS(height,"&gt;=" &amp; E1,height,"&lt;" &amp; E2,weight,"&gt;=" &amp; A5,weight,"&lt;" &amp; B5)* E3*C5</f>
        <v>15696.96</v>
      </c>
      <c r="F5" s="3">
        <f>COUNTIFS(height,"&gt;=" &amp; F1,height,"&lt;" &amp; F2,weight,"&gt;=" &amp; A5,weight,"&lt;" &amp; B5)* F3*C5</f>
        <v>8007.84</v>
      </c>
      <c r="G5" s="3">
        <f>COUNTIFS(height,"&gt;=" &amp; G1,height,"&lt;" &amp; G2,weight,"&gt;=" &amp; A5,weight,"&lt;" &amp; B5)* G3*C5</f>
        <v>0</v>
      </c>
      <c r="H5" s="3">
        <f>COUNTIFS(height,"&gt;=" &amp; H1,height,"&lt;" &amp; H2,weight,"&gt;=" &amp; A5,weight,"&lt;" &amp; B5)* H3*C5</f>
        <v>8326.56</v>
      </c>
      <c r="I5" s="3">
        <f>COUNTIFS(height,"&gt;=" &amp; I1,height,"&lt;" &amp; I2,weight,"&gt;=" &amp; A5,weight,"&lt;" &amp; B5)* I3*C5</f>
        <v>0</v>
      </c>
      <c r="J5" s="3">
        <f>COUNTIFS(height,"&gt;=" &amp; J1,height,"&lt;" &amp; J2,weight,"&gt;=" &amp; A5,weight,"&lt;" &amp; B5)* J3*C5</f>
        <v>0</v>
      </c>
      <c r="K5" s="3">
        <f>COUNTIFS(height,"&gt;=" &amp; K1,height,"&lt;" &amp; K2,weight,"&gt;=" &amp; A5,weight,"&lt;" &amp; B5)* K3*C5</f>
        <v>0</v>
      </c>
      <c r="L5" s="3">
        <f>COUNTIFS(height,"&gt;=" &amp; L1,height,"&lt;" &amp; L2,weight,"&gt;=" &amp; A5,weight,"&lt;" &amp; B5)* L3*C5</f>
        <v>0</v>
      </c>
      <c r="M5" s="3">
        <f>COUNTIFS(height,"&gt;=" &amp; M1,height,"&lt;" &amp; M2,weight,"&gt;=" &amp; A5,weight,"&lt;" &amp; B5)* M3*C5</f>
        <v>0</v>
      </c>
      <c r="N5" s="3">
        <f>COUNTIFS(height,"&gt;=" &amp; N1,height,"&lt;" &amp; N2,weight,"&gt;=" &amp; A5,weight,"&lt;" &amp; B5)* N3*C5</f>
        <v>0</v>
      </c>
      <c r="O5" s="3">
        <f t="shared" ref="O5:O14" si="1">SUM(E5:N5)</f>
        <v>32031.360000000001</v>
      </c>
      <c r="P5" s="3">
        <f>SUMPRODUCT(E5:N5,E3:N3)/O5</f>
        <v>160.89552238805967</v>
      </c>
      <c r="Q5" s="10"/>
    </row>
    <row r="6" spans="1:23" x14ac:dyDescent="0.3">
      <c r="A6" s="3">
        <v>51.6</v>
      </c>
      <c r="B6" s="3">
        <v>55.2</v>
      </c>
      <c r="C6" s="3">
        <f t="shared" si="0"/>
        <v>53.400000000000006</v>
      </c>
      <c r="D6" s="10"/>
      <c r="E6" s="3">
        <f>COUNTIFS(height,"&gt;=" &amp; E1,height,"&lt;" &amp; E2,weight,"&gt;=" &amp; A6,weight,"&lt;" &amp; B6)* E3*C6</f>
        <v>33663.360000000001</v>
      </c>
      <c r="F6" s="3">
        <f>COUNTIFS(height,"&gt;=" &amp; F1,height,"&lt;" &amp; F2,weight,"&gt;=" &amp; A6,weight,"&lt;" &amp; B6)* F3*C6</f>
        <v>0</v>
      </c>
      <c r="G6" s="3">
        <f>COUNTIFS(height,"&gt;=" &amp; G1,height,"&lt;" &amp; G2,weight,"&gt;=" &amp; A6,weight,"&lt;" &amp; B6)* G3*C6</f>
        <v>8757.6</v>
      </c>
      <c r="H6" s="3">
        <f>COUNTIFS(height,"&gt;=" &amp; H1,height,"&lt;" &amp; H2,weight,"&gt;=" &amp; A6,weight,"&lt;" &amp; B6)* H3*C6</f>
        <v>8928.48</v>
      </c>
      <c r="I6" s="3">
        <f>COUNTIFS(height,"&gt;=" &amp; I1,height,"&lt;" &amp; I2,weight,"&gt;=" &amp; A6,weight,"&lt;" &amp; B6)* I3*C6</f>
        <v>18198.72</v>
      </c>
      <c r="J6" s="3">
        <f>COUNTIFS(height,"&gt;=" &amp; J1,height,"&lt;" &amp; J2,weight,"&gt;=" &amp; A6,weight,"&lt;" &amp; B6)* J3*C6</f>
        <v>0</v>
      </c>
      <c r="K6" s="3">
        <f>COUNTIFS(height,"&gt;=" &amp; K1,height,"&lt;" &amp; K2,weight,"&gt;=" &amp; A6,weight,"&lt;" &amp; B6)* K3*C6</f>
        <v>0</v>
      </c>
      <c r="L6" s="3">
        <f>COUNTIFS(height,"&gt;=" &amp; L1,height,"&lt;" &amp; L2,weight,"&gt;=" &amp; A6,weight,"&lt;" &amp; B6)* L3*C6</f>
        <v>0</v>
      </c>
      <c r="M6" s="3">
        <f>COUNTIFS(height,"&gt;=" &amp; M1,height,"&lt;" &amp; M2,weight,"&gt;=" &amp; A6,weight,"&lt;" &amp; B6)* M3*C6</f>
        <v>0</v>
      </c>
      <c r="N6" s="3">
        <f>COUNTIFS(height,"&gt;=" &amp; N1,height,"&lt;" &amp; N2,weight,"&gt;=" &amp; A6,weight,"&lt;" &amp; B6)* N3*C6</f>
        <v>0</v>
      </c>
      <c r="O6" s="3">
        <f t="shared" si="1"/>
        <v>69548.160000000003</v>
      </c>
      <c r="P6" s="3">
        <f>SUMPRODUCT(E6:N6,E3:N3)/O6</f>
        <v>162.98771498771498</v>
      </c>
      <c r="Q6" s="10"/>
    </row>
    <row r="7" spans="1:23" x14ac:dyDescent="0.3">
      <c r="A7" s="3">
        <v>55.2</v>
      </c>
      <c r="B7" s="3">
        <v>58.8</v>
      </c>
      <c r="C7" s="3">
        <f t="shared" si="0"/>
        <v>57</v>
      </c>
      <c r="D7" s="10"/>
      <c r="E7" s="3">
        <f>COUNTIFS(height,"&gt;=" &amp; E1,height,"&lt;" &amp; E2,weight,"&gt;=" &amp; A7,weight,"&lt;" &amp; B7)* E3*C7</f>
        <v>17966.399999999998</v>
      </c>
      <c r="F7" s="3">
        <f>COUNTIFS(height,"&gt;=" &amp; F1,height,"&lt;" &amp; F2,weight,"&gt;=" &amp; A7,weight,"&lt;" &amp; B7)* F3*C7</f>
        <v>18331.2</v>
      </c>
      <c r="G7" s="3">
        <f>COUNTIFS(height,"&gt;=" &amp; G1,height,"&lt;" &amp; G2,weight,"&gt;=" &amp; A7,weight,"&lt;" &amp; B7)* G3*C7</f>
        <v>37392</v>
      </c>
      <c r="H7" s="3">
        <f>COUNTIFS(height,"&gt;=" &amp; H1,height,"&lt;" &amp; H2,weight,"&gt;=" &amp; A7,weight,"&lt;" &amp; B7)* H3*C7</f>
        <v>28591.199999999997</v>
      </c>
      <c r="I7" s="3">
        <f>COUNTIFS(height,"&gt;=" &amp; I1,height,"&lt;" &amp; I2,weight,"&gt;=" &amp; A7,weight,"&lt;" &amp; B7)* I3*C7</f>
        <v>9712.8000000000011</v>
      </c>
      <c r="J7" s="3">
        <f>COUNTIFS(height,"&gt;=" &amp; J1,height,"&lt;" &amp; J2,weight,"&gt;=" &amp; A7,weight,"&lt;" &amp; B7)* J3*C7</f>
        <v>0</v>
      </c>
      <c r="K7" s="3">
        <f>COUNTIFS(height,"&gt;=" &amp; K1,height,"&lt;" &amp; K2,weight,"&gt;=" &amp; A7,weight,"&lt;" &amp; B7)* K3*C7</f>
        <v>0</v>
      </c>
      <c r="L7" s="3">
        <f>COUNTIFS(height,"&gt;=" &amp; L1,height,"&lt;" &amp; L2,weight,"&gt;=" &amp; A7,weight,"&lt;" &amp; B7)* L3*C7</f>
        <v>0</v>
      </c>
      <c r="M7" s="3">
        <f>COUNTIFS(height,"&gt;=" &amp; M1,height,"&lt;" &amp; M2,weight,"&gt;=" &amp; A7,weight,"&lt;" &amp; B7)* M3*C7</f>
        <v>0</v>
      </c>
      <c r="N7" s="3">
        <f>COUNTIFS(height,"&gt;=" &amp; N1,height,"&lt;" &amp; N2,weight,"&gt;=" &amp; A7,weight,"&gt;" &amp; B7)* N3*C7</f>
        <v>10624.800000000001</v>
      </c>
      <c r="O7" s="3">
        <f t="shared" si="1"/>
        <v>122618.40000000001</v>
      </c>
      <c r="P7" s="3">
        <f>SUMPRODUCT(E7:N7,E3:N3)/O7</f>
        <v>165.77791000371883</v>
      </c>
      <c r="Q7" s="10"/>
    </row>
    <row r="8" spans="1:23" x14ac:dyDescent="0.3">
      <c r="A8" s="3">
        <v>58.8</v>
      </c>
      <c r="B8" s="3">
        <v>62.4</v>
      </c>
      <c r="C8" s="3">
        <f t="shared" si="0"/>
        <v>60.599999999999994</v>
      </c>
      <c r="D8" s="10"/>
      <c r="E8" s="3">
        <f>COUNTIFS(height,"&gt;=" &amp; E1,height,"&lt;" &amp; E2,weight,"&gt;=" &amp; A8,weight,"&lt;" &amp; B8)* E3*C8</f>
        <v>38202.239999999998</v>
      </c>
      <c r="F8" s="3">
        <f>COUNTIFS(height,"&gt;=" &amp; F1,height,"&lt;" &amp; F2,weight,"&gt;=" &amp; A8,weight,"&lt;" &amp; B8)* F3*C8</f>
        <v>58466.879999999997</v>
      </c>
      <c r="G8" s="3">
        <f>COUNTIFS(height,"&gt;=" &amp; G1,height,"&lt;" &amp; G2,weight,"&gt;=" &amp; A8,weight,"&lt;" &amp; B8)* G3*C8</f>
        <v>139137.59999999998</v>
      </c>
      <c r="H8" s="3">
        <f>COUNTIFS(height,"&gt;=" &amp; H1,height,"&lt;" &amp; H2,weight,"&gt;=" &amp; A8,weight,"&lt;" &amp; B8)* H3*C8</f>
        <v>91190.87999999999</v>
      </c>
      <c r="I8" s="3">
        <f>COUNTIFS(height,"&gt;=" &amp; I1,height,"&lt;" &amp; I2,weight,"&gt;=" &amp; A8,weight,"&lt;" &amp; B8)* I3*C8</f>
        <v>72283.679999999993</v>
      </c>
      <c r="J8" s="3">
        <f>COUNTIFS(height,"&gt;=" &amp; J1,height,"&lt;" &amp; J2,weight,"&gt;=" &amp; A8,weight,"&lt;" &amp; B8)* J3*C8</f>
        <v>10520.159999999998</v>
      </c>
      <c r="K8" s="3">
        <f>COUNTIFS(height,"&gt;=" &amp; K1,height,"&lt;" &amp; K2,weight,"&gt;=" &amp; A8,weight,"&lt;" &amp; B8)* K3*C8</f>
        <v>53570.399999999994</v>
      </c>
      <c r="L8" s="3">
        <f>COUNTIFS(height,"&gt;=" &amp; L1,height,"&lt;" &amp; L2,weight,"&gt;=" &amp; A8,weight,"&lt;" &amp; B8)* L3*C8</f>
        <v>0</v>
      </c>
      <c r="M8" s="3">
        <f>COUNTIFS(height,"&gt;=" &amp; M1,height,"&lt;" &amp; M2,weight,"&gt;=" &amp; A8,weight,"&lt;" &amp; B8)* M3*C8</f>
        <v>0</v>
      </c>
      <c r="N8" s="3">
        <f>COUNTIFS(height,"&gt;=" &amp; N1,height,"&lt;" &amp; N2,weight,"&gt;=" &amp; A8,weight,"&gt;" &amp; B8)* N3*C8</f>
        <v>11295.84</v>
      </c>
      <c r="O8" s="3">
        <f t="shared" si="1"/>
        <v>474667.68</v>
      </c>
      <c r="P8" s="3">
        <f>SUMPRODUCT(E8:N8,E3:N3)/O8</f>
        <v>166.87055459095086</v>
      </c>
      <c r="Q8" s="10"/>
    </row>
    <row r="9" spans="1:23" x14ac:dyDescent="0.3">
      <c r="A9" s="3">
        <v>62.4</v>
      </c>
      <c r="B9" s="3">
        <v>66</v>
      </c>
      <c r="C9" s="3">
        <f t="shared" si="0"/>
        <v>64.2</v>
      </c>
      <c r="D9" s="10"/>
      <c r="E9" s="3">
        <f>COUNTIFS(height,"&gt;=" &amp; E1,height,"&lt;" &amp; E2,weight,"&gt;=" &amp; A9,weight,"&lt;" &amp; B9)* E3*C9</f>
        <v>0</v>
      </c>
      <c r="F9" s="3">
        <f>COUNTIFS(height,"&gt;=" &amp; F1,height,"&lt;" &amp; F2,weight,"&gt;=" &amp; A9,weight,"&lt;" &amp; B9)* F3*C9</f>
        <v>20646.72</v>
      </c>
      <c r="G9" s="3">
        <f>COUNTIFS(height,"&gt;=" &amp; G1,height,"&lt;" &amp; G2,weight,"&gt;=" &amp; A9,weight,"&lt;" &amp; B9)* G3*C9</f>
        <v>42115.200000000004</v>
      </c>
      <c r="H9" s="3">
        <f>COUNTIFS(height,"&gt;=" &amp; H1,height,"&lt;" &amp; H2,weight,"&gt;=" &amp; A9,weight,"&lt;" &amp; B9)* H3*C9</f>
        <v>150279.35999999999</v>
      </c>
      <c r="I9" s="3">
        <f>COUNTIFS(height,"&gt;=" &amp; I1,height,"&lt;" &amp; I2,weight,"&gt;=" &amp; A9,weight,"&lt;" &amp; B9)* I3*C9</f>
        <v>65638.080000000002</v>
      </c>
      <c r="J9" s="3">
        <f>COUNTIFS(height,"&gt;=" &amp; J1,height,"&lt;" &amp; J2,weight,"&gt;=" &amp; A9,weight,"&lt;" &amp; B9)* J3*C9</f>
        <v>78015.840000000011</v>
      </c>
      <c r="K9" s="3">
        <f>COUNTIFS(height,"&gt;=" &amp; K1,height,"&lt;" &amp; K2,weight,"&gt;=" &amp; A9,weight,"&lt;" &amp; B9)* K3*C9</f>
        <v>11350.560000000001</v>
      </c>
      <c r="L9" s="3">
        <f>COUNTIFS(height,"&gt;=" &amp; L1,height,"&lt;" &amp; L2,weight,"&gt;=" &amp; A9,weight,"&lt;" &amp; B9)* L3*C9</f>
        <v>23112</v>
      </c>
      <c r="M9" s="3">
        <f>COUNTIFS(height,"&gt;=" &amp; M1,height,"&lt;" &amp; M2,weight,"&gt;=" &amp; A9,weight,"&lt;" &amp; B9)* M3*C9</f>
        <v>0</v>
      </c>
      <c r="N9" s="3">
        <f>COUNTIFS(height,"&gt;=" &amp; N1,height,"&lt;" &amp; N2,weight,"&gt;=" &amp; A9,weight,"&gt;" &amp; B9)* N3*C9</f>
        <v>11966.880000000001</v>
      </c>
      <c r="O9" s="3">
        <f t="shared" si="1"/>
        <v>403124.64</v>
      </c>
      <c r="P9" s="3">
        <f>SUMPRODUCT(E9:N9,E3:N3)/O9</f>
        <v>169.87162695884825</v>
      </c>
      <c r="Q9" s="10"/>
    </row>
    <row r="10" spans="1:23" x14ac:dyDescent="0.3">
      <c r="A10" s="3">
        <v>66</v>
      </c>
      <c r="B10" s="3">
        <v>69.599999999999994</v>
      </c>
      <c r="C10" s="3">
        <f t="shared" si="0"/>
        <v>67.8</v>
      </c>
      <c r="D10" s="10"/>
      <c r="E10" s="3">
        <f>COUNTIFS(height,"&gt;=" &amp; E1,height,"&lt;" &amp; E2,weight,"&gt;=" &amp; A10,weight,"&lt;" &amp; B10)* E3*C10</f>
        <v>0</v>
      </c>
      <c r="F10" s="3">
        <f>COUNTIFS(height,"&gt;=" &amp; F1,height,"&lt;" &amp; F2,weight,"&gt;=" &amp; A10,weight,"&lt;" &amp; B10)* F3*C10</f>
        <v>0</v>
      </c>
      <c r="G10" s="3">
        <f>COUNTIFS(height,"&gt;=" &amp; G1,height,"&lt;" &amp; G2,weight,"&gt;=" &amp; A10,weight,"&lt;" &amp; B10)* G3*C10</f>
        <v>44476.799999999996</v>
      </c>
      <c r="H10" s="3">
        <f>COUNTIFS(height,"&gt;=" &amp; H1,height,"&lt;" &amp; H2,weight,"&gt;=" &amp; A10,weight,"&lt;" &amp; B10)* H3*C10</f>
        <v>102025.43999999999</v>
      </c>
      <c r="I10" s="3">
        <f>COUNTIFS(height,"&gt;=" &amp; I1,height,"&lt;" &amp; I2,weight,"&gt;=" &amp; A10,weight,"&lt;" &amp; B10)* I3*C10</f>
        <v>103978.08</v>
      </c>
      <c r="J10" s="3">
        <f>COUNTIFS(height,"&gt;=" &amp; J1,height,"&lt;" &amp; J2,weight,"&gt;=" &amp; A10,weight,"&lt;" &amp; B10)* J3*C10</f>
        <v>188321.28</v>
      </c>
      <c r="K10" s="3">
        <f>COUNTIFS(height,"&gt;=" &amp; K1,height,"&lt;" &amp; K2,weight,"&gt;=" &amp; A5,weight,"&lt;" &amp; B5)* K3*C10</f>
        <v>0</v>
      </c>
      <c r="L10" s="3">
        <f>COUNTIFS(height,"&gt;=" &amp; L1,height,"&lt;" &amp; L2,weight,"&gt;=" &amp; A10,weight,"&lt;" &amp; B10)* L3*C10</f>
        <v>24408</v>
      </c>
      <c r="M10" s="3">
        <f>COUNTIFS(height,"&gt;=" &amp; M1,height,"&lt;" &amp; M2,weight,"&gt;=" &amp; A10,weight,"&lt;" &amp; B10)* M3*C10</f>
        <v>49683.839999999997</v>
      </c>
      <c r="N10" s="3">
        <f>COUNTIFS(height,"&gt;=" &amp; N1,height,"&lt;" &amp; N2,weight,"&gt;=" &amp; A10,weight,"&gt;" &amp; B10)* N3*C10</f>
        <v>12637.92</v>
      </c>
      <c r="O10" s="3">
        <f t="shared" si="1"/>
        <v>525531.36</v>
      </c>
      <c r="P10" s="3">
        <f>SUMPRODUCT(E10:N10,E3:N3)/O10</f>
        <v>172.42456393848695</v>
      </c>
      <c r="Q10" s="10"/>
    </row>
    <row r="11" spans="1:23" x14ac:dyDescent="0.3">
      <c r="A11" s="3">
        <v>69.599999999999994</v>
      </c>
      <c r="B11" s="3">
        <v>73.2</v>
      </c>
      <c r="C11" s="3">
        <f t="shared" si="0"/>
        <v>71.400000000000006</v>
      </c>
      <c r="D11" s="10"/>
      <c r="E11" s="3">
        <f>COUNTIFS(height,"&gt;=" &amp; E1,height,"&lt;" &amp; E2,weight,"&gt;=" &amp; A11,weight,"&lt;" &amp; B11)* E3*C11</f>
        <v>0</v>
      </c>
      <c r="F11" s="3">
        <f>COUNTIFS(height,"&gt;=" &amp; F1,height,"&lt;" &amp; F2,weight,"&gt;=" &amp; A11,weight,"&lt;" &amp; B11)* F3*C11</f>
        <v>0</v>
      </c>
      <c r="G11" s="3">
        <f>COUNTIFS(height,"&gt;=" &amp; G1,height,"&lt;" &amp; G2,weight,"&gt;=" &amp; A11,weight,"&lt;" &amp; B11)* G3*C11</f>
        <v>46838.400000000001</v>
      </c>
      <c r="H11" s="3">
        <f>COUNTIFS(height,"&gt;=" &amp; H1,height,"&lt;" &amp; H2,weight,"&gt;=" &amp; A11,weight,"&lt;" &amp; B11)* H3*C11</f>
        <v>0</v>
      </c>
      <c r="I11" s="3">
        <f>COUNTIFS(height,"&gt;=" &amp; I1,height,"&lt;" &amp; I2,weight,"&gt;=" &amp; A11,weight,"&lt;" &amp; B11)* I3*C11</f>
        <v>85165.92</v>
      </c>
      <c r="J11" s="3">
        <f>COUNTIFS(height,"&gt;=" &amp; J1,height,"&lt;" &amp; J2,weight,"&gt;=" &amp; A11,weight,"&lt;" &amp; B11)* J3*C11</f>
        <v>49580.160000000003</v>
      </c>
      <c r="K11" s="3">
        <f>COUNTIFS(height,"&gt;=" &amp; K1,height,"&lt;" &amp; K2,weight,"&gt;=" &amp; A11,weight,"&lt;" &amp; B11)* K3*C11</f>
        <v>75741.120000000024</v>
      </c>
      <c r="L11" s="3">
        <f>COUNTIFS(height,"&gt;=" &amp; L1,height,"&lt;" &amp; L2,weight,"&gt;=" &amp; A11,weight,"&lt;" &amp; B11)* L3*C11</f>
        <v>12852.000000000002</v>
      </c>
      <c r="M11" s="3">
        <f>COUNTIFS(height,"&gt;=" &amp; M1,height,"&lt;" &amp; M2,weight,"&gt;=" &amp; A11,weight,"&lt;" &amp; B11)* M3*C11</f>
        <v>0</v>
      </c>
      <c r="N11" s="3">
        <f>COUNTIFS(height,"&gt;=" &amp; N1,height,"&lt;" &amp; N2,weight,"&gt;=" &amp; A11,weight,"&gt;" &amp; B11)* N3*C11</f>
        <v>13308.960000000001</v>
      </c>
      <c r="O11" s="3">
        <f t="shared" si="1"/>
        <v>283486.56000000006</v>
      </c>
      <c r="P11" s="3">
        <f>SUMPRODUCT(E11:N11,E3:N3)/O11</f>
        <v>172.79854926455772</v>
      </c>
      <c r="Q11" s="10"/>
    </row>
    <row r="12" spans="1:23" x14ac:dyDescent="0.3">
      <c r="A12" s="3">
        <v>73.2</v>
      </c>
      <c r="B12" s="3">
        <v>76.8</v>
      </c>
      <c r="C12" s="3">
        <f t="shared" si="0"/>
        <v>75</v>
      </c>
      <c r="D12" s="10"/>
      <c r="E12" s="3">
        <f>COUNTIFS(height,"&gt;=" &amp; E1,height,"&lt;" &amp; E2,weight,"&gt;=" &amp; A12,weight,"&lt;" &amp; B12)* E3*C12</f>
        <v>0</v>
      </c>
      <c r="F12" s="3">
        <f>COUNTIFS(height,"&gt;=" &amp; F1,height,"&lt;" &amp; F2,weight,"&gt;=" &amp; A12,weight,"&lt;" &amp; B12)* F3*C12</f>
        <v>0</v>
      </c>
      <c r="G12" s="3">
        <f>COUNTIFS(height,"&gt;=" &amp; G1,height,"&lt;" &amp; G2,weight,"&gt;=" &amp; A12,weight,"&lt;" &amp; B12)* G3*C12</f>
        <v>0</v>
      </c>
      <c r="H12" s="3">
        <f>COUNTIFS(height,"&gt;=" &amp; H1,height,"&lt;" &amp; H2,weight,"&gt;=" &amp; A12,weight,"&lt;" &amp; B12)* H3*C12</f>
        <v>0</v>
      </c>
      <c r="I12" s="3">
        <f>COUNTIFS(height,"&gt;=" &amp; I1,height,"&lt;" &amp; I2,weight,"&gt;=" &amp; A12,weight,"&lt;" &amp; B12)* I3*C12</f>
        <v>51120</v>
      </c>
      <c r="J12" s="3">
        <f>COUNTIFS(height,"&gt;=" &amp; J1,height,"&lt;" &amp; J2,weight,"&gt;=" &amp; A12,weight,"&lt;" &amp; B12)* J3*C12</f>
        <v>65100</v>
      </c>
      <c r="K12" s="3">
        <f>COUNTIFS(height,"&gt;=" &amp; K1,height,"&lt;" &amp; K2,weight,"&gt;=" &amp; A12,weight,"&gt;" &amp; B12)* K3*C12</f>
        <v>39780.000000000007</v>
      </c>
      <c r="L12" s="3">
        <f>COUNTIFS(height,"&gt;=" &amp; L1,height,"&lt;" &amp; L2,weight,"&gt;=" &amp; A12,weight,"&lt;" &amp; B12)* L3*C12</f>
        <v>13500</v>
      </c>
      <c r="M12" s="3">
        <f>COUNTIFS(height,"&gt;=" &amp; M1,height,"&lt;" &amp; M2,weight,"&gt;=" &amp; A12,weight,"&lt;" &amp; B12)* M3*C12</f>
        <v>13740</v>
      </c>
      <c r="N12" s="3">
        <f>COUNTIFS(height,"&gt;=" &amp; N1,height,"&lt;" &amp; N2,weight,"&gt;=" &amp; A12,weight,"&lt;=" &amp; B12)* N3*C12</f>
        <v>0</v>
      </c>
      <c r="O12" s="3">
        <f t="shared" si="1"/>
        <v>183240</v>
      </c>
      <c r="P12" s="3">
        <f>SUMPRODUCT(E12:N12,E3:N3)/O12</f>
        <v>174.59332023575638</v>
      </c>
      <c r="Q12" s="10"/>
    </row>
    <row r="13" spans="1:23" x14ac:dyDescent="0.3">
      <c r="A13" s="3">
        <v>76.8</v>
      </c>
      <c r="B13" s="3">
        <v>80.400000000000006</v>
      </c>
      <c r="C13" s="3">
        <f t="shared" si="0"/>
        <v>78.599999999999994</v>
      </c>
      <c r="D13" s="10"/>
      <c r="E13" s="3">
        <f>COUNTIFS(height,"&gt;=" &amp; E1,height,"&lt;" &amp; E2,weight,"&gt;=" &amp; A13,weight,"&lt;" &amp; B13)* E3*C13</f>
        <v>0</v>
      </c>
      <c r="F13" s="3">
        <f>COUNTIFS(height,"&gt;=" &amp; F1,height,"&lt;" &amp; F2,weight,"&gt;=" &amp; A13,weight,"&lt;" &amp; B13)* F3*C13</f>
        <v>0</v>
      </c>
      <c r="G13" s="3">
        <f>COUNTIFS(height,"&gt;=" &amp; G1,height,"&lt;" &amp; G2,weight,"&gt;=" &amp; A13,weight,"&lt;" &amp; B13)* G3*C13</f>
        <v>0</v>
      </c>
      <c r="H13" s="3">
        <f>COUNTIFS(height,"&gt;=" &amp; H1,height,"&lt;" &amp; H2,weight,"&gt;=" &amp; A13,weight,"&lt;" &amp; B13)* H3*C13</f>
        <v>0</v>
      </c>
      <c r="I13" s="3">
        <f>COUNTIFS(height,"&gt;=" &amp; I1,height,"&lt;=" &amp; I2,weight,"&gt;=" &amp; A13,weight,"&lt;" &amp; B13)* I3*C13</f>
        <v>0</v>
      </c>
      <c r="J13" s="3">
        <f>COUNTIFS(height,"&gt;=" &amp; J1,height,"&lt;" &amp; J2,weight,"&gt;=" &amp; A13,weight,"&lt;" &amp; B13)* J3*C13</f>
        <v>54579.839999999997</v>
      </c>
      <c r="K13" s="3">
        <f>COUNTIFS(height,"&gt;=" &amp; K1,height,"&lt;" &amp; K2,weight,"&gt;=" &amp; A13,weight,"&lt;" &amp; B13)* K3*C13</f>
        <v>41689.440000000002</v>
      </c>
      <c r="L13" s="3">
        <f>COUNTIFS(height,"&gt;=" &amp; L1,height,"&lt;" &amp; L2,weight,"&gt;=" &amp; A13,weight,"&lt;" &amp; B13)* L3*C13</f>
        <v>0</v>
      </c>
      <c r="M13" s="3">
        <f>COUNTIFS(height,"&gt;=" &amp; M1,height,"&lt;" &amp; M2,weight,"&gt;=" &amp; A13,weight,"&lt;" &amp; B13)* M3*C13</f>
        <v>0</v>
      </c>
      <c r="N13" s="3">
        <f>COUNTIFS(height,"&gt;=" &amp; N1,height,"&lt;" &amp; N2,weight,"&gt;=" &amp; A13,weight,"&lt;" &amp; B13)* N3*C13</f>
        <v>0</v>
      </c>
      <c r="O13" s="3">
        <f t="shared" si="1"/>
        <v>96269.28</v>
      </c>
      <c r="P13" s="3">
        <f>SUMPRODUCT(E13:N13,E3:N3)/O13</f>
        <v>174.9857609405617</v>
      </c>
      <c r="Q13" s="10"/>
    </row>
    <row r="14" spans="1:23" x14ac:dyDescent="0.3">
      <c r="A14" s="3">
        <v>80.400000000000006</v>
      </c>
      <c r="B14" s="3">
        <v>84</v>
      </c>
      <c r="C14" s="3">
        <f t="shared" si="0"/>
        <v>82.2</v>
      </c>
      <c r="D14" s="10"/>
      <c r="E14" s="3">
        <f>COUNTIFS(height,"&gt;=" &amp; E1,height,"&lt;=" &amp; E2,weight,"&gt;=" &amp; A14,weight,"&lt;" &amp; B14)* E3*C14</f>
        <v>0</v>
      </c>
      <c r="F14" s="3">
        <f>COUNTIFS(height,"&gt;=" &amp; F1,height,"&lt;=" &amp; F2,weight,"&gt;=" &amp; A14,weight,"&lt;" &amp; B14)* F3*C14</f>
        <v>0</v>
      </c>
      <c r="G14" s="3">
        <f>COUNTIFS(height,"&gt;=" &amp; G1,height,"&lt;=" &amp; G2,weight,"&gt;=" &amp; A14,weight,"&lt;" &amp; B14)* G3*C14</f>
        <v>0</v>
      </c>
      <c r="H14" s="3">
        <f>COUNTIFS(height,"&gt;=" &amp; H1,height,"&lt;=" &amp; H2,weight,"&gt;=" &amp; A14,weight,"&lt;" &amp; B14)* H3*C14</f>
        <v>0</v>
      </c>
      <c r="I14" s="3">
        <f>COUNTIFS(height,"&gt;=" &amp; I1,height,"=&lt;" &amp; I2,weight,"&gt;=" &amp; A14,weight,"&lt;" &amp; B14)* I3*C14</f>
        <v>0</v>
      </c>
      <c r="J14" s="3">
        <f>COUNTIFS(height,"&gt;=" &amp; J1,height,"&lt;=" &amp; J2,weight,"&gt;=" &amp; A14,weight,"&lt;" &amp; B14)* J3*C14</f>
        <v>0</v>
      </c>
      <c r="K14" s="3">
        <f>COUNTIFS(height,"&gt;=" &amp; K1,height,"&lt;=" &amp; K2,weight,"&gt;=" &amp; A14,weight,"&lt;" &amp; B14)* K3*C14</f>
        <v>0</v>
      </c>
      <c r="L14" s="3">
        <f>COUNTIFS(height,"&gt;=" &amp; L1,height,"&lt;=" &amp; L2,weight,"&gt;=" &amp; A14,weight,"&lt;" &amp; B14)* L3*C14</f>
        <v>0</v>
      </c>
      <c r="M14" s="3">
        <f>COUNTIFS(height,"&gt;=" &amp; M1,height,"&lt;=" &amp; M2,weight,"&gt;=" &amp; A14,weight,"&lt;" &amp; B14)* M3*C14</f>
        <v>0</v>
      </c>
      <c r="N14" s="3">
        <f>COUNTIFS(height,"&gt;=" &amp; N1,height,"&lt;=" &amp; N2,weight,"&gt;=" &amp; A14,weight,"&lt;=" &amp; B14)* N3*C14</f>
        <v>15322.080000000002</v>
      </c>
      <c r="O14" s="3">
        <f t="shared" si="1"/>
        <v>15322.080000000002</v>
      </c>
      <c r="P14" s="3">
        <f>SUMPRODUCT(E14:N14,E3:N3)/O14</f>
        <v>186.4</v>
      </c>
      <c r="Q14" s="10"/>
    </row>
    <row r="15" spans="1:23" x14ac:dyDescent="0.3">
      <c r="A15" s="10"/>
      <c r="B15" s="10"/>
      <c r="C15" s="10"/>
      <c r="D15" s="3" t="s">
        <v>68</v>
      </c>
      <c r="E15" s="3">
        <f t="shared" ref="E15:N15" si="2">SUM(E5:E14)</f>
        <v>105528.95999999999</v>
      </c>
      <c r="F15" s="3">
        <f t="shared" si="2"/>
        <v>105452.64</v>
      </c>
      <c r="G15" s="3">
        <f t="shared" si="2"/>
        <v>318717.60000000003</v>
      </c>
      <c r="H15" s="3">
        <f t="shared" si="2"/>
        <v>389341.92</v>
      </c>
      <c r="I15" s="3">
        <f t="shared" si="2"/>
        <v>406097.27999999997</v>
      </c>
      <c r="J15" s="3">
        <f t="shared" si="2"/>
        <v>446117.28</v>
      </c>
      <c r="K15" s="3">
        <f t="shared" si="2"/>
        <v>222131.52000000002</v>
      </c>
      <c r="L15" s="3">
        <f t="shared" si="2"/>
        <v>73872</v>
      </c>
      <c r="M15" s="3">
        <f t="shared" si="2"/>
        <v>63423.839999999997</v>
      </c>
      <c r="N15" s="3">
        <f t="shared" si="2"/>
        <v>75156.48000000001</v>
      </c>
      <c r="O15" s="10"/>
      <c r="P15" s="10"/>
      <c r="Q15" s="10"/>
    </row>
    <row r="16" spans="1:23" x14ac:dyDescent="0.3">
      <c r="D16" s="11" t="s">
        <v>69</v>
      </c>
      <c r="E16" s="3">
        <f>SUMPRODUCT(E5:E14,C5:C14)/E15</f>
        <v>56.083870967741937</v>
      </c>
      <c r="F16" s="3">
        <f>SUMPRODUCT(F5:F14,C5:C14)/F15</f>
        <v>59.858920402561758</v>
      </c>
      <c r="G16" s="3">
        <f>SUMPRODUCT(G5:G14,C5:C14)/G15</f>
        <v>63.047422043840683</v>
      </c>
      <c r="H16" s="3">
        <f>SUMPRODUCT(H5:H14,C5:C14)/H15</f>
        <v>63.215820664777112</v>
      </c>
      <c r="I16" s="3">
        <f>SUMPRODUCT(I5:I14,C5:C14)/I15</f>
        <v>66.694259818731126</v>
      </c>
      <c r="J16" s="3">
        <f>SUMPRODUCT(J5:J14,C5:C14)/J15</f>
        <v>69.772729395283676</v>
      </c>
      <c r="K16" s="3">
        <f>SUMPRODUCT(K5:K14,C5:C14)/K15</f>
        <v>70.423495702005724</v>
      </c>
      <c r="L16" s="3">
        <f>SUMPRODUCT(L5:L14,C5:C14)/L15</f>
        <v>68.615789473684202</v>
      </c>
      <c r="M16" s="3">
        <f>SUMPRODUCT(M5:M14,C5:C14)/M15</f>
        <v>69.35979202772964</v>
      </c>
      <c r="N16" s="3">
        <f>SUMPRODUCT(N5:N14,C5:C14)/N15</f>
        <v>68.191071428571419</v>
      </c>
      <c r="O16" s="10"/>
      <c r="P16" s="10"/>
      <c r="Q16" s="10"/>
    </row>
    <row r="17" spans="1:17" x14ac:dyDescent="0.3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9" spans="1:17" x14ac:dyDescent="0.3">
      <c r="A19" s="6" t="s">
        <v>79</v>
      </c>
      <c r="B19" s="6">
        <v>200</v>
      </c>
    </row>
    <row r="21" spans="1:17" ht="15.6" x14ac:dyDescent="0.3">
      <c r="A21" s="14" t="s">
        <v>73</v>
      </c>
      <c r="B21" s="11">
        <f>'4'!L3</f>
        <v>169.50400000000002</v>
      </c>
    </row>
    <row r="22" spans="1:17" ht="15.6" x14ac:dyDescent="0.3">
      <c r="A22" s="14" t="s">
        <v>74</v>
      </c>
      <c r="B22" s="11">
        <f>'4'!L25</f>
        <v>64.938000000000017</v>
      </c>
    </row>
    <row r="23" spans="1:17" ht="15.6" x14ac:dyDescent="0.3">
      <c r="A23" s="14" t="s">
        <v>75</v>
      </c>
      <c r="B23" s="11">
        <f>SQRT(VARP(height))</f>
        <v>6.1449959316504019</v>
      </c>
    </row>
    <row r="24" spans="1:17" ht="15.6" x14ac:dyDescent="0.3">
      <c r="A24" s="14" t="s">
        <v>76</v>
      </c>
      <c r="B24" s="11">
        <f>SQRT(VARP(weight))</f>
        <v>6.2649501195141184</v>
      </c>
    </row>
    <row r="25" spans="1:17" ht="15.6" x14ac:dyDescent="0.3">
      <c r="A25" s="14" t="s">
        <v>81</v>
      </c>
      <c r="B25" s="11">
        <f>SUM(E5:N14)/B19</f>
        <v>11029.197599999998</v>
      </c>
    </row>
    <row r="26" spans="1:17" ht="15.6" x14ac:dyDescent="0.3">
      <c r="A26" s="14" t="s">
        <v>77</v>
      </c>
      <c r="B26" s="11">
        <f>(B25-B21*B22)/(B23*B24)</f>
        <v>0.57007623733576729</v>
      </c>
      <c r="D26" s="11" t="s">
        <v>106</v>
      </c>
    </row>
    <row r="27" spans="1:17" ht="15.6" x14ac:dyDescent="0.3">
      <c r="A27" s="14" t="s">
        <v>49</v>
      </c>
      <c r="B27" s="11">
        <f>B22-B21*B28</f>
        <v>-33.578484899847183</v>
      </c>
      <c r="D27" s="11" t="s">
        <v>107</v>
      </c>
    </row>
    <row r="28" spans="1:17" ht="15.6" x14ac:dyDescent="0.3">
      <c r="A28" s="14" t="s">
        <v>80</v>
      </c>
      <c r="B28" s="11">
        <f>(B25-B22*B21)/(B23^2)</f>
        <v>0.58120448425905691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80" zoomScaleNormal="80" workbookViewId="0">
      <selection activeCell="C18" sqref="C18"/>
    </sheetView>
  </sheetViews>
  <sheetFormatPr defaultRowHeight="14.4" x14ac:dyDescent="0.3"/>
  <cols>
    <col min="1" max="1" width="38.6640625" style="18" customWidth="1"/>
    <col min="2" max="2" width="15.88671875" style="18" customWidth="1"/>
    <col min="3" max="3" width="31.5546875" style="18" customWidth="1"/>
    <col min="4" max="16384" width="8.88671875" style="18"/>
  </cols>
  <sheetData>
    <row r="1" spans="1:13" x14ac:dyDescent="0.3">
      <c r="A1" s="17" t="s">
        <v>108</v>
      </c>
      <c r="C1" s="17" t="s">
        <v>109</v>
      </c>
      <c r="D1" s="17">
        <f>'12'!B27</f>
        <v>-33.578484899847183</v>
      </c>
    </row>
    <row r="2" spans="1:13" x14ac:dyDescent="0.3">
      <c r="C2" s="17" t="s">
        <v>80</v>
      </c>
      <c r="D2" s="17">
        <f>'12'!B28</f>
        <v>0.58120448425905691</v>
      </c>
    </row>
    <row r="3" spans="1:13" x14ac:dyDescent="0.3">
      <c r="A3" s="17" t="s">
        <v>110</v>
      </c>
    </row>
    <row r="4" spans="1:13" x14ac:dyDescent="0.3">
      <c r="A4" s="17" t="s">
        <v>111</v>
      </c>
      <c r="C4" s="17" t="s">
        <v>113</v>
      </c>
      <c r="D4" s="17">
        <v>157.6</v>
      </c>
      <c r="E4" s="17">
        <v>160.80000000000001</v>
      </c>
      <c r="F4" s="17">
        <v>164</v>
      </c>
      <c r="G4" s="17">
        <v>167.2</v>
      </c>
      <c r="H4" s="17">
        <v>170.4</v>
      </c>
      <c r="I4" s="17">
        <v>173.6</v>
      </c>
      <c r="J4" s="17">
        <v>176.8</v>
      </c>
      <c r="K4" s="17">
        <v>180</v>
      </c>
      <c r="L4" s="17">
        <v>183.2</v>
      </c>
      <c r="M4" s="17">
        <v>186.4</v>
      </c>
    </row>
    <row r="5" spans="1:13" x14ac:dyDescent="0.3">
      <c r="C5" s="17" t="s">
        <v>112</v>
      </c>
      <c r="D5" s="17">
        <v>49.8</v>
      </c>
      <c r="E5" s="17">
        <v>53.4</v>
      </c>
      <c r="F5" s="17">
        <v>57</v>
      </c>
      <c r="G5" s="17">
        <v>60.6</v>
      </c>
      <c r="H5" s="17">
        <v>64.2</v>
      </c>
      <c r="I5" s="17">
        <v>67.8</v>
      </c>
      <c r="J5" s="17">
        <v>71.400000000000006</v>
      </c>
      <c r="K5" s="17">
        <v>75</v>
      </c>
      <c r="L5" s="17">
        <v>78.599999999999994</v>
      </c>
      <c r="M5" s="17">
        <v>82.2</v>
      </c>
    </row>
    <row r="7" spans="1:13" x14ac:dyDescent="0.3">
      <c r="B7" s="17" t="s">
        <v>62</v>
      </c>
      <c r="C7" s="17">
        <v>150</v>
      </c>
      <c r="D7" s="17">
        <v>200</v>
      </c>
    </row>
    <row r="8" spans="1:13" x14ac:dyDescent="0.3">
      <c r="B8" s="17" t="s">
        <v>63</v>
      </c>
      <c r="C8" s="17">
        <f>D1+D2*C7</f>
        <v>53.602187739011356</v>
      </c>
      <c r="D8" s="17">
        <f>D1+D2*D7</f>
        <v>82.662411951964202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8" sqref="C18"/>
    </sheetView>
  </sheetViews>
  <sheetFormatPr defaultRowHeight="14.4" x14ac:dyDescent="0.3"/>
  <cols>
    <col min="1" max="2" width="8.88671875" style="5"/>
    <col min="3" max="3" width="173.33203125" style="5" customWidth="1"/>
    <col min="4" max="16384" width="8.88671875" style="5"/>
  </cols>
  <sheetData>
    <row r="1" spans="1:3" x14ac:dyDescent="0.3">
      <c r="A1" s="3" t="s">
        <v>120</v>
      </c>
      <c r="B1" s="3">
        <f>'12'!B26</f>
        <v>0.57007623733576729</v>
      </c>
    </row>
    <row r="2" spans="1:3" x14ac:dyDescent="0.3">
      <c r="A2" s="3" t="s">
        <v>77</v>
      </c>
      <c r="B2" s="3">
        <f>SQRT('10'!W6/'10'!W7)</f>
        <v>0.63353219263280647</v>
      </c>
    </row>
    <row r="4" spans="1:3" x14ac:dyDescent="0.3">
      <c r="A4" s="3" t="s">
        <v>121</v>
      </c>
      <c r="C4" s="3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90" zoomScaleNormal="90" workbookViewId="0">
      <selection activeCell="D28" sqref="D28"/>
    </sheetView>
  </sheetViews>
  <sheetFormatPr defaultRowHeight="14.4" x14ac:dyDescent="0.3"/>
  <cols>
    <col min="1" max="1" width="33.77734375" style="5" customWidth="1"/>
    <col min="2" max="2" width="7.5546875" style="5" customWidth="1"/>
    <col min="3" max="3" width="8.88671875" style="5"/>
    <col min="4" max="4" width="99.6640625" style="5" customWidth="1"/>
    <col min="5" max="16384" width="8.88671875" style="5"/>
  </cols>
  <sheetData>
    <row r="1" spans="1:6" x14ac:dyDescent="0.3">
      <c r="A1" s="5" t="s">
        <v>82</v>
      </c>
    </row>
    <row r="2" spans="1:6" x14ac:dyDescent="0.3">
      <c r="A2" s="3" t="s">
        <v>83</v>
      </c>
      <c r="B2" s="3">
        <f t="array" ref="B2:C6">LINEST(weight,height,TRUE,TRUE)</f>
        <v>0.63605613996990351</v>
      </c>
      <c r="C2" s="3">
        <v>-42.851941058195791</v>
      </c>
      <c r="D2" s="3" t="s">
        <v>91</v>
      </c>
    </row>
    <row r="3" spans="1:6" x14ac:dyDescent="0.3">
      <c r="A3" s="3" t="s">
        <v>84</v>
      </c>
      <c r="B3" s="3">
        <v>5.6624534268016953E-2</v>
      </c>
      <c r="C3" s="3">
        <v>9.6095396560310959</v>
      </c>
      <c r="D3" s="3" t="s">
        <v>92</v>
      </c>
    </row>
    <row r="4" spans="1:6" x14ac:dyDescent="0.3">
      <c r="A4" s="3" t="s">
        <v>85</v>
      </c>
      <c r="B4" s="3">
        <v>0.38922332903803103</v>
      </c>
      <c r="C4" s="3">
        <v>4.9208626188632962</v>
      </c>
      <c r="D4" s="3" t="s">
        <v>93</v>
      </c>
    </row>
    <row r="5" spans="1:6" x14ac:dyDescent="0.3">
      <c r="A5" s="3" t="s">
        <v>86</v>
      </c>
      <c r="B5" s="3">
        <v>126.17741117739713</v>
      </c>
      <c r="C5" s="3">
        <v>198</v>
      </c>
      <c r="D5" s="3"/>
    </row>
    <row r="6" spans="1:6" x14ac:dyDescent="0.3">
      <c r="A6" s="3"/>
      <c r="B6" s="3">
        <v>3055.3719950822178</v>
      </c>
      <c r="C6" s="3">
        <v>4794.548004917775</v>
      </c>
      <c r="D6" s="3"/>
    </row>
    <row r="7" spans="1:6" x14ac:dyDescent="0.3">
      <c r="A7" s="3" t="s">
        <v>87</v>
      </c>
      <c r="B7" s="3">
        <f>B6/(C5+2)</f>
        <v>15.276859975411089</v>
      </c>
      <c r="C7" s="3">
        <f>C6/(C5+2)</f>
        <v>23.972740024588873</v>
      </c>
      <c r="D7" s="3" t="s">
        <v>94</v>
      </c>
    </row>
    <row r="10" spans="1:6" x14ac:dyDescent="0.3">
      <c r="A10" s="5" t="s">
        <v>34</v>
      </c>
    </row>
    <row r="11" spans="1:6" x14ac:dyDescent="0.3">
      <c r="A11" s="3" t="s">
        <v>95</v>
      </c>
      <c r="B11" s="3">
        <f>C2+B12*B2</f>
        <v>71.638164136386834</v>
      </c>
      <c r="C11" s="3"/>
      <c r="D11" s="3" t="s">
        <v>96</v>
      </c>
      <c r="E11" s="3">
        <f>C6/C5</f>
        <v>24.214888913726135</v>
      </c>
      <c r="F11" s="3"/>
    </row>
    <row r="12" spans="1:6" x14ac:dyDescent="0.3">
      <c r="A12" s="3" t="s">
        <v>1</v>
      </c>
      <c r="B12" s="3">
        <v>180</v>
      </c>
      <c r="C12" s="3"/>
      <c r="D12" s="3" t="s">
        <v>58</v>
      </c>
      <c r="E12" s="3">
        <f>SQRT(E11)</f>
        <v>4.9208626188632962</v>
      </c>
      <c r="F12" s="3"/>
    </row>
    <row r="13" spans="1:6" x14ac:dyDescent="0.3">
      <c r="A13" s="3" t="s">
        <v>97</v>
      </c>
      <c r="B13" s="3">
        <f>E12*SQRT(1+1/200+(B12-'15'!L3)^2/(200*'4'!L4))</f>
        <v>11.29377845899076</v>
      </c>
      <c r="C13" s="3"/>
      <c r="D13" s="3" t="s">
        <v>99</v>
      </c>
      <c r="E13" s="3">
        <f>_xlfn.T.INV.2T(0.05,C5)</f>
        <v>1.9720174778363073</v>
      </c>
      <c r="F13" s="3"/>
    </row>
    <row r="14" spans="1:6" x14ac:dyDescent="0.3">
      <c r="A14" s="3" t="s">
        <v>98</v>
      </c>
      <c r="B14" s="3">
        <f>B11-E13*B13</f>
        <v>49.366635624445863</v>
      </c>
      <c r="C14" s="3" t="s">
        <v>100</v>
      </c>
      <c r="D14" s="3" t="s">
        <v>101</v>
      </c>
      <c r="E14" s="3" t="s">
        <v>100</v>
      </c>
      <c r="F14" s="3">
        <f>B11+E13*B13</f>
        <v>93.909692648327805</v>
      </c>
    </row>
    <row r="16" spans="1:6" x14ac:dyDescent="0.3">
      <c r="A16" s="5" t="s">
        <v>35</v>
      </c>
    </row>
    <row r="17" spans="1:6" x14ac:dyDescent="0.3">
      <c r="A17" s="3" t="s">
        <v>102</v>
      </c>
      <c r="B17" s="3">
        <f>C2-E13*C3</f>
        <v>-61.802121213850214</v>
      </c>
      <c r="C17" s="3" t="s">
        <v>100</v>
      </c>
      <c r="D17" s="3" t="s">
        <v>62</v>
      </c>
      <c r="E17" s="3" t="s">
        <v>100</v>
      </c>
      <c r="F17" s="3">
        <f>C2+E13*C3</f>
        <v>-23.901760902541373</v>
      </c>
    </row>
    <row r="18" spans="1:6" x14ac:dyDescent="0.3">
      <c r="A18" s="3" t="s">
        <v>63</v>
      </c>
      <c r="B18" s="3">
        <f>B2-B3*E13</f>
        <v>0.52439156871903314</v>
      </c>
      <c r="C18" s="3" t="s">
        <v>100</v>
      </c>
      <c r="D18" s="3" t="s">
        <v>63</v>
      </c>
      <c r="E18" s="3" t="s">
        <v>100</v>
      </c>
      <c r="F18" s="3">
        <f>B2+B3*E13</f>
        <v>0.74772071122077388</v>
      </c>
    </row>
    <row r="20" spans="1:6" x14ac:dyDescent="0.3">
      <c r="A20" s="5" t="s">
        <v>36</v>
      </c>
    </row>
    <row r="21" spans="1:6" x14ac:dyDescent="0.3">
      <c r="A21" s="3" t="s">
        <v>103</v>
      </c>
      <c r="B21" s="3">
        <f xml:space="preserve"> _xlfn.F.INV.RT(0.05,1,C5)</f>
        <v>3.8888529328918917</v>
      </c>
      <c r="C21" s="3"/>
      <c r="D21" s="3"/>
    </row>
    <row r="22" spans="1:6" x14ac:dyDescent="0.3">
      <c r="A22" s="3">
        <f>B5</f>
        <v>126.17741117739713</v>
      </c>
      <c r="B22" s="3" t="s">
        <v>104</v>
      </c>
      <c r="C22" s="3">
        <f>B21</f>
        <v>3.8888529328918917</v>
      </c>
      <c r="D22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4</vt:i4>
      </vt:variant>
    </vt:vector>
  </HeadingPairs>
  <TitlesOfParts>
    <vt:vector size="20" baseType="lpstr">
      <vt:lpstr>РГЗ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height</vt:lpstr>
      <vt:lpstr>weight</vt:lpstr>
      <vt:lpstr>'3'!Извлечь</vt:lpstr>
      <vt:lpstr>'3'!Критерии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</dc:creator>
  <cp:lastModifiedBy>Darling</cp:lastModifiedBy>
  <dcterms:created xsi:type="dcterms:W3CDTF">2022-11-29T22:15:55Z</dcterms:created>
  <dcterms:modified xsi:type="dcterms:W3CDTF">2022-12-01T17:15:24Z</dcterms:modified>
</cp:coreProperties>
</file>