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kmur\Downloads\Telegram Desktop\"/>
    </mc:Choice>
  </mc:AlternateContent>
  <xr:revisionPtr revIDLastSave="0" documentId="13_ncr:1_{5DADEBCB-5498-4649-BE0B-B01328500B3A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старое" sheetId="1" r:id="rId1"/>
    <sheet name="(нет (-_-) )Задание 1" sheetId="2" r:id="rId2"/>
    <sheet name="(снова нет) Задание 1" sheetId="5" r:id="rId3"/>
    <sheet name="(неееет) Задание 2" sheetId="9" r:id="rId4"/>
    <sheet name="Задание 1" sheetId="8" r:id="rId5"/>
    <sheet name="Задание 2" sheetId="6" r:id="rId6"/>
    <sheet name="Сравнение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0" l="1"/>
  <c r="G25" i="10"/>
  <c r="G43" i="10"/>
  <c r="L25" i="10"/>
  <c r="Q5" i="10"/>
  <c r="R5" i="10"/>
  <c r="Q4" i="10"/>
  <c r="R4" i="10"/>
  <c r="P5" i="10"/>
  <c r="P4" i="10"/>
  <c r="R3" i="10"/>
  <c r="Q3" i="10"/>
  <c r="P3" i="10"/>
  <c r="B26" i="6"/>
  <c r="B32" i="6" s="1"/>
  <c r="H27" i="6"/>
  <c r="D26" i="6"/>
  <c r="S3" i="6"/>
  <c r="N3" i="6"/>
  <c r="Q3" i="6"/>
  <c r="H11" i="6"/>
  <c r="H9" i="6"/>
  <c r="H7" i="6"/>
  <c r="H8" i="6"/>
  <c r="H5" i="6"/>
  <c r="B15" i="6"/>
  <c r="B14" i="6"/>
  <c r="D35" i="10"/>
  <c r="K39" i="8"/>
  <c r="H3" i="8"/>
  <c r="G3" i="8"/>
  <c r="G13" i="8"/>
  <c r="H10" i="6"/>
  <c r="M25" i="6"/>
  <c r="M26" i="6"/>
  <c r="M27" i="6"/>
  <c r="M28" i="6"/>
  <c r="M29" i="6"/>
  <c r="M30" i="6"/>
  <c r="M31" i="6"/>
  <c r="M32" i="6"/>
  <c r="M33" i="6"/>
  <c r="O24" i="6"/>
  <c r="P24" i="6"/>
  <c r="N24" i="6"/>
  <c r="N15" i="6"/>
  <c r="O32" i="8"/>
  <c r="L2" i="10"/>
  <c r="L14" i="10" s="1"/>
  <c r="M2" i="10"/>
  <c r="N2" i="10"/>
  <c r="N32" i="10" s="1"/>
  <c r="N38" i="10" s="1"/>
  <c r="K3" i="10"/>
  <c r="K33" i="10" s="1"/>
  <c r="K39" i="10" s="1"/>
  <c r="K4" i="10"/>
  <c r="K16" i="10" s="1"/>
  <c r="K5" i="10"/>
  <c r="K17" i="10" s="1"/>
  <c r="K6" i="10"/>
  <c r="K34" i="10" s="1"/>
  <c r="K40" i="10" s="1"/>
  <c r="K7" i="10"/>
  <c r="K8" i="10"/>
  <c r="K20" i="10" s="1"/>
  <c r="K9" i="10"/>
  <c r="K21" i="10" s="1"/>
  <c r="K10" i="10"/>
  <c r="K22" i="10" s="1"/>
  <c r="K11" i="10"/>
  <c r="K38" i="10"/>
  <c r="M32" i="10"/>
  <c r="M38" i="10" s="1"/>
  <c r="C35" i="10"/>
  <c r="B35" i="10"/>
  <c r="C34" i="10"/>
  <c r="D34" i="10"/>
  <c r="B34" i="10"/>
  <c r="C33" i="10"/>
  <c r="D33" i="10"/>
  <c r="B33" i="10"/>
  <c r="K19" i="10"/>
  <c r="K23" i="10"/>
  <c r="M14" i="10"/>
  <c r="F7" i="10"/>
  <c r="F19" i="10" s="1"/>
  <c r="L30" i="9"/>
  <c r="P28" i="9"/>
  <c r="O28" i="9"/>
  <c r="Q28" i="9" s="1"/>
  <c r="N28" i="9"/>
  <c r="R27" i="9"/>
  <c r="P27" i="9"/>
  <c r="O27" i="9"/>
  <c r="N27" i="9"/>
  <c r="AG26" i="9"/>
  <c r="P26" i="9"/>
  <c r="R26" i="9" s="1"/>
  <c r="O26" i="9"/>
  <c r="N26" i="9"/>
  <c r="O25" i="9"/>
  <c r="M25" i="9"/>
  <c r="O24" i="9"/>
  <c r="Q24" i="9" s="1"/>
  <c r="N24" i="9"/>
  <c r="M24" i="9"/>
  <c r="O23" i="9"/>
  <c r="M23" i="9"/>
  <c r="AG22" i="9"/>
  <c r="P22" i="9"/>
  <c r="R22" i="9" s="1"/>
  <c r="O22" i="9"/>
  <c r="N22" i="9"/>
  <c r="M22" i="9"/>
  <c r="W21" i="9"/>
  <c r="O21" i="9"/>
  <c r="Q21" i="9" s="1"/>
  <c r="N21" i="9"/>
  <c r="M21" i="9"/>
  <c r="Q20" i="9"/>
  <c r="O20" i="9"/>
  <c r="N20" i="9"/>
  <c r="M20" i="9"/>
  <c r="P19" i="9"/>
  <c r="L19" i="9"/>
  <c r="H19" i="9"/>
  <c r="Q27" i="9" s="1"/>
  <c r="AK18" i="9"/>
  <c r="P18" i="9"/>
  <c r="R18" i="9" s="1"/>
  <c r="AL18" i="9" s="1"/>
  <c r="O18" i="9"/>
  <c r="Q18" i="9" s="1"/>
  <c r="N18" i="9"/>
  <c r="AI18" i="9" s="1"/>
  <c r="L18" i="9"/>
  <c r="P17" i="9"/>
  <c r="R17" i="9" s="1"/>
  <c r="O17" i="9"/>
  <c r="Q17" i="9" s="1"/>
  <c r="L17" i="9"/>
  <c r="AI16" i="9"/>
  <c r="R16" i="9"/>
  <c r="P16" i="9"/>
  <c r="O16" i="9"/>
  <c r="Q16" i="9" s="1"/>
  <c r="AM16" i="9" s="1"/>
  <c r="N16" i="9"/>
  <c r="L16" i="9"/>
  <c r="P15" i="9"/>
  <c r="R15" i="9" s="1"/>
  <c r="N15" i="9"/>
  <c r="L15" i="9"/>
  <c r="O15" i="9" s="1"/>
  <c r="Q15" i="9" s="1"/>
  <c r="R14" i="9"/>
  <c r="P14" i="9"/>
  <c r="O14" i="9"/>
  <c r="Q14" i="9" s="1"/>
  <c r="N14" i="9"/>
  <c r="L14" i="9"/>
  <c r="L29" i="9" s="1"/>
  <c r="H14" i="9"/>
  <c r="H20" i="9" s="1"/>
  <c r="AL13" i="9"/>
  <c r="AJ13" i="9"/>
  <c r="AH13" i="9"/>
  <c r="AF13" i="9"/>
  <c r="R13" i="9"/>
  <c r="AG13" i="9" s="1"/>
  <c r="Q13" i="9"/>
  <c r="P13" i="9"/>
  <c r="O13" i="9"/>
  <c r="N13" i="9"/>
  <c r="AI13" i="9" s="1"/>
  <c r="AK12" i="9"/>
  <c r="T12" i="9"/>
  <c r="P12" i="9"/>
  <c r="R12" i="9" s="1"/>
  <c r="O12" i="9"/>
  <c r="Q12" i="9" s="1"/>
  <c r="N12" i="9"/>
  <c r="AJ11" i="9"/>
  <c r="AF11" i="9"/>
  <c r="T11" i="9"/>
  <c r="P11" i="9"/>
  <c r="R11" i="9" s="1"/>
  <c r="AG11" i="9" s="1"/>
  <c r="O11" i="9"/>
  <c r="Q11" i="9" s="1"/>
  <c r="N11" i="9"/>
  <c r="I11" i="9"/>
  <c r="S13" i="9" s="1"/>
  <c r="H11" i="9"/>
  <c r="S25" i="9" s="1"/>
  <c r="G11" i="9"/>
  <c r="S10" i="9"/>
  <c r="P10" i="9"/>
  <c r="R10" i="9" s="1"/>
  <c r="O10" i="9"/>
  <c r="Q10" i="9" s="1"/>
  <c r="N10" i="9"/>
  <c r="I10" i="9"/>
  <c r="S12" i="9" s="1"/>
  <c r="H10" i="9"/>
  <c r="S24" i="9" s="1"/>
  <c r="G10" i="9"/>
  <c r="S9" i="9" s="1"/>
  <c r="P9" i="9"/>
  <c r="R9" i="9" s="1"/>
  <c r="O9" i="9"/>
  <c r="Q9" i="9" s="1"/>
  <c r="N9" i="9"/>
  <c r="AI9" i="9" s="1"/>
  <c r="I9" i="9"/>
  <c r="S11" i="9" s="1"/>
  <c r="H9" i="9"/>
  <c r="S23" i="9" s="1"/>
  <c r="G9" i="9"/>
  <c r="AJ8" i="9"/>
  <c r="S8" i="9"/>
  <c r="AA8" i="9" s="1"/>
  <c r="P8" i="9"/>
  <c r="R8" i="9" s="1"/>
  <c r="O8" i="9"/>
  <c r="Q8" i="9" s="1"/>
  <c r="N8" i="9"/>
  <c r="AI8" i="9" s="1"/>
  <c r="I8" i="9"/>
  <c r="S19" i="9" s="1"/>
  <c r="H8" i="9"/>
  <c r="S28" i="9" s="1"/>
  <c r="G8" i="9"/>
  <c r="S16" i="9" s="1"/>
  <c r="S7" i="9"/>
  <c r="W7" i="9" s="1"/>
  <c r="P7" i="9"/>
  <c r="R7" i="9" s="1"/>
  <c r="O7" i="9"/>
  <c r="Q7" i="9" s="1"/>
  <c r="N7" i="9"/>
  <c r="AI7" i="9" s="1"/>
  <c r="I7" i="9"/>
  <c r="S18" i="9" s="1"/>
  <c r="T18" i="9" s="1"/>
  <c r="H7" i="9"/>
  <c r="S27" i="9" s="1"/>
  <c r="G7" i="9"/>
  <c r="S15" i="9" s="1"/>
  <c r="AA6" i="9"/>
  <c r="S6" i="9"/>
  <c r="P6" i="9"/>
  <c r="R6" i="9" s="1"/>
  <c r="O6" i="9"/>
  <c r="Q6" i="9" s="1"/>
  <c r="N6" i="9"/>
  <c r="I6" i="9"/>
  <c r="S17" i="9" s="1"/>
  <c r="H6" i="9"/>
  <c r="S26" i="9" s="1"/>
  <c r="G6" i="9"/>
  <c r="S14" i="9" s="1"/>
  <c r="AA5" i="9"/>
  <c r="W5" i="9"/>
  <c r="S5" i="9"/>
  <c r="P5" i="9"/>
  <c r="R5" i="9" s="1"/>
  <c r="O5" i="9"/>
  <c r="Q5" i="9" s="1"/>
  <c r="N5" i="9"/>
  <c r="AI5" i="9" s="1"/>
  <c r="I5" i="9"/>
  <c r="H5" i="9"/>
  <c r="S22" i="9" s="1"/>
  <c r="G5" i="9"/>
  <c r="AJ4" i="9"/>
  <c r="S4" i="9"/>
  <c r="P4" i="9"/>
  <c r="R4" i="9" s="1"/>
  <c r="O4" i="9"/>
  <c r="Q4" i="9" s="1"/>
  <c r="N4" i="9"/>
  <c r="AI4" i="9" s="1"/>
  <c r="I4" i="9"/>
  <c r="H4" i="9"/>
  <c r="S21" i="9" s="1"/>
  <c r="G4" i="9"/>
  <c r="S3" i="9"/>
  <c r="P3" i="9"/>
  <c r="R3" i="9" s="1"/>
  <c r="AF3" i="9" s="1"/>
  <c r="O3" i="9"/>
  <c r="Q3" i="9" s="1"/>
  <c r="N3" i="9"/>
  <c r="AI3" i="9" s="1"/>
  <c r="I3" i="9"/>
  <c r="H3" i="9"/>
  <c r="S20" i="9" s="1"/>
  <c r="G3" i="9"/>
  <c r="AA2" i="9"/>
  <c r="S2" i="9"/>
  <c r="P2" i="9"/>
  <c r="O2" i="9"/>
  <c r="N2" i="9"/>
  <c r="A31" i="8"/>
  <c r="B26" i="8"/>
  <c r="O25" i="1"/>
  <c r="F11" i="10"/>
  <c r="F23" i="10" s="1"/>
  <c r="F10" i="10"/>
  <c r="F22" i="10" s="1"/>
  <c r="F9" i="10"/>
  <c r="A20" i="8"/>
  <c r="F8" i="10" s="1"/>
  <c r="F20" i="10" s="1"/>
  <c r="A19" i="8"/>
  <c r="A18" i="8"/>
  <c r="F6" i="10" s="1"/>
  <c r="A17" i="8"/>
  <c r="F5" i="10" s="1"/>
  <c r="F17" i="10" s="1"/>
  <c r="A16" i="8"/>
  <c r="F4" i="10" s="1"/>
  <c r="F16" i="10" s="1"/>
  <c r="A15" i="8"/>
  <c r="F3" i="10" s="1"/>
  <c r="D14" i="8"/>
  <c r="I2" i="10" s="1"/>
  <c r="C14" i="8"/>
  <c r="H2" i="10" s="1"/>
  <c r="B14" i="8"/>
  <c r="G2" i="10" s="1"/>
  <c r="K31" i="8"/>
  <c r="K35" i="8" s="1"/>
  <c r="L7" i="8"/>
  <c r="K7" i="8"/>
  <c r="L6" i="8"/>
  <c r="K6" i="8"/>
  <c r="H8" i="8"/>
  <c r="H18" i="8" s="1"/>
  <c r="H27" i="8" s="1"/>
  <c r="G8" i="8"/>
  <c r="G18" i="8" s="1"/>
  <c r="G27" i="8" s="1"/>
  <c r="F8" i="8"/>
  <c r="F18" i="8" s="1"/>
  <c r="H7" i="8"/>
  <c r="H17" i="8" s="1"/>
  <c r="H26" i="8" s="1"/>
  <c r="G7" i="8"/>
  <c r="G17" i="8" s="1"/>
  <c r="G26" i="8" s="1"/>
  <c r="F7" i="8"/>
  <c r="F17" i="8" s="1"/>
  <c r="H6" i="8"/>
  <c r="H16" i="8" s="1"/>
  <c r="H25" i="8" s="1"/>
  <c r="G6" i="8"/>
  <c r="G16" i="8" s="1"/>
  <c r="G25" i="8" s="1"/>
  <c r="F6" i="8"/>
  <c r="F16" i="8" s="1"/>
  <c r="H5" i="8"/>
  <c r="H15" i="8" s="1"/>
  <c r="H24" i="8" s="1"/>
  <c r="G5" i="8"/>
  <c r="G15" i="8" s="1"/>
  <c r="G24" i="8" s="1"/>
  <c r="F5" i="8"/>
  <c r="F15" i="8" s="1"/>
  <c r="H4" i="8"/>
  <c r="H14" i="8" s="1"/>
  <c r="H23" i="8" s="1"/>
  <c r="G4" i="8"/>
  <c r="G14" i="8" s="1"/>
  <c r="G23" i="8" s="1"/>
  <c r="F4" i="8"/>
  <c r="F14" i="8" s="1"/>
  <c r="H13" i="8"/>
  <c r="H22" i="8" s="1"/>
  <c r="G22" i="8"/>
  <c r="F3" i="8"/>
  <c r="F13" i="8" s="1"/>
  <c r="H2" i="8"/>
  <c r="H12" i="8" s="1"/>
  <c r="G2" i="8"/>
  <c r="G12" i="8" s="1"/>
  <c r="K22" i="5"/>
  <c r="H2" i="6"/>
  <c r="M9" i="6"/>
  <c r="N9" i="6" s="1"/>
  <c r="M8" i="6"/>
  <c r="P8" i="6" s="1"/>
  <c r="L7" i="6"/>
  <c r="L6" i="6"/>
  <c r="N6" i="6" s="1"/>
  <c r="P3" i="6"/>
  <c r="P4" i="6"/>
  <c r="P5" i="6"/>
  <c r="P6" i="6"/>
  <c r="P7" i="6"/>
  <c r="P10" i="6"/>
  <c r="P2" i="6"/>
  <c r="O3" i="6"/>
  <c r="O4" i="6"/>
  <c r="O5" i="6"/>
  <c r="O8" i="6"/>
  <c r="O9" i="6"/>
  <c r="O10" i="6"/>
  <c r="O2" i="6"/>
  <c r="N4" i="6"/>
  <c r="N5" i="6"/>
  <c r="N10" i="6"/>
  <c r="N2" i="6"/>
  <c r="D20" i="6"/>
  <c r="C27" i="5"/>
  <c r="D27" i="5"/>
  <c r="B27" i="5"/>
  <c r="A29" i="5"/>
  <c r="A30" i="5"/>
  <c r="A31" i="5"/>
  <c r="A32" i="5"/>
  <c r="A33" i="5"/>
  <c r="A34" i="5"/>
  <c r="A35" i="5"/>
  <c r="A36" i="5"/>
  <c r="A28" i="5"/>
  <c r="C14" i="5"/>
  <c r="D14" i="5"/>
  <c r="B14" i="5"/>
  <c r="A16" i="5"/>
  <c r="A17" i="5"/>
  <c r="A18" i="5"/>
  <c r="A19" i="5"/>
  <c r="A20" i="5"/>
  <c r="A21" i="5"/>
  <c r="A22" i="5"/>
  <c r="A23" i="5"/>
  <c r="A15" i="5"/>
  <c r="F7" i="5"/>
  <c r="F8" i="5"/>
  <c r="F6" i="5"/>
  <c r="F4" i="5"/>
  <c r="F5" i="5"/>
  <c r="F3" i="5"/>
  <c r="H2" i="5"/>
  <c r="G2" i="5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B21" i="6"/>
  <c r="C21" i="6"/>
  <c r="D21" i="6"/>
  <c r="B22" i="6"/>
  <c r="C22" i="6"/>
  <c r="D22" i="6"/>
  <c r="C14" i="6"/>
  <c r="D14" i="6"/>
  <c r="H7" i="5"/>
  <c r="H8" i="5"/>
  <c r="H17" i="5" s="1"/>
  <c r="M13" i="5" s="1"/>
  <c r="N13" i="5" s="1"/>
  <c r="H6" i="5"/>
  <c r="G7" i="5"/>
  <c r="G16" i="5" s="1"/>
  <c r="M9" i="5" s="1"/>
  <c r="G8" i="5"/>
  <c r="G17" i="5" s="1"/>
  <c r="M10" i="5" s="1"/>
  <c r="G6" i="5"/>
  <c r="G15" i="5" s="1"/>
  <c r="M8" i="5" s="1"/>
  <c r="H4" i="5"/>
  <c r="H5" i="5"/>
  <c r="H14" i="5" s="1"/>
  <c r="M7" i="5" s="1"/>
  <c r="O7" i="5" s="1"/>
  <c r="H3" i="5"/>
  <c r="G4" i="5"/>
  <c r="G13" i="5" s="1"/>
  <c r="M3" i="5" s="1"/>
  <c r="O3" i="5" s="1"/>
  <c r="G5" i="5"/>
  <c r="G14" i="5" s="1"/>
  <c r="M4" i="5" s="1"/>
  <c r="G3" i="5"/>
  <c r="G12" i="5" s="1"/>
  <c r="M2" i="5" s="1"/>
  <c r="H13" i="5"/>
  <c r="M6" i="5" s="1"/>
  <c r="H15" i="5"/>
  <c r="M11" i="5" s="1"/>
  <c r="O11" i="5" s="1"/>
  <c r="H16" i="5"/>
  <c r="M12" i="5" s="1"/>
  <c r="H12" i="5"/>
  <c r="M5" i="5" s="1"/>
  <c r="K19" i="5"/>
  <c r="L15" i="5"/>
  <c r="K15" i="5"/>
  <c r="L14" i="5"/>
  <c r="K14" i="5"/>
  <c r="U22" i="2"/>
  <c r="U24" i="2"/>
  <c r="U23" i="2"/>
  <c r="U20" i="2"/>
  <c r="R25" i="2"/>
  <c r="R28" i="2"/>
  <c r="R27" i="2"/>
  <c r="R26" i="2"/>
  <c r="R22" i="2"/>
  <c r="S3" i="2"/>
  <c r="S4" i="2"/>
  <c r="S5" i="2"/>
  <c r="S6" i="2"/>
  <c r="S7" i="2"/>
  <c r="S8" i="2"/>
  <c r="S9" i="2"/>
  <c r="S10" i="2"/>
  <c r="S11" i="2"/>
  <c r="S12" i="2"/>
  <c r="S13" i="2"/>
  <c r="S2" i="2"/>
  <c r="R3" i="2"/>
  <c r="R4" i="2"/>
  <c r="R5" i="2"/>
  <c r="R6" i="2"/>
  <c r="R7" i="2"/>
  <c r="R8" i="2"/>
  <c r="R9" i="2"/>
  <c r="R10" i="2"/>
  <c r="R11" i="2"/>
  <c r="R12" i="2"/>
  <c r="R13" i="2"/>
  <c r="R2" i="2"/>
  <c r="Q12" i="2"/>
  <c r="Q13" i="2"/>
  <c r="Q11" i="2"/>
  <c r="Q9" i="2"/>
  <c r="Q10" i="2"/>
  <c r="Q8" i="2"/>
  <c r="Q6" i="2"/>
  <c r="Q7" i="2"/>
  <c r="Q5" i="2"/>
  <c r="Q3" i="2"/>
  <c r="Q4" i="2"/>
  <c r="Q2" i="2"/>
  <c r="P3" i="2"/>
  <c r="P4" i="2"/>
  <c r="P5" i="2"/>
  <c r="P6" i="2"/>
  <c r="P7" i="2"/>
  <c r="P8" i="2"/>
  <c r="P9" i="2"/>
  <c r="P10" i="2"/>
  <c r="P11" i="2"/>
  <c r="P12" i="2"/>
  <c r="P13" i="2"/>
  <c r="P2" i="2"/>
  <c r="R19" i="2"/>
  <c r="R23" i="2" s="1"/>
  <c r="O27" i="2"/>
  <c r="O26" i="2"/>
  <c r="C21" i="2" s="1"/>
  <c r="O25" i="2"/>
  <c r="C22" i="2" s="1"/>
  <c r="H23" i="2"/>
  <c r="B23" i="2"/>
  <c r="D22" i="2"/>
  <c r="B21" i="2"/>
  <c r="D20" i="2"/>
  <c r="B18" i="2"/>
  <c r="D16" i="2"/>
  <c r="L15" i="2"/>
  <c r="K15" i="2"/>
  <c r="H15" i="2"/>
  <c r="G15" i="2"/>
  <c r="G23" i="2" s="1"/>
  <c r="F15" i="2"/>
  <c r="D15" i="2"/>
  <c r="M14" i="2"/>
  <c r="L20" i="2" s="1"/>
  <c r="L14" i="2"/>
  <c r="K14" i="2"/>
  <c r="H14" i="2"/>
  <c r="H22" i="2" s="1"/>
  <c r="G14" i="2"/>
  <c r="G22" i="2" s="1"/>
  <c r="F14" i="2"/>
  <c r="O13" i="2"/>
  <c r="N13" i="2"/>
  <c r="H13" i="2"/>
  <c r="H21" i="2" s="1"/>
  <c r="G13" i="2"/>
  <c r="G21" i="2" s="1"/>
  <c r="F13" i="2"/>
  <c r="O12" i="2"/>
  <c r="N12" i="2"/>
  <c r="H12" i="2"/>
  <c r="H20" i="2" s="1"/>
  <c r="G12" i="2"/>
  <c r="G20" i="2" s="1"/>
  <c r="F12" i="2"/>
  <c r="O11" i="2"/>
  <c r="N11" i="2"/>
  <c r="H11" i="2"/>
  <c r="H19" i="2" s="1"/>
  <c r="G11" i="2"/>
  <c r="G19" i="2" s="1"/>
  <c r="F11" i="2"/>
  <c r="O10" i="2"/>
  <c r="N10" i="2"/>
  <c r="H10" i="2"/>
  <c r="H18" i="2" s="1"/>
  <c r="G10" i="2"/>
  <c r="G18" i="2" s="1"/>
  <c r="F10" i="2"/>
  <c r="O9" i="2"/>
  <c r="N9" i="2"/>
  <c r="H9" i="2"/>
  <c r="G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14" i="2" s="1"/>
  <c r="L22" i="2" s="1"/>
  <c r="N2" i="2"/>
  <c r="N14" i="2" s="1"/>
  <c r="L21" i="2" s="1"/>
  <c r="B44" i="1"/>
  <c r="B45" i="1"/>
  <c r="B43" i="1"/>
  <c r="C44" i="1"/>
  <c r="C45" i="1"/>
  <c r="C43" i="1"/>
  <c r="D44" i="1"/>
  <c r="D45" i="1"/>
  <c r="D43" i="1"/>
  <c r="D41" i="1"/>
  <c r="D42" i="1"/>
  <c r="D40" i="1"/>
  <c r="C41" i="1"/>
  <c r="C42" i="1"/>
  <c r="C40" i="1"/>
  <c r="B41" i="1"/>
  <c r="B42" i="1"/>
  <c r="B40" i="1"/>
  <c r="B38" i="1"/>
  <c r="B39" i="1"/>
  <c r="C38" i="1"/>
  <c r="C39" i="1"/>
  <c r="D38" i="1"/>
  <c r="D39" i="1"/>
  <c r="D37" i="1"/>
  <c r="C37" i="1"/>
  <c r="B37" i="1"/>
  <c r="I32" i="1"/>
  <c r="H32" i="1"/>
  <c r="G32" i="1"/>
  <c r="I29" i="1"/>
  <c r="H29" i="1"/>
  <c r="G29" i="1"/>
  <c r="I26" i="1"/>
  <c r="H26" i="1"/>
  <c r="G26" i="1"/>
  <c r="G37" i="1"/>
  <c r="G39" i="1" s="1"/>
  <c r="O27" i="1"/>
  <c r="B15" i="1" s="1"/>
  <c r="B26" i="1" s="1"/>
  <c r="O26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L15" i="1"/>
  <c r="K15" i="1"/>
  <c r="L14" i="1"/>
  <c r="M14" i="1"/>
  <c r="L20" i="1" s="1"/>
  <c r="K14" i="1"/>
  <c r="F11" i="1"/>
  <c r="F12" i="1"/>
  <c r="F13" i="1"/>
  <c r="F14" i="1"/>
  <c r="F15" i="1"/>
  <c r="F10" i="1"/>
  <c r="H9" i="1"/>
  <c r="G9" i="1"/>
  <c r="H10" i="1"/>
  <c r="H18" i="1" s="1"/>
  <c r="H11" i="1"/>
  <c r="H19" i="1" s="1"/>
  <c r="H12" i="1"/>
  <c r="H20" i="1" s="1"/>
  <c r="H13" i="1"/>
  <c r="H21" i="1" s="1"/>
  <c r="H14" i="1"/>
  <c r="H22" i="1" s="1"/>
  <c r="H15" i="1"/>
  <c r="H23" i="1" s="1"/>
  <c r="G11" i="1"/>
  <c r="G19" i="1" s="1"/>
  <c r="G12" i="1"/>
  <c r="G20" i="1" s="1"/>
  <c r="G13" i="1"/>
  <c r="G21" i="1" s="1"/>
  <c r="G14" i="1"/>
  <c r="G22" i="1" s="1"/>
  <c r="G15" i="1"/>
  <c r="G23" i="1" s="1"/>
  <c r="G10" i="1"/>
  <c r="G18" i="1" s="1"/>
  <c r="K15" i="10" l="1"/>
  <c r="L32" i="10"/>
  <c r="L38" i="10" s="1"/>
  <c r="F18" i="10"/>
  <c r="F34" i="10"/>
  <c r="F40" i="10" s="1"/>
  <c r="F35" i="10"/>
  <c r="F41" i="10" s="1"/>
  <c r="F21" i="10"/>
  <c r="F33" i="10"/>
  <c r="F39" i="10" s="1"/>
  <c r="F15" i="10"/>
  <c r="G14" i="10"/>
  <c r="G32" i="10"/>
  <c r="G38" i="10" s="1"/>
  <c r="H32" i="10"/>
  <c r="H38" i="10" s="1"/>
  <c r="H14" i="10"/>
  <c r="I32" i="10"/>
  <c r="I38" i="10" s="1"/>
  <c r="I14" i="10"/>
  <c r="A33" i="8"/>
  <c r="A32" i="8"/>
  <c r="D26" i="8"/>
  <c r="A30" i="8"/>
  <c r="C26" i="8"/>
  <c r="A29" i="8"/>
  <c r="A27" i="8"/>
  <c r="A28" i="8"/>
  <c r="A35" i="8"/>
  <c r="A34" i="8"/>
  <c r="K18" i="10"/>
  <c r="K35" i="10"/>
  <c r="K41" i="10" s="1"/>
  <c r="N14" i="10"/>
  <c r="R6" i="6"/>
  <c r="Q5" i="6"/>
  <c r="Q9" i="6"/>
  <c r="AC9" i="6" s="1"/>
  <c r="R10" i="6"/>
  <c r="Q10" i="6"/>
  <c r="R7" i="6"/>
  <c r="AD7" i="6" s="1"/>
  <c r="R5" i="6"/>
  <c r="AJ5" i="6" s="1"/>
  <c r="Q8" i="6"/>
  <c r="AI8" i="6" s="1"/>
  <c r="R3" i="6"/>
  <c r="C27" i="6"/>
  <c r="D28" i="6"/>
  <c r="B28" i="6"/>
  <c r="C26" i="6"/>
  <c r="C28" i="6"/>
  <c r="B27" i="6"/>
  <c r="D27" i="6"/>
  <c r="U9" i="9"/>
  <c r="T9" i="9"/>
  <c r="W9" i="9"/>
  <c r="AM6" i="9"/>
  <c r="AE6" i="9"/>
  <c r="AH6" i="9"/>
  <c r="AK6" i="9"/>
  <c r="AL7" i="9"/>
  <c r="AG7" i="9"/>
  <c r="X7" i="9"/>
  <c r="AM10" i="9"/>
  <c r="AE10" i="9"/>
  <c r="AK10" i="9"/>
  <c r="T13" i="9"/>
  <c r="U13" i="9"/>
  <c r="AJ12" i="9"/>
  <c r="AI12" i="9"/>
  <c r="V12" i="9"/>
  <c r="U3" i="9"/>
  <c r="T3" i="9"/>
  <c r="AM5" i="9"/>
  <c r="AE5" i="9"/>
  <c r="AH5" i="9"/>
  <c r="AK5" i="9"/>
  <c r="AL6" i="9"/>
  <c r="AG6" i="9"/>
  <c r="X6" i="9"/>
  <c r="AJ7" i="9"/>
  <c r="W8" i="9"/>
  <c r="AA9" i="9"/>
  <c r="AC9" i="9" s="1"/>
  <c r="AL10" i="9"/>
  <c r="AG10" i="9"/>
  <c r="AF10" i="9"/>
  <c r="AJ10" i="9"/>
  <c r="X10" i="9"/>
  <c r="AH10" i="9"/>
  <c r="AC2" i="9"/>
  <c r="U2" i="9"/>
  <c r="S29" i="9"/>
  <c r="H27" i="9" s="1"/>
  <c r="T2" i="9"/>
  <c r="W3" i="9"/>
  <c r="AM4" i="9"/>
  <c r="AE4" i="9"/>
  <c r="AH4" i="9"/>
  <c r="AK4" i="9"/>
  <c r="AA4" i="9"/>
  <c r="AL5" i="9"/>
  <c r="AG5" i="9"/>
  <c r="X5" i="9"/>
  <c r="AF5" i="9"/>
  <c r="AA19" i="9"/>
  <c r="AA18" i="9"/>
  <c r="AC18" i="9" s="1"/>
  <c r="U17" i="9"/>
  <c r="AC17" i="9"/>
  <c r="AA17" i="9"/>
  <c r="W17" i="9"/>
  <c r="AC6" i="9"/>
  <c r="U6" i="9"/>
  <c r="T6" i="9"/>
  <c r="AJ6" i="9"/>
  <c r="AC16" i="9"/>
  <c r="U16" i="9"/>
  <c r="T16" i="9"/>
  <c r="AM8" i="9"/>
  <c r="AE8" i="9"/>
  <c r="AH8" i="9"/>
  <c r="AK8" i="9"/>
  <c r="AL9" i="9"/>
  <c r="AG9" i="9"/>
  <c r="X9" i="9"/>
  <c r="AF9" i="9"/>
  <c r="U10" i="9"/>
  <c r="T10" i="9"/>
  <c r="AM11" i="9"/>
  <c r="AE11" i="9"/>
  <c r="AK11" i="9"/>
  <c r="W11" i="9"/>
  <c r="AH11" i="9"/>
  <c r="AL12" i="9"/>
  <c r="AF12" i="9"/>
  <c r="AG12" i="9"/>
  <c r="X12" i="9"/>
  <c r="Q2" i="9"/>
  <c r="AI2" i="9" s="1"/>
  <c r="AL3" i="9"/>
  <c r="AG3" i="9"/>
  <c r="X3" i="9"/>
  <c r="AC4" i="9"/>
  <c r="U4" i="9"/>
  <c r="T4" i="9"/>
  <c r="AA15" i="9"/>
  <c r="U14" i="9"/>
  <c r="T14" i="9"/>
  <c r="AA16" i="9"/>
  <c r="AA14" i="9"/>
  <c r="AC14" i="9" s="1"/>
  <c r="AF7" i="9"/>
  <c r="AA10" i="9"/>
  <c r="AC10" i="9" s="1"/>
  <c r="AC8" i="9"/>
  <c r="U8" i="9"/>
  <c r="T8" i="9"/>
  <c r="AJ3" i="9"/>
  <c r="W4" i="9"/>
  <c r="AF6" i="9"/>
  <c r="AC7" i="9"/>
  <c r="U7" i="9"/>
  <c r="T7" i="9"/>
  <c r="AM9" i="9"/>
  <c r="AE9" i="9"/>
  <c r="AH9" i="9"/>
  <c r="AK9" i="9"/>
  <c r="AM3" i="9"/>
  <c r="AE3" i="9"/>
  <c r="AH3" i="9"/>
  <c r="AK3" i="9"/>
  <c r="AA3" i="9"/>
  <c r="AC3" i="9" s="1"/>
  <c r="AL4" i="9"/>
  <c r="AG4" i="9"/>
  <c r="X4" i="9"/>
  <c r="AF4" i="9"/>
  <c r="AC5" i="9"/>
  <c r="U5" i="9"/>
  <c r="T5" i="9"/>
  <c r="AJ5" i="9"/>
  <c r="AI6" i="9"/>
  <c r="W6" i="9"/>
  <c r="AC15" i="9"/>
  <c r="U15" i="9"/>
  <c r="T15" i="9"/>
  <c r="X15" i="9"/>
  <c r="AM7" i="9"/>
  <c r="AE7" i="9"/>
  <c r="AH7" i="9"/>
  <c r="AK7" i="9"/>
  <c r="AA7" i="9"/>
  <c r="AL8" i="9"/>
  <c r="AG8" i="9"/>
  <c r="X8" i="9"/>
  <c r="AF8" i="9"/>
  <c r="AA12" i="9"/>
  <c r="AA13" i="9"/>
  <c r="AC13" i="9" s="1"/>
  <c r="AC11" i="9"/>
  <c r="AA11" i="9"/>
  <c r="U11" i="9"/>
  <c r="AJ9" i="9"/>
  <c r="W10" i="9"/>
  <c r="AH14" i="9"/>
  <c r="AK14" i="9"/>
  <c r="W14" i="9"/>
  <c r="AL16" i="9"/>
  <c r="AG16" i="9"/>
  <c r="X16" i="9"/>
  <c r="AF16" i="9"/>
  <c r="AF17" i="9"/>
  <c r="AL17" i="9"/>
  <c r="X17" i="9"/>
  <c r="AK27" i="9"/>
  <c r="W27" i="9"/>
  <c r="AH27" i="9"/>
  <c r="AM27" i="9"/>
  <c r="AE27" i="9"/>
  <c r="AK24" i="9"/>
  <c r="AE24" i="9"/>
  <c r="AI24" i="9"/>
  <c r="AG27" i="9"/>
  <c r="X27" i="9"/>
  <c r="AF27" i="9"/>
  <c r="AL27" i="9"/>
  <c r="T20" i="9"/>
  <c r="AA20" i="9"/>
  <c r="AA21" i="9"/>
  <c r="AA22" i="9"/>
  <c r="AC21" i="9"/>
  <c r="T21" i="9"/>
  <c r="AC22" i="9"/>
  <c r="T22" i="9"/>
  <c r="AA27" i="9"/>
  <c r="U26" i="9"/>
  <c r="AA28" i="9"/>
  <c r="T26" i="9"/>
  <c r="AA26" i="9"/>
  <c r="AC26" i="9" s="1"/>
  <c r="T27" i="9"/>
  <c r="AC27" i="9"/>
  <c r="U27" i="9"/>
  <c r="AC28" i="9"/>
  <c r="U28" i="9"/>
  <c r="T28" i="9"/>
  <c r="AA25" i="9"/>
  <c r="AA23" i="9"/>
  <c r="AA24" i="9"/>
  <c r="AC24" i="9" s="1"/>
  <c r="AC23" i="9"/>
  <c r="T24" i="9"/>
  <c r="AC25" i="9"/>
  <c r="AH12" i="9"/>
  <c r="W12" i="9"/>
  <c r="AE12" i="9"/>
  <c r="AM12" i="9"/>
  <c r="AK13" i="9"/>
  <c r="AM13" i="9"/>
  <c r="AE13" i="9"/>
  <c r="W13" i="9"/>
  <c r="H21" i="9"/>
  <c r="H23" i="9"/>
  <c r="AE14" i="9"/>
  <c r="AJ15" i="9"/>
  <c r="AJ16" i="9"/>
  <c r="V16" i="9"/>
  <c r="T19" i="9"/>
  <c r="AF23" i="9"/>
  <c r="N23" i="9"/>
  <c r="AH23" i="9"/>
  <c r="P23" i="9"/>
  <c r="R23" i="9" s="1"/>
  <c r="U23" i="9"/>
  <c r="W24" i="9"/>
  <c r="T25" i="9"/>
  <c r="AJ27" i="9"/>
  <c r="V27" i="9"/>
  <c r="AM28" i="9"/>
  <c r="AE28" i="9"/>
  <c r="AH28" i="9"/>
  <c r="AK28" i="9"/>
  <c r="U18" i="9"/>
  <c r="AC19" i="9"/>
  <c r="U19" i="9"/>
  <c r="AC12" i="9"/>
  <c r="U12" i="9"/>
  <c r="AL14" i="9"/>
  <c r="AG14" i="9"/>
  <c r="X14" i="9"/>
  <c r="AF14" i="9"/>
  <c r="AI14" i="9"/>
  <c r="AF15" i="9"/>
  <c r="AL15" i="9"/>
  <c r="AG15" i="9"/>
  <c r="AH16" i="9"/>
  <c r="AK16" i="9"/>
  <c r="W16" i="9"/>
  <c r="T17" i="9"/>
  <c r="U20" i="9"/>
  <c r="V21" i="9"/>
  <c r="H22" i="9"/>
  <c r="AL22" i="9"/>
  <c r="AF22" i="9"/>
  <c r="AJ22" i="9"/>
  <c r="AL26" i="9"/>
  <c r="AF26" i="9"/>
  <c r="AJ26" i="9"/>
  <c r="AI27" i="9"/>
  <c r="W28" i="9"/>
  <c r="W15" i="9"/>
  <c r="AM15" i="9"/>
  <c r="AE15" i="9"/>
  <c r="AH15" i="9"/>
  <c r="R2" i="9"/>
  <c r="V2" i="9"/>
  <c r="V3" i="9"/>
  <c r="V4" i="9"/>
  <c r="V5" i="9"/>
  <c r="V6" i="9"/>
  <c r="V7" i="9"/>
  <c r="V8" i="9"/>
  <c r="V9" i="9"/>
  <c r="AI10" i="9"/>
  <c r="V10" i="9"/>
  <c r="AI11" i="9"/>
  <c r="X11" i="9"/>
  <c r="AL11" i="9"/>
  <c r="AJ14" i="9"/>
  <c r="V14" i="9"/>
  <c r="AM14" i="9"/>
  <c r="AK15" i="9"/>
  <c r="AE16" i="9"/>
  <c r="AK17" i="9"/>
  <c r="AH17" i="9"/>
  <c r="AM17" i="9"/>
  <c r="AJ20" i="9"/>
  <c r="AI20" i="9"/>
  <c r="V20" i="9"/>
  <c r="AC20" i="9"/>
  <c r="AK21" i="9"/>
  <c r="AE21" i="9"/>
  <c r="AI21" i="9"/>
  <c r="X22" i="9"/>
  <c r="T23" i="9"/>
  <c r="V24" i="9"/>
  <c r="AF25" i="9"/>
  <c r="N25" i="9"/>
  <c r="P25" i="9"/>
  <c r="R25" i="9" s="1"/>
  <c r="U25" i="9"/>
  <c r="X26" i="9"/>
  <c r="V13" i="9"/>
  <c r="H17" i="9"/>
  <c r="AM18" i="9"/>
  <c r="AH18" i="9"/>
  <c r="W18" i="9"/>
  <c r="AF18" i="9"/>
  <c r="AE20" i="9"/>
  <c r="AH22" i="9"/>
  <c r="R28" i="9"/>
  <c r="V15" i="9"/>
  <c r="AI15" i="9"/>
  <c r="AG17" i="9"/>
  <c r="AE17" i="9"/>
  <c r="X18" i="9"/>
  <c r="AG18" i="9"/>
  <c r="O19" i="9"/>
  <c r="Q19" i="9" s="1"/>
  <c r="N19" i="9"/>
  <c r="AK20" i="9"/>
  <c r="W20" i="9"/>
  <c r="AH20" i="9"/>
  <c r="AH21" i="9"/>
  <c r="AI22" i="9"/>
  <c r="AH24" i="9"/>
  <c r="V11" i="9"/>
  <c r="X13" i="9"/>
  <c r="N17" i="9"/>
  <c r="N29" i="9" s="1"/>
  <c r="AE18" i="9"/>
  <c r="AJ18" i="9"/>
  <c r="R19" i="9"/>
  <c r="AG19" i="9"/>
  <c r="P20" i="9"/>
  <c r="R20" i="9" s="1"/>
  <c r="M29" i="9"/>
  <c r="AF20" i="9"/>
  <c r="M30" i="9"/>
  <c r="Q22" i="9"/>
  <c r="Q23" i="9"/>
  <c r="Q25" i="9"/>
  <c r="Q26" i="9"/>
  <c r="AI28" i="9"/>
  <c r="P21" i="9"/>
  <c r="R21" i="9" s="1"/>
  <c r="U22" i="9"/>
  <c r="P24" i="9"/>
  <c r="R24" i="9" s="1"/>
  <c r="V18" i="9"/>
  <c r="U21" i="9"/>
  <c r="V22" i="9"/>
  <c r="U24" i="9"/>
  <c r="V26" i="9"/>
  <c r="V28" i="9"/>
  <c r="G31" i="8"/>
  <c r="K24" i="8" s="1"/>
  <c r="G32" i="8"/>
  <c r="H31" i="8"/>
  <c r="L24" i="8" s="1"/>
  <c r="H32" i="8"/>
  <c r="M5" i="8" s="1"/>
  <c r="N5" i="8" s="1"/>
  <c r="K34" i="8"/>
  <c r="K36" i="8"/>
  <c r="P9" i="6"/>
  <c r="R9" i="6" s="1"/>
  <c r="AK9" i="6" s="1"/>
  <c r="Q2" i="6"/>
  <c r="AG2" i="6" s="1"/>
  <c r="AF5" i="6"/>
  <c r="AD6" i="6"/>
  <c r="AC5" i="6"/>
  <c r="O6" i="6"/>
  <c r="AE6" i="6"/>
  <c r="AE3" i="6"/>
  <c r="R2" i="6"/>
  <c r="AE2" i="6" s="1"/>
  <c r="AI3" i="6"/>
  <c r="R4" i="6"/>
  <c r="AI9" i="6"/>
  <c r="AG5" i="6"/>
  <c r="AI5" i="6"/>
  <c r="AJ6" i="6"/>
  <c r="L12" i="6"/>
  <c r="M12" i="6"/>
  <c r="Q4" i="6"/>
  <c r="AI4" i="6" s="1"/>
  <c r="R8" i="6"/>
  <c r="AH6" i="6"/>
  <c r="AH5" i="6"/>
  <c r="O7" i="6"/>
  <c r="Q7" i="6" s="1"/>
  <c r="N7" i="6"/>
  <c r="AG9" i="6"/>
  <c r="AK5" i="6"/>
  <c r="M11" i="6"/>
  <c r="N8" i="6"/>
  <c r="L11" i="6"/>
  <c r="N11" i="5"/>
  <c r="O12" i="5"/>
  <c r="N12" i="5"/>
  <c r="Q11" i="5"/>
  <c r="Q12" i="5"/>
  <c r="S12" i="5" s="1"/>
  <c r="O13" i="5"/>
  <c r="O10" i="5"/>
  <c r="N10" i="5"/>
  <c r="O9" i="5"/>
  <c r="N9" i="5"/>
  <c r="Q9" i="5"/>
  <c r="S9" i="5" s="1"/>
  <c r="N8" i="5"/>
  <c r="Q10" i="5"/>
  <c r="S10" i="5" s="1"/>
  <c r="O8" i="5"/>
  <c r="Q8" i="5"/>
  <c r="S8" i="5" s="1"/>
  <c r="O6" i="5"/>
  <c r="N6" i="5"/>
  <c r="N7" i="5"/>
  <c r="O5" i="5"/>
  <c r="Q7" i="5"/>
  <c r="S7" i="5" s="1"/>
  <c r="N5" i="5"/>
  <c r="Q5" i="5"/>
  <c r="S5" i="5" s="1"/>
  <c r="Q6" i="5"/>
  <c r="S6" i="5" s="1"/>
  <c r="N3" i="5"/>
  <c r="N4" i="5"/>
  <c r="O4" i="5"/>
  <c r="M14" i="5"/>
  <c r="H20" i="5" s="1"/>
  <c r="Q3" i="5"/>
  <c r="S3" i="5" s="1"/>
  <c r="Q4" i="5"/>
  <c r="S4" i="5" s="1"/>
  <c r="N2" i="5"/>
  <c r="Q13" i="5"/>
  <c r="S13" i="5" s="1"/>
  <c r="S11" i="5"/>
  <c r="O2" i="5"/>
  <c r="Q2" i="5"/>
  <c r="S2" i="5" s="1"/>
  <c r="K24" i="5"/>
  <c r="K23" i="5"/>
  <c r="U21" i="2"/>
  <c r="R21" i="2"/>
  <c r="B17" i="2"/>
  <c r="B19" i="2"/>
  <c r="C18" i="2"/>
  <c r="C23" i="2"/>
  <c r="B15" i="2"/>
  <c r="B16" i="2"/>
  <c r="C17" i="2"/>
  <c r="D18" i="2"/>
  <c r="C19" i="2"/>
  <c r="B20" i="2"/>
  <c r="D21" i="2"/>
  <c r="B22" i="2"/>
  <c r="D23" i="2"/>
  <c r="C15" i="2"/>
  <c r="C16" i="2"/>
  <c r="D17" i="2"/>
  <c r="D19" i="2"/>
  <c r="C20" i="2"/>
  <c r="N14" i="1"/>
  <c r="L21" i="1" s="1"/>
  <c r="O14" i="1"/>
  <c r="L22" i="1" s="1"/>
  <c r="C16" i="1"/>
  <c r="C27" i="1" s="1"/>
  <c r="G44" i="1"/>
  <c r="B23" i="1"/>
  <c r="B34" i="1" s="1"/>
  <c r="B19" i="1"/>
  <c r="B30" i="1" s="1"/>
  <c r="D23" i="1"/>
  <c r="D34" i="1" s="1"/>
  <c r="D21" i="1"/>
  <c r="D32" i="1" s="1"/>
  <c r="D19" i="1"/>
  <c r="D30" i="1" s="1"/>
  <c r="D17" i="1"/>
  <c r="D28" i="1" s="1"/>
  <c r="D15" i="1"/>
  <c r="D26" i="1" s="1"/>
  <c r="B22" i="1"/>
  <c r="B33" i="1" s="1"/>
  <c r="B18" i="1"/>
  <c r="B29" i="1" s="1"/>
  <c r="C23" i="1"/>
  <c r="C34" i="1" s="1"/>
  <c r="C21" i="1"/>
  <c r="C32" i="1" s="1"/>
  <c r="C19" i="1"/>
  <c r="C30" i="1" s="1"/>
  <c r="C17" i="1"/>
  <c r="C28" i="1" s="1"/>
  <c r="C15" i="1"/>
  <c r="C26" i="1" s="1"/>
  <c r="B21" i="1"/>
  <c r="B32" i="1" s="1"/>
  <c r="B17" i="1"/>
  <c r="B28" i="1" s="1"/>
  <c r="D22" i="1"/>
  <c r="D33" i="1" s="1"/>
  <c r="D20" i="1"/>
  <c r="D31" i="1" s="1"/>
  <c r="D18" i="1"/>
  <c r="D29" i="1" s="1"/>
  <c r="D16" i="1"/>
  <c r="D27" i="1" s="1"/>
  <c r="B20" i="1"/>
  <c r="B31" i="1" s="1"/>
  <c r="B16" i="1"/>
  <c r="B27" i="1" s="1"/>
  <c r="C22" i="1"/>
  <c r="C33" i="1" s="1"/>
  <c r="C20" i="1"/>
  <c r="C31" i="1" s="1"/>
  <c r="C18" i="1"/>
  <c r="C29" i="1" s="1"/>
  <c r="G40" i="1"/>
  <c r="C39" i="6" l="1"/>
  <c r="S9" i="6"/>
  <c r="X3" i="6"/>
  <c r="D38" i="6"/>
  <c r="S5" i="6"/>
  <c r="D34" i="6"/>
  <c r="B33" i="6"/>
  <c r="S2" i="6"/>
  <c r="W10" i="6"/>
  <c r="C33" i="6"/>
  <c r="S8" i="6"/>
  <c r="D36" i="6"/>
  <c r="S7" i="6"/>
  <c r="C35" i="6"/>
  <c r="S10" i="6"/>
  <c r="X10" i="6"/>
  <c r="B35" i="6"/>
  <c r="S6" i="6"/>
  <c r="B38" i="6"/>
  <c r="S4" i="6"/>
  <c r="X4" i="6" s="1"/>
  <c r="K23" i="8"/>
  <c r="L22" i="8"/>
  <c r="X5" i="6"/>
  <c r="AE5" i="6"/>
  <c r="AD10" i="6"/>
  <c r="AF9" i="6"/>
  <c r="AH10" i="6"/>
  <c r="AE10" i="6"/>
  <c r="AJ10" i="6"/>
  <c r="AD5" i="6"/>
  <c r="AC8" i="6"/>
  <c r="X7" i="6"/>
  <c r="AJ7" i="6"/>
  <c r="AE7" i="6"/>
  <c r="AF8" i="6"/>
  <c r="AC10" i="6"/>
  <c r="AH3" i="6"/>
  <c r="AD3" i="6"/>
  <c r="AJ3" i="6"/>
  <c r="C37" i="6"/>
  <c r="AD2" i="6"/>
  <c r="AG10" i="6"/>
  <c r="AF10" i="6"/>
  <c r="B40" i="6"/>
  <c r="AI10" i="6"/>
  <c r="AK10" i="6"/>
  <c r="B39" i="6"/>
  <c r="D40" i="6"/>
  <c r="C36" i="6"/>
  <c r="C38" i="6"/>
  <c r="AH2" i="6"/>
  <c r="B37" i="6"/>
  <c r="D32" i="6"/>
  <c r="D33" i="6"/>
  <c r="AF2" i="6"/>
  <c r="C40" i="6"/>
  <c r="D37" i="6"/>
  <c r="B34" i="6"/>
  <c r="AC2" i="6"/>
  <c r="D35" i="6"/>
  <c r="B36" i="6"/>
  <c r="AI2" i="6"/>
  <c r="C32" i="6"/>
  <c r="D39" i="6"/>
  <c r="C34" i="6"/>
  <c r="AG4" i="6"/>
  <c r="H37" i="9"/>
  <c r="AL24" i="9"/>
  <c r="AG24" i="9"/>
  <c r="X24" i="9"/>
  <c r="AJ24" i="9"/>
  <c r="AF24" i="9"/>
  <c r="W19" i="9"/>
  <c r="AM19" i="9"/>
  <c r="AK19" i="9"/>
  <c r="AH19" i="9"/>
  <c r="AJ25" i="9"/>
  <c r="AI25" i="9"/>
  <c r="V25" i="9"/>
  <c r="W25" i="9"/>
  <c r="AM25" i="9"/>
  <c r="AE25" i="9"/>
  <c r="AK25" i="9"/>
  <c r="AF19" i="9"/>
  <c r="X19" i="9"/>
  <c r="AL19" i="9"/>
  <c r="AJ23" i="9"/>
  <c r="AI23" i="9"/>
  <c r="V23" i="9"/>
  <c r="N33" i="9"/>
  <c r="H39" i="9"/>
  <c r="O29" i="9"/>
  <c r="T29" i="9"/>
  <c r="AJ17" i="9"/>
  <c r="V17" i="9"/>
  <c r="AI17" i="9"/>
  <c r="AI29" i="9" s="1"/>
  <c r="Q29" i="9"/>
  <c r="Q30" i="9"/>
  <c r="AM2" i="9"/>
  <c r="AE2" i="9"/>
  <c r="AH2" i="9"/>
  <c r="AK2" i="9"/>
  <c r="W2" i="9"/>
  <c r="AL21" i="9"/>
  <c r="AG21" i="9"/>
  <c r="X21" i="9"/>
  <c r="AJ21" i="9"/>
  <c r="AF21" i="9"/>
  <c r="AJ19" i="9"/>
  <c r="AI19" i="9"/>
  <c r="V19" i="9"/>
  <c r="AG25" i="9"/>
  <c r="X25" i="9"/>
  <c r="AL25" i="9"/>
  <c r="V29" i="9"/>
  <c r="H31" i="9" s="1"/>
  <c r="P30" i="9"/>
  <c r="AM24" i="9"/>
  <c r="O30" i="9"/>
  <c r="AM26" i="9"/>
  <c r="AE26" i="9"/>
  <c r="AH26" i="9"/>
  <c r="W26" i="9"/>
  <c r="AK26" i="9"/>
  <c r="N30" i="9"/>
  <c r="U29" i="9"/>
  <c r="H30" i="9" s="1"/>
  <c r="W23" i="9"/>
  <c r="AM23" i="9"/>
  <c r="AE23" i="9"/>
  <c r="AK23" i="9"/>
  <c r="AM22" i="9"/>
  <c r="AE22" i="9"/>
  <c r="W22" i="9"/>
  <c r="AK22" i="9"/>
  <c r="AG20" i="9"/>
  <c r="X20" i="9"/>
  <c r="AL20" i="9"/>
  <c r="AI26" i="9"/>
  <c r="AE19" i="9"/>
  <c r="AL28" i="9"/>
  <c r="AJ28" i="9"/>
  <c r="AG28" i="9"/>
  <c r="X28" i="9"/>
  <c r="AF28" i="9"/>
  <c r="AH25" i="9"/>
  <c r="AM21" i="9"/>
  <c r="R29" i="9"/>
  <c r="R30" i="9"/>
  <c r="AL2" i="9"/>
  <c r="AG2" i="9"/>
  <c r="X2" i="9"/>
  <c r="AF2" i="9"/>
  <c r="AF29" i="9" s="1"/>
  <c r="AJ2" i="9"/>
  <c r="AG23" i="9"/>
  <c r="X23" i="9"/>
  <c r="AL23" i="9"/>
  <c r="AM20" i="9"/>
  <c r="P29" i="9"/>
  <c r="M4" i="8"/>
  <c r="K26" i="8"/>
  <c r="K27" i="8"/>
  <c r="M2" i="8"/>
  <c r="N2" i="8" s="1"/>
  <c r="K22" i="8"/>
  <c r="K25" i="8"/>
  <c r="K38" i="8"/>
  <c r="M3" i="8"/>
  <c r="N3" i="8" s="1"/>
  <c r="L23" i="8"/>
  <c r="L26" i="8"/>
  <c r="L25" i="8"/>
  <c r="L27" i="8"/>
  <c r="O5" i="8"/>
  <c r="O2" i="8"/>
  <c r="AH9" i="6"/>
  <c r="AK2" i="6"/>
  <c r="N11" i="6"/>
  <c r="Q6" i="6"/>
  <c r="AG6" i="6" s="1"/>
  <c r="AC7" i="6"/>
  <c r="W7" i="6"/>
  <c r="AF7" i="6"/>
  <c r="AJ8" i="6"/>
  <c r="AE8" i="6"/>
  <c r="X8" i="6"/>
  <c r="AJ4" i="6"/>
  <c r="AD4" i="6"/>
  <c r="AE4" i="6"/>
  <c r="AK3" i="6"/>
  <c r="W3" i="6"/>
  <c r="AC3" i="6"/>
  <c r="AF3" i="6"/>
  <c r="O11" i="6"/>
  <c r="AK4" i="6"/>
  <c r="AE9" i="6"/>
  <c r="W4" i="6"/>
  <c r="AF4" i="6"/>
  <c r="AC4" i="6"/>
  <c r="P11" i="6"/>
  <c r="AG3" i="6"/>
  <c r="AH4" i="6"/>
  <c r="AD8" i="6"/>
  <c r="AD9" i="6"/>
  <c r="N12" i="6"/>
  <c r="V7" i="6"/>
  <c r="AJ2" i="6"/>
  <c r="R12" i="6"/>
  <c r="R11" i="6"/>
  <c r="P12" i="6"/>
  <c r="AK8" i="6"/>
  <c r="O12" i="6"/>
  <c r="AJ9" i="6"/>
  <c r="AG8" i="6"/>
  <c r="AH8" i="6"/>
  <c r="AH7" i="6"/>
  <c r="AG7" i="6"/>
  <c r="AK7" i="6"/>
  <c r="AI7" i="6"/>
  <c r="N14" i="5"/>
  <c r="H21" i="5" s="1"/>
  <c r="H26" i="5"/>
  <c r="O14" i="5"/>
  <c r="H22" i="5" s="1"/>
  <c r="H27" i="5" s="1"/>
  <c r="K28" i="5"/>
  <c r="N20" i="5" s="1"/>
  <c r="N21" i="5" s="1"/>
  <c r="N22" i="5"/>
  <c r="K26" i="5"/>
  <c r="U25" i="2"/>
  <c r="G43" i="1"/>
  <c r="G45" i="1" s="1"/>
  <c r="W2" i="6" l="1"/>
  <c r="V2" i="6"/>
  <c r="T9" i="6"/>
  <c r="U9" i="6"/>
  <c r="V9" i="6"/>
  <c r="W9" i="6"/>
  <c r="U10" i="6"/>
  <c r="T10" i="6"/>
  <c r="V10" i="6"/>
  <c r="X9" i="6"/>
  <c r="U3" i="6"/>
  <c r="V3" i="6"/>
  <c r="T3" i="6"/>
  <c r="U7" i="6"/>
  <c r="T7" i="6"/>
  <c r="S11" i="6"/>
  <c r="H15" i="6" s="1"/>
  <c r="U2" i="6"/>
  <c r="T2" i="6"/>
  <c r="U8" i="6"/>
  <c r="T8" i="6"/>
  <c r="H25" i="6"/>
  <c r="U4" i="6"/>
  <c r="V4" i="6"/>
  <c r="T4" i="6"/>
  <c r="U5" i="6"/>
  <c r="T5" i="6"/>
  <c r="W5" i="6"/>
  <c r="V5" i="6"/>
  <c r="X2" i="6"/>
  <c r="X11" i="6" s="1"/>
  <c r="H21" i="6" s="1"/>
  <c r="W8" i="6"/>
  <c r="U6" i="6"/>
  <c r="T6" i="6"/>
  <c r="V6" i="6"/>
  <c r="X6" i="6"/>
  <c r="V8" i="6"/>
  <c r="M6" i="8"/>
  <c r="H35" i="8" s="1"/>
  <c r="Q11" i="6"/>
  <c r="AI6" i="6"/>
  <c r="X29" i="9"/>
  <c r="H33" i="9" s="1"/>
  <c r="W29" i="9"/>
  <c r="H32" i="9" s="1"/>
  <c r="AM29" i="9"/>
  <c r="AG29" i="9"/>
  <c r="AK29" i="9"/>
  <c r="AJ29" i="9"/>
  <c r="AL29" i="9"/>
  <c r="AH29" i="9"/>
  <c r="H29" i="9"/>
  <c r="AE29" i="9"/>
  <c r="K33" i="9"/>
  <c r="K34" i="9"/>
  <c r="N36" i="9" s="1"/>
  <c r="Q35" i="9" s="1"/>
  <c r="K36" i="9"/>
  <c r="K35" i="9"/>
  <c r="N37" i="9" s="1"/>
  <c r="Q36" i="9" s="1"/>
  <c r="O6" i="8"/>
  <c r="H37" i="8" s="1"/>
  <c r="H42" i="8" s="1"/>
  <c r="H46" i="8" s="1"/>
  <c r="O3" i="8"/>
  <c r="K40" i="8"/>
  <c r="O4" i="8"/>
  <c r="N4" i="8"/>
  <c r="N6" i="8" s="1"/>
  <c r="H36" i="8" s="1"/>
  <c r="H41" i="8" s="1"/>
  <c r="H45" i="8" s="1"/>
  <c r="N25" i="5"/>
  <c r="N29" i="5" s="1"/>
  <c r="N24" i="5"/>
  <c r="N28" i="5" s="1"/>
  <c r="N23" i="5"/>
  <c r="N27" i="5" s="1"/>
  <c r="AJ11" i="6"/>
  <c r="AF6" i="6"/>
  <c r="AF11" i="6" s="1"/>
  <c r="AK6" i="6"/>
  <c r="AK11" i="6" s="1"/>
  <c r="W6" i="6"/>
  <c r="AD11" i="6"/>
  <c r="Q12" i="6"/>
  <c r="AC6" i="6"/>
  <c r="AC11" i="6" s="1"/>
  <c r="AE11" i="6"/>
  <c r="AG11" i="6"/>
  <c r="AI11" i="6"/>
  <c r="AH11" i="6"/>
  <c r="P5" i="5"/>
  <c r="P6" i="5"/>
  <c r="P8" i="5"/>
  <c r="P3" i="5"/>
  <c r="P9" i="5"/>
  <c r="P2" i="5"/>
  <c r="P4" i="5"/>
  <c r="P13" i="5"/>
  <c r="P10" i="5"/>
  <c r="H25" i="5"/>
  <c r="P12" i="5"/>
  <c r="P11" i="5"/>
  <c r="P7" i="5"/>
  <c r="V11" i="6" l="1"/>
  <c r="H19" i="6" s="1"/>
  <c r="K19" i="6" s="1"/>
  <c r="K21" i="6"/>
  <c r="T11" i="6"/>
  <c r="H17" i="6" s="1"/>
  <c r="U11" i="6"/>
  <c r="H18" i="6" s="1"/>
  <c r="W11" i="6"/>
  <c r="H20" i="6" s="1"/>
  <c r="K25" i="6"/>
  <c r="K24" i="6"/>
  <c r="K27" i="6"/>
  <c r="N21" i="6" s="1"/>
  <c r="Q20" i="6" s="1"/>
  <c r="K26" i="6"/>
  <c r="N19" i="6" s="1"/>
  <c r="Q18" i="6" s="1"/>
  <c r="H40" i="8"/>
  <c r="H44" i="8" s="1"/>
  <c r="O30" i="8"/>
  <c r="O31" i="8" s="1"/>
  <c r="O33" i="8" s="1"/>
  <c r="O37" i="8" s="1"/>
  <c r="N35" i="9"/>
  <c r="Q34" i="9" s="1"/>
  <c r="Y21" i="9"/>
  <c r="AB21" i="9" s="1"/>
  <c r="Y22" i="9"/>
  <c r="AB22" i="9" s="1"/>
  <c r="Y23" i="9"/>
  <c r="AB23" i="9" s="1"/>
  <c r="Y20" i="9"/>
  <c r="AB20" i="9" s="1"/>
  <c r="Y10" i="9"/>
  <c r="AB10" i="9" s="1"/>
  <c r="Y6" i="9"/>
  <c r="AB6" i="9" s="1"/>
  <c r="Y2" i="9"/>
  <c r="AB2" i="9" s="1"/>
  <c r="Y28" i="9"/>
  <c r="AB28" i="9" s="1"/>
  <c r="Y18" i="9"/>
  <c r="AB18" i="9" s="1"/>
  <c r="Y16" i="9"/>
  <c r="AB16" i="9" s="1"/>
  <c r="Y17" i="9"/>
  <c r="AB17" i="9" s="1"/>
  <c r="Y9" i="9"/>
  <c r="AB9" i="9" s="1"/>
  <c r="Y5" i="9"/>
  <c r="AB5" i="9" s="1"/>
  <c r="Y19" i="9"/>
  <c r="AB19" i="9" s="1"/>
  <c r="Y27" i="9"/>
  <c r="AB27" i="9" s="1"/>
  <c r="Y14" i="9"/>
  <c r="AB14" i="9" s="1"/>
  <c r="Y15" i="9"/>
  <c r="AB15" i="9" s="1"/>
  <c r="Y8" i="9"/>
  <c r="AB8" i="9" s="1"/>
  <c r="Y4" i="9"/>
  <c r="AB4" i="9" s="1"/>
  <c r="Y11" i="9"/>
  <c r="AB11" i="9" s="1"/>
  <c r="Y24" i="9"/>
  <c r="AB24" i="9" s="1"/>
  <c r="Y26" i="9"/>
  <c r="AB26" i="9" s="1"/>
  <c r="Y25" i="9"/>
  <c r="AB25" i="9" s="1"/>
  <c r="Y12" i="9"/>
  <c r="AB12" i="9" s="1"/>
  <c r="Y13" i="9"/>
  <c r="AB13" i="9" s="1"/>
  <c r="Y7" i="9"/>
  <c r="AB7" i="9" s="1"/>
  <c r="Y3" i="9"/>
  <c r="AB3" i="9" s="1"/>
  <c r="N38" i="9"/>
  <c r="Q37" i="9" s="1"/>
  <c r="H28" i="9"/>
  <c r="N39" i="9"/>
  <c r="Q38" i="9" s="1"/>
  <c r="P5" i="8"/>
  <c r="Q5" i="8" s="1"/>
  <c r="P4" i="8"/>
  <c r="Q4" i="8" s="1"/>
  <c r="P2" i="8"/>
  <c r="Q2" i="8" s="1"/>
  <c r="P3" i="8"/>
  <c r="Q3" i="8" s="1"/>
  <c r="R2" i="5"/>
  <c r="R5" i="5"/>
  <c r="R6" i="5"/>
  <c r="R7" i="5"/>
  <c r="R12" i="5"/>
  <c r="R4" i="5"/>
  <c r="R9" i="5"/>
  <c r="R10" i="5"/>
  <c r="R11" i="5"/>
  <c r="R13" i="5"/>
  <c r="R8" i="5"/>
  <c r="R3" i="5"/>
  <c r="Y9" i="6" l="1"/>
  <c r="AA9" i="6" s="1"/>
  <c r="K20" i="6"/>
  <c r="N18" i="6"/>
  <c r="Q17" i="6" s="1"/>
  <c r="K18" i="6"/>
  <c r="K17" i="6"/>
  <c r="Y2" i="6"/>
  <c r="AA2" i="6" s="1"/>
  <c r="N17" i="6"/>
  <c r="Q16" i="6" s="1"/>
  <c r="O34" i="8"/>
  <c r="O38" i="8" s="1"/>
  <c r="O35" i="8"/>
  <c r="O39" i="8" s="1"/>
  <c r="N20" i="6"/>
  <c r="Q19" i="6" s="1"/>
  <c r="H16" i="6"/>
  <c r="Z2" i="6" s="1"/>
  <c r="Y7" i="6"/>
  <c r="AA7" i="6" s="1"/>
  <c r="Y5" i="6"/>
  <c r="AA5" i="6" s="1"/>
  <c r="Y3" i="6"/>
  <c r="AA3" i="6" s="1"/>
  <c r="Y8" i="6"/>
  <c r="AA8" i="6" s="1"/>
  <c r="Y4" i="6"/>
  <c r="AA4" i="6" s="1"/>
  <c r="Y6" i="6"/>
  <c r="AA6" i="6" s="1"/>
  <c r="Y10" i="6"/>
  <c r="AA10" i="6" s="1"/>
  <c r="Z28" i="9"/>
  <c r="Z26" i="9"/>
  <c r="Z22" i="9"/>
  <c r="Z18" i="9"/>
  <c r="N34" i="9"/>
  <c r="Q33" i="9" s="1"/>
  <c r="Z25" i="9"/>
  <c r="Z23" i="9"/>
  <c r="Z19" i="9"/>
  <c r="Z20" i="9"/>
  <c r="Z17" i="9"/>
  <c r="Z11" i="9"/>
  <c r="Z10" i="9"/>
  <c r="Z15" i="9"/>
  <c r="Z24" i="9"/>
  <c r="Z21" i="9"/>
  <c r="Z13" i="9"/>
  <c r="Z12" i="9"/>
  <c r="Z9" i="9"/>
  <c r="Z8" i="9"/>
  <c r="Z7" i="9"/>
  <c r="Z6" i="9"/>
  <c r="Z5" i="9"/>
  <c r="Z4" i="9"/>
  <c r="Z3" i="9"/>
  <c r="Z2" i="9"/>
  <c r="Z16" i="9"/>
  <c r="Z27" i="9"/>
  <c r="Z14" i="9"/>
  <c r="H36" i="9"/>
  <c r="H38" i="9" s="1"/>
  <c r="H40" i="9" s="1"/>
  <c r="K41" i="8"/>
  <c r="K42" i="8" s="1"/>
  <c r="D23" i="8"/>
  <c r="H29" i="5"/>
  <c r="K27" i="5"/>
  <c r="K29" i="5" s="1"/>
  <c r="K30" i="5" s="1"/>
  <c r="Z5" i="6" l="1"/>
  <c r="K16" i="6"/>
  <c r="I11" i="10"/>
  <c r="I23" i="10" s="1"/>
  <c r="D35" i="8"/>
  <c r="H32" i="6"/>
  <c r="M3" i="10" s="1"/>
  <c r="H34" i="6"/>
  <c r="M5" i="10" s="1"/>
  <c r="M17" i="10" s="1"/>
  <c r="H36" i="6"/>
  <c r="M7" i="10" s="1"/>
  <c r="M19" i="10" s="1"/>
  <c r="H38" i="6"/>
  <c r="M9" i="10" s="1"/>
  <c r="H40" i="6"/>
  <c r="M11" i="10" s="1"/>
  <c r="M23" i="10" s="1"/>
  <c r="G35" i="6"/>
  <c r="L6" i="10" s="1"/>
  <c r="G39" i="6"/>
  <c r="L10" i="10" s="1"/>
  <c r="L22" i="10" s="1"/>
  <c r="I32" i="6"/>
  <c r="N3" i="10" s="1"/>
  <c r="I34" i="6"/>
  <c r="N5" i="10" s="1"/>
  <c r="N17" i="10" s="1"/>
  <c r="I36" i="6"/>
  <c r="N7" i="10" s="1"/>
  <c r="N19" i="10" s="1"/>
  <c r="I38" i="6"/>
  <c r="N9" i="10" s="1"/>
  <c r="I40" i="6"/>
  <c r="N11" i="10" s="1"/>
  <c r="N23" i="10" s="1"/>
  <c r="G36" i="6"/>
  <c r="L7" i="10" s="1"/>
  <c r="L19" i="10" s="1"/>
  <c r="G40" i="6"/>
  <c r="L11" i="10" s="1"/>
  <c r="L23" i="10" s="1"/>
  <c r="H33" i="6"/>
  <c r="M4" i="10" s="1"/>
  <c r="M16" i="10" s="1"/>
  <c r="H35" i="6"/>
  <c r="M6" i="10" s="1"/>
  <c r="H37" i="6"/>
  <c r="M8" i="10" s="1"/>
  <c r="M20" i="10" s="1"/>
  <c r="H39" i="6"/>
  <c r="M10" i="10" s="1"/>
  <c r="M22" i="10" s="1"/>
  <c r="G33" i="6"/>
  <c r="L4" i="10" s="1"/>
  <c r="L16" i="10" s="1"/>
  <c r="G37" i="6"/>
  <c r="L8" i="10" s="1"/>
  <c r="L20" i="10" s="1"/>
  <c r="G32" i="6"/>
  <c r="L3" i="10" s="1"/>
  <c r="N16" i="6"/>
  <c r="Q15" i="6" s="1"/>
  <c r="I33" i="6"/>
  <c r="N4" i="10" s="1"/>
  <c r="N16" i="10" s="1"/>
  <c r="I35" i="6"/>
  <c r="N6" i="10" s="1"/>
  <c r="I37" i="6"/>
  <c r="N8" i="10" s="1"/>
  <c r="N20" i="10" s="1"/>
  <c r="I39" i="6"/>
  <c r="N10" i="10" s="1"/>
  <c r="N22" i="10" s="1"/>
  <c r="G34" i="6"/>
  <c r="L5" i="10" s="1"/>
  <c r="L17" i="10" s="1"/>
  <c r="G38" i="6"/>
  <c r="L9" i="10" s="1"/>
  <c r="Z7" i="6"/>
  <c r="Z3" i="6"/>
  <c r="Z8" i="6"/>
  <c r="Z9" i="6"/>
  <c r="Z6" i="6"/>
  <c r="Z10" i="6"/>
  <c r="H24" i="6"/>
  <c r="H26" i="6" s="1"/>
  <c r="H28" i="6" s="1"/>
  <c r="Z4" i="6"/>
  <c r="D18" i="8"/>
  <c r="B18" i="8"/>
  <c r="C22" i="8"/>
  <c r="D15" i="8"/>
  <c r="B21" i="8"/>
  <c r="B20" i="8"/>
  <c r="D20" i="8"/>
  <c r="B23" i="8"/>
  <c r="B22" i="8"/>
  <c r="C19" i="8"/>
  <c r="C23" i="8"/>
  <c r="B15" i="8"/>
  <c r="B16" i="8"/>
  <c r="D21" i="8"/>
  <c r="C16" i="8"/>
  <c r="C15" i="8"/>
  <c r="C20" i="8"/>
  <c r="D16" i="8"/>
  <c r="C17" i="8"/>
  <c r="D22" i="8"/>
  <c r="D17" i="8"/>
  <c r="C18" i="8"/>
  <c r="B17" i="8"/>
  <c r="C21" i="8"/>
  <c r="B19" i="8"/>
  <c r="D19" i="8"/>
  <c r="H30" i="5"/>
  <c r="H31" i="5"/>
  <c r="O28" i="6" l="1"/>
  <c r="N31" i="6"/>
  <c r="P33" i="6"/>
  <c r="N28" i="6"/>
  <c r="O33" i="6"/>
  <c r="P28" i="6"/>
  <c r="O31" i="6"/>
  <c r="N26" i="6"/>
  <c r="O29" i="6"/>
  <c r="P26" i="6"/>
  <c r="N27" i="6"/>
  <c r="P29" i="6"/>
  <c r="O32" i="6"/>
  <c r="O25" i="6"/>
  <c r="O27" i="6"/>
  <c r="N30" i="6"/>
  <c r="P32" i="6"/>
  <c r="P25" i="6"/>
  <c r="P27" i="6"/>
  <c r="O30" i="6"/>
  <c r="N33" i="6"/>
  <c r="N25" i="6"/>
  <c r="N29" i="6"/>
  <c r="P31" i="6"/>
  <c r="O26" i="6"/>
  <c r="N32" i="6"/>
  <c r="P30" i="6"/>
  <c r="I10" i="10"/>
  <c r="I22" i="10" s="1"/>
  <c r="D34" i="8"/>
  <c r="B27" i="8"/>
  <c r="G3" i="10"/>
  <c r="I3" i="10"/>
  <c r="D27" i="8"/>
  <c r="H5" i="10"/>
  <c r="H17" i="10" s="1"/>
  <c r="C29" i="8"/>
  <c r="H11" i="10"/>
  <c r="H23" i="10" s="1"/>
  <c r="C35" i="8"/>
  <c r="H10" i="10"/>
  <c r="H22" i="10" s="1"/>
  <c r="C34" i="8"/>
  <c r="I7" i="10"/>
  <c r="I19" i="10" s="1"/>
  <c r="D31" i="8"/>
  <c r="I4" i="10"/>
  <c r="I16" i="10" s="1"/>
  <c r="D28" i="8"/>
  <c r="H7" i="10"/>
  <c r="H19" i="10" s="1"/>
  <c r="C31" i="8"/>
  <c r="G6" i="10"/>
  <c r="B30" i="8"/>
  <c r="H8" i="10"/>
  <c r="H20" i="10" s="1"/>
  <c r="C32" i="8"/>
  <c r="D30" i="8"/>
  <c r="I6" i="10"/>
  <c r="B31" i="8"/>
  <c r="G7" i="10"/>
  <c r="G19" i="10" s="1"/>
  <c r="G10" i="10"/>
  <c r="G22" i="10" s="1"/>
  <c r="B34" i="8"/>
  <c r="C33" i="8"/>
  <c r="H9" i="10"/>
  <c r="H3" i="10"/>
  <c r="C27" i="8"/>
  <c r="G11" i="10"/>
  <c r="G23" i="10" s="1"/>
  <c r="B35" i="8"/>
  <c r="G5" i="10"/>
  <c r="G17" i="10" s="1"/>
  <c r="B29" i="8"/>
  <c r="C28" i="8"/>
  <c r="H4" i="10"/>
  <c r="H16" i="10" s="1"/>
  <c r="I8" i="10"/>
  <c r="I20" i="10" s="1"/>
  <c r="D32" i="8"/>
  <c r="H6" i="10"/>
  <c r="C30" i="8"/>
  <c r="I9" i="10"/>
  <c r="D33" i="8"/>
  <c r="G8" i="10"/>
  <c r="G20" i="10" s="1"/>
  <c r="B32" i="8"/>
  <c r="I5" i="10"/>
  <c r="I17" i="10" s="1"/>
  <c r="D29" i="8"/>
  <c r="G4" i="10"/>
  <c r="G16" i="10" s="1"/>
  <c r="B28" i="8"/>
  <c r="G9" i="10"/>
  <c r="B33" i="8"/>
  <c r="L35" i="10"/>
  <c r="L41" i="10" s="1"/>
  <c r="L21" i="10"/>
  <c r="N34" i="10"/>
  <c r="N40" i="10" s="1"/>
  <c r="N18" i="10"/>
  <c r="M18" i="10"/>
  <c r="M34" i="10"/>
  <c r="M40" i="10" s="1"/>
  <c r="N33" i="10"/>
  <c r="N39" i="10" s="1"/>
  <c r="N15" i="10"/>
  <c r="M35" i="10"/>
  <c r="M41" i="10" s="1"/>
  <c r="M21" i="10"/>
  <c r="N35" i="10"/>
  <c r="N41" i="10" s="1"/>
  <c r="N21" i="10"/>
  <c r="L18" i="10"/>
  <c r="L34" i="10"/>
  <c r="L40" i="10" s="1"/>
  <c r="L33" i="10"/>
  <c r="L39" i="10" s="1"/>
  <c r="L15" i="10"/>
  <c r="M33" i="10"/>
  <c r="M39" i="10" s="1"/>
  <c r="M15" i="10"/>
  <c r="C16" i="5"/>
  <c r="C18" i="5"/>
  <c r="D19" i="5"/>
  <c r="B18" i="5"/>
  <c r="C17" i="5"/>
  <c r="D22" i="5"/>
  <c r="B28" i="5"/>
  <c r="C22" i="5"/>
  <c r="D32" i="5"/>
  <c r="B19" i="5"/>
  <c r="D17" i="5"/>
  <c r="C23" i="5"/>
  <c r="C15" i="5"/>
  <c r="D20" i="5"/>
  <c r="B15" i="5"/>
  <c r="C20" i="5"/>
  <c r="B23" i="5"/>
  <c r="C34" i="5"/>
  <c r="D23" i="5"/>
  <c r="D15" i="5"/>
  <c r="C21" i="5"/>
  <c r="B21" i="5"/>
  <c r="D18" i="5"/>
  <c r="B20" i="5"/>
  <c r="D21" i="5"/>
  <c r="B22" i="5"/>
  <c r="C19" i="5"/>
  <c r="B17" i="5"/>
  <c r="D16" i="5"/>
  <c r="B16" i="5"/>
  <c r="D33" i="5"/>
  <c r="B35" i="5"/>
  <c r="B29" i="5"/>
  <c r="C31" i="5"/>
  <c r="C33" i="5"/>
  <c r="B36" i="5"/>
  <c r="C29" i="5"/>
  <c r="D29" i="5"/>
  <c r="B33" i="5"/>
  <c r="D36" i="5"/>
  <c r="D30" i="5"/>
  <c r="B31" i="5"/>
  <c r="C28" i="5"/>
  <c r="D31" i="5"/>
  <c r="D34" i="5"/>
  <c r="C35" i="5"/>
  <c r="B30" i="5"/>
  <c r="C32" i="5"/>
  <c r="D28" i="5"/>
  <c r="D35" i="5"/>
  <c r="C30" i="5"/>
  <c r="B32" i="5"/>
  <c r="B34" i="5"/>
  <c r="C36" i="5"/>
  <c r="I21" i="10" l="1"/>
  <c r="I35" i="10"/>
  <c r="I41" i="10" s="1"/>
  <c r="H34" i="10"/>
  <c r="H40" i="10" s="1"/>
  <c r="H18" i="10"/>
  <c r="I18" i="10"/>
  <c r="I34" i="10"/>
  <c r="I40" i="10" s="1"/>
  <c r="H15" i="10"/>
  <c r="H33" i="10"/>
  <c r="H39" i="10" s="1"/>
  <c r="G35" i="10"/>
  <c r="G41" i="10" s="1"/>
  <c r="G21" i="10"/>
  <c r="H35" i="10"/>
  <c r="H41" i="10" s="1"/>
  <c r="H21" i="10"/>
  <c r="I15" i="10"/>
  <c r="I33" i="10"/>
  <c r="I39" i="10" s="1"/>
  <c r="G33" i="10"/>
  <c r="G39" i="10" s="1"/>
  <c r="G15" i="10"/>
  <c r="G34" i="10"/>
  <c r="G40" i="10" s="1"/>
  <c r="G18" i="10"/>
</calcChain>
</file>

<file path=xl/sharedStrings.xml><?xml version="1.0" encoding="utf-8"?>
<sst xmlns="http://schemas.openxmlformats.org/spreadsheetml/2006/main" count="413" uniqueCount="127">
  <si>
    <t>pr/re</t>
  </si>
  <si>
    <t>x1</t>
  </si>
  <si>
    <t>x2</t>
  </si>
  <si>
    <t>сумм</t>
  </si>
  <si>
    <t>сумм кв</t>
  </si>
  <si>
    <t>b0</t>
  </si>
  <si>
    <t>y</t>
  </si>
  <si>
    <t>x1*y</t>
  </si>
  <si>
    <t>x2*y</t>
  </si>
  <si>
    <t>b1</t>
  </si>
  <si>
    <t>b2</t>
  </si>
  <si>
    <t>MAPLE</t>
  </si>
  <si>
    <t>from</t>
  </si>
  <si>
    <t>a0</t>
  </si>
  <si>
    <t>a1</t>
  </si>
  <si>
    <t>a2</t>
  </si>
  <si>
    <t>c</t>
  </si>
  <si>
    <t>→</t>
  </si>
  <si>
    <t>m</t>
  </si>
  <si>
    <t>n</t>
  </si>
  <si>
    <t>approx:</t>
  </si>
  <si>
    <t>k</t>
  </si>
  <si>
    <t>N</t>
  </si>
  <si>
    <t>f1</t>
  </si>
  <si>
    <t>f2</t>
  </si>
  <si>
    <t>p</t>
  </si>
  <si>
    <t>Fтабл</t>
  </si>
  <si>
    <t>Sад</t>
  </si>
  <si>
    <t>F</t>
  </si>
  <si>
    <t>разность от среднего по эксперементу</t>
  </si>
  <si>
    <t>средние по эксперименту Nu</t>
  </si>
  <si>
    <t>разность Nu</t>
  </si>
  <si>
    <t>S{Nu}</t>
  </si>
  <si>
    <t>ПФЭ 2^2</t>
  </si>
  <si>
    <t>линеариз</t>
  </si>
  <si>
    <t>кодир</t>
  </si>
  <si>
    <t>таблица</t>
  </si>
  <si>
    <t>коэф в кодир</t>
  </si>
  <si>
    <t>y^</t>
  </si>
  <si>
    <t>y - y^</t>
  </si>
  <si>
    <t>y ср*</t>
  </si>
  <si>
    <t>y - y ср*</t>
  </si>
  <si>
    <t>Итогов приближ Nu</t>
  </si>
  <si>
    <t>Sад2</t>
  </si>
  <si>
    <t>S{y}2</t>
  </si>
  <si>
    <t>S_bj</t>
  </si>
  <si>
    <t>S_bj2</t>
  </si>
  <si>
    <t>t_af</t>
  </si>
  <si>
    <t>f</t>
  </si>
  <si>
    <t>t_0</t>
  </si>
  <si>
    <t>t_1</t>
  </si>
  <si>
    <t>t_2</t>
  </si>
  <si>
    <t>коэф в линеар</t>
  </si>
  <si>
    <t>x2/x1</t>
  </si>
  <si>
    <t>коэф в регр</t>
  </si>
  <si>
    <t>лин приближ Nu</t>
  </si>
  <si>
    <t>приближ Nu по исх формуле</t>
  </si>
  <si>
    <t>Модель</t>
  </si>
  <si>
    <t>Коэф b0</t>
  </si>
  <si>
    <t>Коэф b1</t>
  </si>
  <si>
    <t>Коэф b2</t>
  </si>
  <si>
    <t>зв точки</t>
  </si>
  <si>
    <t>центр плана</t>
  </si>
  <si>
    <t>x1*x2</t>
  </si>
  <si>
    <t>b12</t>
  </si>
  <si>
    <t>x1*x1</t>
  </si>
  <si>
    <t>x2*x2</t>
  </si>
  <si>
    <t>alpha</t>
  </si>
  <si>
    <t>beta</t>
  </si>
  <si>
    <t>(x1*x1)^</t>
  </si>
  <si>
    <t>(x2*x2)^</t>
  </si>
  <si>
    <t>Проверка</t>
  </si>
  <si>
    <t>x1*(x1*x1)^</t>
  </si>
  <si>
    <t>x2*(x2*x2)^</t>
  </si>
  <si>
    <t>x2*(x1*x1)^</t>
  </si>
  <si>
    <t>x1*(x2*x2)^</t>
  </si>
  <si>
    <t>(x1*x1)^*(x2*x2)^</t>
  </si>
  <si>
    <t>x1*x2*(x2*x2)^</t>
  </si>
  <si>
    <t>x1*x2*(x1*x1)^</t>
  </si>
  <si>
    <t>(x1*x1)^*(x1*x1)^</t>
  </si>
  <si>
    <t>(x2*x2)^*(x2*x2)^</t>
  </si>
  <si>
    <t>N0</t>
  </si>
  <si>
    <t>N0+alpha^2</t>
  </si>
  <si>
    <t>x1*x2*y</t>
  </si>
  <si>
    <t>b11</t>
  </si>
  <si>
    <t>b22</t>
  </si>
  <si>
    <t>(x1*x1)^*y</t>
  </si>
  <si>
    <t>(x2*x2)^*y</t>
  </si>
  <si>
    <t>ортогональности</t>
  </si>
  <si>
    <t>y^ (ч/з (b0)^)</t>
  </si>
  <si>
    <t>кол-во факт</t>
  </si>
  <si>
    <t>ПФЭ</t>
  </si>
  <si>
    <t>кол-во повт</t>
  </si>
  <si>
    <t>кол коэф</t>
  </si>
  <si>
    <t>b0^</t>
  </si>
  <si>
    <t>S(b0^)2</t>
  </si>
  <si>
    <t>S(bi)2</t>
  </si>
  <si>
    <t>S(b12)2</t>
  </si>
  <si>
    <t>S(bii)2</t>
  </si>
  <si>
    <t xml:space="preserve"> </t>
  </si>
  <si>
    <t>t_12</t>
  </si>
  <si>
    <t>t_11</t>
  </si>
  <si>
    <t>t_22</t>
  </si>
  <si>
    <t>Коэф b12</t>
  </si>
  <si>
    <t>Коэф b11</t>
  </si>
  <si>
    <t>Коэф b22</t>
  </si>
  <si>
    <t>LN(pr)/LN(re)</t>
  </si>
  <si>
    <t>Средние</t>
  </si>
  <si>
    <t>коэф в кодир (сердние)</t>
  </si>
  <si>
    <t>кодир - ср</t>
  </si>
  <si>
    <r>
      <rPr>
        <sz val="11"/>
        <color rgb="FFC00000"/>
        <rFont val="Calibri"/>
        <family val="2"/>
        <charset val="204"/>
        <scheme val="minor"/>
      </rPr>
      <t>LN(Nu-0,43)</t>
    </r>
    <r>
      <rPr>
        <sz val="11"/>
        <color theme="1"/>
        <rFont val="Calibri"/>
        <family val="2"/>
        <scheme val="minor"/>
      </rPr>
      <t xml:space="preserve"> = LN(c) + m*</t>
    </r>
    <r>
      <rPr>
        <sz val="11"/>
        <color rgb="FF0070C0"/>
        <rFont val="Calibri"/>
        <family val="2"/>
        <charset val="204"/>
        <scheme val="minor"/>
      </rPr>
      <t>LN(Re)</t>
    </r>
    <r>
      <rPr>
        <sz val="11"/>
        <color theme="1"/>
        <rFont val="Calibri"/>
        <family val="2"/>
        <scheme val="minor"/>
      </rPr>
      <t xml:space="preserve"> +n*</t>
    </r>
    <r>
      <rPr>
        <sz val="11"/>
        <color theme="7" tint="-0.249977111117893"/>
        <rFont val="Calibri"/>
        <family val="2"/>
        <charset val="204"/>
        <scheme val="minor"/>
      </rPr>
      <t>LN(Pr)</t>
    </r>
  </si>
  <si>
    <r>
      <rPr>
        <sz val="11"/>
        <color rgb="FFC0000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scheme val="minor"/>
      </rPr>
      <t xml:space="preserve"> = b0 + b1*</t>
    </r>
    <r>
      <rPr>
        <sz val="11"/>
        <color rgb="FF0070C0"/>
        <rFont val="Calibri"/>
        <family val="2"/>
        <charset val="204"/>
        <scheme val="minor"/>
      </rPr>
      <t>x1</t>
    </r>
    <r>
      <rPr>
        <sz val="11"/>
        <color theme="1"/>
        <rFont val="Calibri"/>
        <family val="2"/>
        <scheme val="minor"/>
      </rPr>
      <t xml:space="preserve"> +b2*</t>
    </r>
    <r>
      <rPr>
        <sz val="11"/>
        <color theme="7" tint="-0.249977111117893"/>
        <rFont val="Calibri"/>
        <family val="2"/>
        <charset val="204"/>
        <scheme val="minor"/>
      </rPr>
      <t>x2</t>
    </r>
  </si>
  <si>
    <r>
      <rPr>
        <sz val="11"/>
        <color rgb="FFC0000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scheme val="minor"/>
      </rPr>
      <t xml:space="preserve"> = a0 + a1*</t>
    </r>
    <r>
      <rPr>
        <sz val="11"/>
        <color rgb="FF0070C0"/>
        <rFont val="Calibri"/>
        <family val="2"/>
        <charset val="204"/>
        <scheme val="minor"/>
      </rPr>
      <t>x~1</t>
    </r>
    <r>
      <rPr>
        <sz val="11"/>
        <color theme="1"/>
        <rFont val="Calibri"/>
        <family val="2"/>
        <scheme val="minor"/>
      </rPr>
      <t xml:space="preserve"> +a2*</t>
    </r>
    <r>
      <rPr>
        <sz val="11"/>
        <color theme="7" tint="-0.249977111117893"/>
        <rFont val="Calibri"/>
        <family val="2"/>
        <charset val="204"/>
        <scheme val="minor"/>
      </rPr>
      <t>x~2</t>
    </r>
  </si>
  <si>
    <t>коэф в линеариз</t>
  </si>
  <si>
    <t>исх - приближ</t>
  </si>
  <si>
    <t>средние</t>
  </si>
  <si>
    <t>приближ</t>
  </si>
  <si>
    <t>модель 1</t>
  </si>
  <si>
    <t>модель 2</t>
  </si>
  <si>
    <t>исх данные</t>
  </si>
  <si>
    <t>ошибка 1</t>
  </si>
  <si>
    <t>ошибка 2</t>
  </si>
  <si>
    <t>исх данные (ср знач)</t>
  </si>
  <si>
    <t>a12</t>
  </si>
  <si>
    <t>a11</t>
  </si>
  <si>
    <t>a22</t>
  </si>
  <si>
    <t>x`x`x`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</si>
</sst>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3" xfId="0" applyFill="1" applyBorder="1"/>
    <xf numFmtId="0" fontId="3" fillId="0" borderId="3" xfId="0" applyFont="1" applyBorder="1"/>
    <xf numFmtId="0" fontId="3" fillId="0" borderId="0" xfId="0" applyFont="1"/>
    <xf numFmtId="0" fontId="0" fillId="2" borderId="0" xfId="0" applyFill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1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0" borderId="16" xfId="0" applyBorder="1"/>
    <xf numFmtId="0" fontId="3" fillId="0" borderId="8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5" xfId="0" applyFont="1" applyBorder="1"/>
    <xf numFmtId="0" fontId="7" fillId="0" borderId="17" xfId="0" applyFont="1" applyBorder="1"/>
    <xf numFmtId="0" fontId="7" fillId="0" borderId="14" xfId="0" applyFont="1" applyBorder="1"/>
    <xf numFmtId="0" fontId="7" fillId="0" borderId="16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12" zoomScale="70" zoomScaleNormal="70" workbookViewId="0">
      <selection activeCell="O25" sqref="O25"/>
    </sheetView>
  </sheetViews>
  <sheetFormatPr defaultRowHeight="14.4" x14ac:dyDescent="0.3"/>
  <cols>
    <col min="2" max="2" width="12.6640625" bestFit="1" customWidth="1"/>
    <col min="7" max="7" width="12.44140625" bestFit="1" customWidth="1"/>
    <col min="10" max="10" width="7.77734375" customWidth="1"/>
  </cols>
  <sheetData>
    <row r="1" spans="1:15" x14ac:dyDescent="0.3">
      <c r="A1" t="s">
        <v>0</v>
      </c>
      <c r="B1">
        <v>20000</v>
      </c>
      <c r="C1">
        <v>60000</v>
      </c>
      <c r="D1">
        <v>100000</v>
      </c>
      <c r="F1" t="s">
        <v>0</v>
      </c>
      <c r="G1">
        <v>20000</v>
      </c>
      <c r="H1">
        <v>100000</v>
      </c>
      <c r="K1" t="s">
        <v>1</v>
      </c>
      <c r="L1" t="s">
        <v>2</v>
      </c>
      <c r="M1" t="s">
        <v>6</v>
      </c>
      <c r="N1" t="s">
        <v>7</v>
      </c>
      <c r="O1" t="s">
        <v>8</v>
      </c>
    </row>
    <row r="2" spans="1:15" x14ac:dyDescent="0.3">
      <c r="A2">
        <v>2</v>
      </c>
      <c r="B2">
        <v>112.2</v>
      </c>
      <c r="C2">
        <v>258.89999999999998</v>
      </c>
      <c r="D2">
        <v>390.8</v>
      </c>
      <c r="F2">
        <v>2</v>
      </c>
      <c r="G2">
        <v>112.2</v>
      </c>
      <c r="H2">
        <v>390.8</v>
      </c>
      <c r="K2">
        <v>-1</v>
      </c>
      <c r="L2">
        <v>-1</v>
      </c>
      <c r="M2">
        <v>4.7164431883975197</v>
      </c>
      <c r="N2">
        <f>K2*$M2</f>
        <v>-4.7164431883975197</v>
      </c>
      <c r="O2">
        <f>L2*$M2</f>
        <v>-4.7164431883975197</v>
      </c>
    </row>
    <row r="3" spans="1:15" x14ac:dyDescent="0.3">
      <c r="A3">
        <v>2</v>
      </c>
      <c r="B3">
        <v>112.3</v>
      </c>
      <c r="C3">
        <v>269.7</v>
      </c>
      <c r="D3">
        <v>393</v>
      </c>
      <c r="F3">
        <v>2</v>
      </c>
      <c r="G3">
        <v>112.3</v>
      </c>
      <c r="H3">
        <v>393</v>
      </c>
      <c r="K3">
        <v>-1</v>
      </c>
      <c r="L3">
        <v>-1</v>
      </c>
      <c r="M3">
        <v>4.7173374828588388</v>
      </c>
      <c r="N3">
        <f t="shared" ref="N3:N13" si="0">K3*$M3</f>
        <v>-4.7173374828588388</v>
      </c>
      <c r="O3">
        <f t="shared" ref="O3:O13" si="1">L3*$M3</f>
        <v>-4.7173374828588388</v>
      </c>
    </row>
    <row r="4" spans="1:15" ht="15" thickBot="1" x14ac:dyDescent="0.35">
      <c r="A4" s="1">
        <v>2</v>
      </c>
      <c r="B4">
        <v>112.7</v>
      </c>
      <c r="C4">
        <v>260.89999999999998</v>
      </c>
      <c r="D4">
        <v>399.2</v>
      </c>
      <c r="F4">
        <v>2</v>
      </c>
      <c r="G4">
        <v>112.7</v>
      </c>
      <c r="H4">
        <v>399.2</v>
      </c>
      <c r="K4">
        <v>-1</v>
      </c>
      <c r="L4">
        <v>-1</v>
      </c>
      <c r="M4">
        <v>4.7209066844706884</v>
      </c>
      <c r="N4">
        <f t="shared" si="0"/>
        <v>-4.7209066844706884</v>
      </c>
      <c r="O4">
        <f t="shared" si="1"/>
        <v>-4.7209066844706884</v>
      </c>
    </row>
    <row r="5" spans="1:15" x14ac:dyDescent="0.3">
      <c r="A5">
        <v>4</v>
      </c>
      <c r="B5">
        <v>140.80000000000001</v>
      </c>
      <c r="C5">
        <v>327.39999999999998</v>
      </c>
      <c r="D5">
        <v>479.9</v>
      </c>
      <c r="F5">
        <v>6</v>
      </c>
      <c r="G5">
        <v>156.69999999999999</v>
      </c>
      <c r="H5">
        <v>566.4</v>
      </c>
      <c r="K5">
        <v>1</v>
      </c>
      <c r="L5">
        <v>-1</v>
      </c>
      <c r="M5">
        <v>5.9670950073239704</v>
      </c>
      <c r="N5">
        <f t="shared" si="0"/>
        <v>5.9670950073239704</v>
      </c>
      <c r="O5">
        <f t="shared" si="1"/>
        <v>-5.9670950073239704</v>
      </c>
    </row>
    <row r="6" spans="1:15" x14ac:dyDescent="0.3">
      <c r="A6">
        <v>4</v>
      </c>
      <c r="B6">
        <v>136</v>
      </c>
      <c r="C6">
        <v>330.2</v>
      </c>
      <c r="D6">
        <v>482.7</v>
      </c>
      <c r="F6">
        <v>6</v>
      </c>
      <c r="G6">
        <v>158.69999999999999</v>
      </c>
      <c r="H6">
        <v>556.6</v>
      </c>
      <c r="K6">
        <v>1</v>
      </c>
      <c r="L6">
        <v>-1</v>
      </c>
      <c r="M6">
        <v>5.9727148652701159</v>
      </c>
      <c r="N6">
        <f t="shared" si="0"/>
        <v>5.9727148652701159</v>
      </c>
      <c r="O6">
        <f t="shared" si="1"/>
        <v>-5.9727148652701159</v>
      </c>
    </row>
    <row r="7" spans="1:15" ht="15" thickBot="1" x14ac:dyDescent="0.35">
      <c r="A7" s="1">
        <v>4</v>
      </c>
      <c r="B7">
        <v>135</v>
      </c>
      <c r="C7">
        <v>317.8</v>
      </c>
      <c r="D7">
        <v>491.8</v>
      </c>
      <c r="F7">
        <v>6</v>
      </c>
      <c r="G7">
        <v>153.1</v>
      </c>
      <c r="H7">
        <v>547.9</v>
      </c>
      <c r="K7">
        <v>1</v>
      </c>
      <c r="L7">
        <v>-1</v>
      </c>
      <c r="M7">
        <v>5.988384809581059</v>
      </c>
      <c r="N7">
        <f t="shared" si="0"/>
        <v>5.988384809581059</v>
      </c>
      <c r="O7">
        <f t="shared" si="1"/>
        <v>-5.988384809581059</v>
      </c>
    </row>
    <row r="8" spans="1:15" x14ac:dyDescent="0.3">
      <c r="A8">
        <v>6</v>
      </c>
      <c r="B8">
        <v>156.69999999999999</v>
      </c>
      <c r="C8">
        <v>380.7</v>
      </c>
      <c r="D8">
        <v>566.4</v>
      </c>
      <c r="K8">
        <v>-1</v>
      </c>
      <c r="L8">
        <v>1</v>
      </c>
      <c r="M8">
        <v>5.0515852804252095</v>
      </c>
      <c r="N8">
        <f t="shared" si="0"/>
        <v>-5.0515852804252095</v>
      </c>
      <c r="O8">
        <f t="shared" si="1"/>
        <v>5.0515852804252095</v>
      </c>
    </row>
    <row r="9" spans="1:15" x14ac:dyDescent="0.3">
      <c r="A9">
        <v>6</v>
      </c>
      <c r="B9">
        <v>158.69999999999999</v>
      </c>
      <c r="C9">
        <v>365.4</v>
      </c>
      <c r="D9">
        <v>556.6</v>
      </c>
      <c r="F9" t="s">
        <v>0</v>
      </c>
      <c r="G9">
        <f>LN(G1)</f>
        <v>9.9034875525361272</v>
      </c>
      <c r="H9">
        <f>LN(H1)</f>
        <v>11.512925464970229</v>
      </c>
      <c r="K9">
        <v>-1</v>
      </c>
      <c r="L9">
        <v>1</v>
      </c>
      <c r="M9">
        <v>5.0643024353451915</v>
      </c>
      <c r="N9">
        <f t="shared" si="0"/>
        <v>-5.0643024353451915</v>
      </c>
      <c r="O9">
        <f t="shared" si="1"/>
        <v>5.0643024353451915</v>
      </c>
    </row>
    <row r="10" spans="1:15" x14ac:dyDescent="0.3">
      <c r="A10">
        <v>6</v>
      </c>
      <c r="B10">
        <v>153.1</v>
      </c>
      <c r="C10">
        <v>381.8</v>
      </c>
      <c r="D10">
        <v>547.9</v>
      </c>
      <c r="F10">
        <f>LN(F2)</f>
        <v>0.69314718055994529</v>
      </c>
      <c r="G10">
        <f>LN(G2-0.43)</f>
        <v>4.7164431883975197</v>
      </c>
      <c r="H10">
        <f>LN(H2-0.43)</f>
        <v>5.9670950073239704</v>
      </c>
      <c r="K10">
        <v>-1</v>
      </c>
      <c r="L10">
        <v>1</v>
      </c>
      <c r="M10">
        <v>5.0282787292688509</v>
      </c>
      <c r="N10">
        <f t="shared" si="0"/>
        <v>-5.0282787292688509</v>
      </c>
      <c r="O10">
        <f t="shared" si="1"/>
        <v>5.0282787292688509</v>
      </c>
    </row>
    <row r="11" spans="1:15" x14ac:dyDescent="0.3">
      <c r="F11">
        <f t="shared" ref="F11:F15" si="2">LN(F3)</f>
        <v>0.69314718055994529</v>
      </c>
      <c r="G11">
        <f t="shared" ref="G11:H15" si="3">LN(G3-0.43)</f>
        <v>4.7173374828588388</v>
      </c>
      <c r="H11">
        <f t="shared" si="3"/>
        <v>5.9727148652701159</v>
      </c>
      <c r="K11">
        <v>1</v>
      </c>
      <c r="L11">
        <v>1</v>
      </c>
      <c r="M11">
        <v>6.338541073264877</v>
      </c>
      <c r="N11">
        <f t="shared" si="0"/>
        <v>6.338541073264877</v>
      </c>
      <c r="O11">
        <f t="shared" si="1"/>
        <v>6.338541073264877</v>
      </c>
    </row>
    <row r="12" spans="1:15" x14ac:dyDescent="0.3">
      <c r="F12">
        <f t="shared" si="2"/>
        <v>0.69314718055994529</v>
      </c>
      <c r="G12">
        <f t="shared" si="3"/>
        <v>4.7209066844706884</v>
      </c>
      <c r="H12">
        <f t="shared" si="3"/>
        <v>5.988384809581059</v>
      </c>
      <c r="K12">
        <v>1</v>
      </c>
      <c r="L12">
        <v>1</v>
      </c>
      <c r="M12">
        <v>6.3210740029126109</v>
      </c>
      <c r="N12">
        <f t="shared" si="0"/>
        <v>6.3210740029126109</v>
      </c>
      <c r="O12">
        <f t="shared" si="1"/>
        <v>6.3210740029126109</v>
      </c>
    </row>
    <row r="13" spans="1:15" x14ac:dyDescent="0.3">
      <c r="A13" t="s">
        <v>20</v>
      </c>
      <c r="F13">
        <f t="shared" si="2"/>
        <v>1.791759469228055</v>
      </c>
      <c r="G13">
        <f t="shared" si="3"/>
        <v>5.0515852804252095</v>
      </c>
      <c r="H13">
        <f t="shared" si="3"/>
        <v>6.338541073264877</v>
      </c>
      <c r="K13">
        <v>1</v>
      </c>
      <c r="L13">
        <v>1</v>
      </c>
      <c r="M13">
        <v>6.3053076656688338</v>
      </c>
      <c r="N13">
        <f t="shared" si="0"/>
        <v>6.3053076656688338</v>
      </c>
      <c r="O13">
        <f t="shared" si="1"/>
        <v>6.3053076656688338</v>
      </c>
    </row>
    <row r="14" spans="1:15" x14ac:dyDescent="0.3">
      <c r="A14" t="s">
        <v>0</v>
      </c>
      <c r="B14">
        <v>20000</v>
      </c>
      <c r="C14">
        <v>60000</v>
      </c>
      <c r="D14">
        <v>100000</v>
      </c>
      <c r="F14">
        <f t="shared" si="2"/>
        <v>1.791759469228055</v>
      </c>
      <c r="G14">
        <f t="shared" si="3"/>
        <v>5.0643024353451915</v>
      </c>
      <c r="H14">
        <f t="shared" si="3"/>
        <v>6.3210740029126109</v>
      </c>
      <c r="J14" t="s">
        <v>3</v>
      </c>
      <c r="K14">
        <f>SUM(K2:K13)</f>
        <v>0</v>
      </c>
      <c r="L14">
        <f t="shared" ref="L14:O14" si="4">SUM(L2:L13)</f>
        <v>0</v>
      </c>
      <c r="M14">
        <f t="shared" si="4"/>
        <v>66.19197122478775</v>
      </c>
      <c r="N14">
        <f t="shared" si="4"/>
        <v>7.594263623255169</v>
      </c>
      <c r="O14">
        <f t="shared" si="4"/>
        <v>2.0262071489833851</v>
      </c>
    </row>
    <row r="15" spans="1:15" x14ac:dyDescent="0.3">
      <c r="A15">
        <v>2</v>
      </c>
      <c r="B15">
        <f>0.43+$O$25*POWER(B$14, $O$26)*POWER($A15,$O$27)</f>
        <v>111.9597876311479</v>
      </c>
      <c r="C15">
        <f t="shared" ref="C15:D15" si="5">0.43+$O$25*POWER(C$14, $O$26)*POWER($A15,$O$27)</f>
        <v>265.04438374462268</v>
      </c>
      <c r="D15">
        <f t="shared" si="5"/>
        <v>395.87128446945826</v>
      </c>
      <c r="F15">
        <f t="shared" si="2"/>
        <v>1.791759469228055</v>
      </c>
      <c r="G15">
        <f t="shared" si="3"/>
        <v>5.0282787292688509</v>
      </c>
      <c r="H15">
        <f t="shared" si="3"/>
        <v>6.3053076656688338</v>
      </c>
      <c r="J15" t="s">
        <v>4</v>
      </c>
      <c r="K15">
        <f>SUMSQ(K2:K13)</f>
        <v>12</v>
      </c>
      <c r="L15">
        <f t="shared" ref="L15" si="6">SUMSQ(L2:L13)</f>
        <v>12</v>
      </c>
    </row>
    <row r="16" spans="1:15" x14ac:dyDescent="0.3">
      <c r="A16">
        <v>2</v>
      </c>
      <c r="B16">
        <f t="shared" ref="B16:D23" si="7">0.43+$O$25*POWER(B$14, $O$26)*POWER($A16,$O$27)</f>
        <v>111.9597876311479</v>
      </c>
      <c r="C16">
        <f t="shared" si="7"/>
        <v>265.04438374462268</v>
      </c>
      <c r="D16">
        <f t="shared" si="7"/>
        <v>395.87128446945826</v>
      </c>
    </row>
    <row r="17" spans="1:15" ht="15" thickBot="1" x14ac:dyDescent="0.35">
      <c r="A17" s="1">
        <v>2</v>
      </c>
      <c r="B17">
        <f t="shared" si="7"/>
        <v>111.9597876311479</v>
      </c>
      <c r="C17">
        <f t="shared" si="7"/>
        <v>265.04438374462268</v>
      </c>
      <c r="D17">
        <f t="shared" si="7"/>
        <v>395.87128446945826</v>
      </c>
      <c r="F17" t="s">
        <v>0</v>
      </c>
      <c r="G17">
        <v>-1</v>
      </c>
      <c r="H17">
        <v>1</v>
      </c>
    </row>
    <row r="18" spans="1:15" x14ac:dyDescent="0.3">
      <c r="A18">
        <v>4</v>
      </c>
      <c r="B18">
        <f t="shared" si="7"/>
        <v>138.44431874907539</v>
      </c>
      <c r="C18">
        <f t="shared" si="7"/>
        <v>327.88129959810919</v>
      </c>
      <c r="D18">
        <f t="shared" si="7"/>
        <v>489.77513945106375</v>
      </c>
      <c r="F18">
        <v>-1</v>
      </c>
      <c r="G18">
        <f>G10</f>
        <v>4.7164431883975197</v>
      </c>
      <c r="H18">
        <f>H10</f>
        <v>5.9670950073239704</v>
      </c>
    </row>
    <row r="19" spans="1:15" x14ac:dyDescent="0.3">
      <c r="A19">
        <v>4</v>
      </c>
      <c r="B19">
        <f t="shared" si="7"/>
        <v>138.44431874907539</v>
      </c>
      <c r="C19">
        <f t="shared" si="7"/>
        <v>327.88129959810919</v>
      </c>
      <c r="D19">
        <f t="shared" si="7"/>
        <v>489.77513945106375</v>
      </c>
      <c r="F19">
        <v>-1</v>
      </c>
      <c r="G19">
        <f t="shared" ref="G19:H23" si="8">G11</f>
        <v>4.7173374828588388</v>
      </c>
      <c r="H19">
        <f t="shared" si="8"/>
        <v>5.9727148652701159</v>
      </c>
    </row>
    <row r="20" spans="1:15" ht="15" thickBot="1" x14ac:dyDescent="0.35">
      <c r="A20" s="1">
        <v>4</v>
      </c>
      <c r="B20">
        <f t="shared" si="7"/>
        <v>138.44431874907539</v>
      </c>
      <c r="C20">
        <f t="shared" si="7"/>
        <v>327.88129959810919</v>
      </c>
      <c r="D20">
        <f t="shared" si="7"/>
        <v>489.77513945106375</v>
      </c>
      <c r="F20">
        <v>-1</v>
      </c>
      <c r="G20">
        <f t="shared" si="8"/>
        <v>4.7209066844706884</v>
      </c>
      <c r="H20">
        <f t="shared" si="8"/>
        <v>5.988384809581059</v>
      </c>
      <c r="K20" t="s">
        <v>5</v>
      </c>
      <c r="L20">
        <f>M14/COUNT(M2:M13)</f>
        <v>5.5159976020656458</v>
      </c>
    </row>
    <row r="21" spans="1:15" x14ac:dyDescent="0.3">
      <c r="A21">
        <v>6</v>
      </c>
      <c r="B21">
        <f t="shared" si="7"/>
        <v>156.76371185813153</v>
      </c>
      <c r="C21">
        <f t="shared" si="7"/>
        <v>371.34569616058013</v>
      </c>
      <c r="D21">
        <f t="shared" si="7"/>
        <v>554.72858817190513</v>
      </c>
      <c r="F21">
        <v>1</v>
      </c>
      <c r="G21">
        <f t="shared" si="8"/>
        <v>5.0515852804252095</v>
      </c>
      <c r="H21">
        <f t="shared" si="8"/>
        <v>6.338541073264877</v>
      </c>
      <c r="K21" t="s">
        <v>9</v>
      </c>
      <c r="L21">
        <f>N14/COUNT(M2:M13)</f>
        <v>0.63285530193793071</v>
      </c>
    </row>
    <row r="22" spans="1:15" x14ac:dyDescent="0.3">
      <c r="A22">
        <v>6</v>
      </c>
      <c r="B22">
        <f t="shared" si="7"/>
        <v>156.76371185813153</v>
      </c>
      <c r="C22">
        <f t="shared" si="7"/>
        <v>371.34569616058013</v>
      </c>
      <c r="D22">
        <f t="shared" si="7"/>
        <v>554.72858817190513</v>
      </c>
      <c r="F22">
        <v>1</v>
      </c>
      <c r="G22">
        <f t="shared" si="8"/>
        <v>5.0643024353451915</v>
      </c>
      <c r="H22">
        <f t="shared" si="8"/>
        <v>6.3210740029126109</v>
      </c>
      <c r="K22" t="s">
        <v>10</v>
      </c>
      <c r="L22">
        <f>O14/COUNT(M2:M13)</f>
        <v>0.16885059574861541</v>
      </c>
    </row>
    <row r="23" spans="1:15" x14ac:dyDescent="0.3">
      <c r="A23">
        <v>6</v>
      </c>
      <c r="B23">
        <f t="shared" si="7"/>
        <v>156.76371185813153</v>
      </c>
      <c r="C23">
        <f t="shared" si="7"/>
        <v>371.34569616058013</v>
      </c>
      <c r="D23">
        <f t="shared" si="7"/>
        <v>554.72858817190513</v>
      </c>
      <c r="F23">
        <v>1</v>
      </c>
      <c r="G23">
        <f t="shared" si="8"/>
        <v>5.0282787292688509</v>
      </c>
      <c r="H23">
        <f t="shared" si="8"/>
        <v>6.3053076656688338</v>
      </c>
    </row>
    <row r="24" spans="1:15" x14ac:dyDescent="0.3">
      <c r="A24" t="s">
        <v>31</v>
      </c>
      <c r="F24" t="s">
        <v>30</v>
      </c>
      <c r="K24" t="s">
        <v>12</v>
      </c>
      <c r="L24" t="s">
        <v>11</v>
      </c>
    </row>
    <row r="25" spans="1:15" ht="13.8" customHeight="1" x14ac:dyDescent="0.3">
      <c r="A25" t="s">
        <v>0</v>
      </c>
      <c r="B25">
        <v>20000</v>
      </c>
      <c r="C25">
        <v>60000</v>
      </c>
      <c r="D25">
        <v>100000</v>
      </c>
      <c r="F25" t="s">
        <v>0</v>
      </c>
      <c r="G25">
        <v>20000</v>
      </c>
      <c r="H25">
        <v>60000</v>
      </c>
      <c r="I25">
        <v>100000</v>
      </c>
      <c r="K25" t="s">
        <v>13</v>
      </c>
      <c r="L25">
        <v>-3.2871758959999999</v>
      </c>
      <c r="M25" t="s">
        <v>17</v>
      </c>
      <c r="N25" t="s">
        <v>16</v>
      </c>
      <c r="O25">
        <f>EXP(L25)</f>
        <v>3.7359206841478622E-2</v>
      </c>
    </row>
    <row r="26" spans="1:15" x14ac:dyDescent="0.3">
      <c r="A26">
        <v>2</v>
      </c>
      <c r="B26">
        <f>B15-B2</f>
        <v>-0.24021236885209873</v>
      </c>
      <c r="C26">
        <f t="shared" ref="C26:D26" si="9">C15-C2</f>
        <v>6.1443837446227008</v>
      </c>
      <c r="D26">
        <f t="shared" si="9"/>
        <v>5.0712844694582486</v>
      </c>
      <c r="F26">
        <v>2</v>
      </c>
      <c r="G26">
        <f>AVERAGE(B2:B4)</f>
        <v>112.39999999999999</v>
      </c>
      <c r="H26">
        <f>AVERAGE(C2:C4)</f>
        <v>263.16666666666663</v>
      </c>
      <c r="I26">
        <f>AVERAGE(D2:D4)</f>
        <v>394.33333333333331</v>
      </c>
      <c r="K26" t="s">
        <v>14</v>
      </c>
      <c r="L26">
        <v>0.78643021800000001</v>
      </c>
      <c r="M26" t="s">
        <v>17</v>
      </c>
      <c r="N26" t="s">
        <v>18</v>
      </c>
      <c r="O26">
        <f>L26</f>
        <v>0.78643021800000001</v>
      </c>
    </row>
    <row r="27" spans="1:15" x14ac:dyDescent="0.3">
      <c r="A27">
        <v>2</v>
      </c>
      <c r="B27">
        <f t="shared" ref="B27:D34" si="10">B16-B3</f>
        <v>-0.34021236885209305</v>
      </c>
      <c r="C27">
        <f t="shared" si="10"/>
        <v>-4.6556162553773106</v>
      </c>
      <c r="D27">
        <f t="shared" si="10"/>
        <v>2.87128446945826</v>
      </c>
      <c r="F27">
        <v>2</v>
      </c>
      <c r="K27" t="s">
        <v>15</v>
      </c>
      <c r="L27">
        <v>0.30738887199999998</v>
      </c>
      <c r="M27" t="s">
        <v>17</v>
      </c>
      <c r="N27" t="s">
        <v>19</v>
      </c>
      <c r="O27">
        <f>L27</f>
        <v>0.30738887199999998</v>
      </c>
    </row>
    <row r="28" spans="1:15" ht="15" thickBot="1" x14ac:dyDescent="0.35">
      <c r="A28" s="1">
        <v>2</v>
      </c>
      <c r="B28">
        <f t="shared" si="10"/>
        <v>-0.74021236885209873</v>
      </c>
      <c r="C28">
        <f t="shared" si="10"/>
        <v>4.1443837446227008</v>
      </c>
      <c r="D28">
        <f t="shared" si="10"/>
        <v>-3.3287155305417286</v>
      </c>
      <c r="F28" s="1">
        <v>2</v>
      </c>
    </row>
    <row r="29" spans="1:15" x14ac:dyDescent="0.3">
      <c r="A29">
        <v>4</v>
      </c>
      <c r="B29">
        <f t="shared" si="10"/>
        <v>-2.3556812509246186</v>
      </c>
      <c r="C29">
        <f t="shared" si="10"/>
        <v>0.48129959810921719</v>
      </c>
      <c r="D29">
        <f t="shared" si="10"/>
        <v>9.8751394510637738</v>
      </c>
      <c r="F29">
        <v>4</v>
      </c>
      <c r="G29">
        <f>AVERAGE(B5:B7)</f>
        <v>137.26666666666668</v>
      </c>
      <c r="H29">
        <f>AVERAGE(C5:C7)</f>
        <v>325.13333333333327</v>
      </c>
      <c r="I29">
        <f>AVERAGE(D5:D7)</f>
        <v>484.79999999999995</v>
      </c>
    </row>
    <row r="30" spans="1:15" x14ac:dyDescent="0.3">
      <c r="A30">
        <v>4</v>
      </c>
      <c r="B30">
        <f t="shared" si="10"/>
        <v>2.4443187490753928</v>
      </c>
      <c r="C30">
        <f t="shared" si="10"/>
        <v>-2.3187004018907942</v>
      </c>
      <c r="D30">
        <f t="shared" si="10"/>
        <v>7.0751394510637624</v>
      </c>
      <c r="F30">
        <v>4</v>
      </c>
    </row>
    <row r="31" spans="1:15" ht="15" thickBot="1" x14ac:dyDescent="0.35">
      <c r="A31" s="1">
        <v>4</v>
      </c>
      <c r="B31">
        <f t="shared" si="10"/>
        <v>3.4443187490753928</v>
      </c>
      <c r="C31">
        <f t="shared" si="10"/>
        <v>10.081299598109183</v>
      </c>
      <c r="D31">
        <f t="shared" si="10"/>
        <v>-2.0248605489362603</v>
      </c>
      <c r="F31" s="1">
        <v>4</v>
      </c>
    </row>
    <row r="32" spans="1:15" x14ac:dyDescent="0.3">
      <c r="A32">
        <v>6</v>
      </c>
      <c r="B32">
        <f t="shared" si="10"/>
        <v>6.3711858131540566E-2</v>
      </c>
      <c r="C32">
        <f t="shared" si="10"/>
        <v>-9.3543038394198561</v>
      </c>
      <c r="D32">
        <f t="shared" si="10"/>
        <v>-11.671411828094847</v>
      </c>
      <c r="F32">
        <v>6</v>
      </c>
      <c r="G32">
        <f>AVERAGE(B8:B10)</f>
        <v>156.16666666666666</v>
      </c>
      <c r="H32">
        <f>AVERAGE(C8:C10)</f>
        <v>375.96666666666664</v>
      </c>
      <c r="I32">
        <f>AVERAGE(D8:D10)</f>
        <v>556.9666666666667</v>
      </c>
    </row>
    <row r="33" spans="1:7" x14ac:dyDescent="0.3">
      <c r="A33">
        <v>6</v>
      </c>
      <c r="B33">
        <f t="shared" si="10"/>
        <v>-1.9362881418684594</v>
      </c>
      <c r="C33">
        <f t="shared" si="10"/>
        <v>5.9456961605801553</v>
      </c>
      <c r="D33">
        <f t="shared" si="10"/>
        <v>-1.8714118280948924</v>
      </c>
      <c r="F33">
        <v>6</v>
      </c>
    </row>
    <row r="34" spans="1:7" x14ac:dyDescent="0.3">
      <c r="A34">
        <v>6</v>
      </c>
      <c r="B34">
        <f t="shared" si="10"/>
        <v>3.6637118581315349</v>
      </c>
      <c r="C34">
        <f t="shared" si="10"/>
        <v>-10.454303839419879</v>
      </c>
      <c r="D34">
        <f t="shared" si="10"/>
        <v>6.8285881719051531</v>
      </c>
      <c r="F34">
        <v>6</v>
      </c>
    </row>
    <row r="35" spans="1:7" x14ac:dyDescent="0.3">
      <c r="A35" t="s">
        <v>29</v>
      </c>
    </row>
    <row r="36" spans="1:7" x14ac:dyDescent="0.3">
      <c r="A36" t="s">
        <v>0</v>
      </c>
      <c r="B36">
        <v>20000</v>
      </c>
      <c r="C36">
        <v>60000</v>
      </c>
      <c r="D36">
        <v>100000</v>
      </c>
      <c r="F36" t="s">
        <v>21</v>
      </c>
      <c r="G36">
        <v>2</v>
      </c>
    </row>
    <row r="37" spans="1:7" x14ac:dyDescent="0.3">
      <c r="A37">
        <v>2</v>
      </c>
      <c r="B37">
        <f>(B2-$G$26)</f>
        <v>-0.19999999999998863</v>
      </c>
      <c r="C37">
        <f>(C2-$H$26)</f>
        <v>-4.2666666666666515</v>
      </c>
      <c r="D37">
        <f>(D2-$I$26)</f>
        <v>-3.533333333333303</v>
      </c>
      <c r="F37" t="s">
        <v>22</v>
      </c>
      <c r="G37">
        <f>POWER(2,G36)</f>
        <v>4</v>
      </c>
    </row>
    <row r="38" spans="1:7" x14ac:dyDescent="0.3">
      <c r="A38">
        <v>2</v>
      </c>
      <c r="B38">
        <f t="shared" ref="B38:B39" si="11">(B3-$G$26)</f>
        <v>-9.9999999999994316E-2</v>
      </c>
      <c r="C38">
        <f t="shared" ref="C38:C39" si="12">(C3-$H$26)</f>
        <v>6.5333333333333599</v>
      </c>
      <c r="D38">
        <f t="shared" ref="D38:D39" si="13">(D3-$I$26)</f>
        <v>-1.3333333333333144</v>
      </c>
      <c r="F38" t="s">
        <v>19</v>
      </c>
      <c r="G38">
        <v>3</v>
      </c>
    </row>
    <row r="39" spans="1:7" ht="15" thickBot="1" x14ac:dyDescent="0.35">
      <c r="A39" s="1">
        <v>2</v>
      </c>
      <c r="B39">
        <f t="shared" si="11"/>
        <v>0.30000000000001137</v>
      </c>
      <c r="C39">
        <f t="shared" si="12"/>
        <v>-2.2666666666666515</v>
      </c>
      <c r="D39">
        <f t="shared" si="13"/>
        <v>4.8666666666666742</v>
      </c>
      <c r="F39" t="s">
        <v>23</v>
      </c>
      <c r="G39">
        <f>G37-(G36+1)</f>
        <v>1</v>
      </c>
    </row>
    <row r="40" spans="1:7" x14ac:dyDescent="0.3">
      <c r="A40">
        <v>4</v>
      </c>
      <c r="B40">
        <f>(B5-$G$29)</f>
        <v>3.5333333333333314</v>
      </c>
      <c r="C40">
        <f>(C5-$H$29)</f>
        <v>2.2666666666667084</v>
      </c>
      <c r="D40">
        <f>(D5-$I$29)</f>
        <v>-4.8999999999999773</v>
      </c>
      <c r="F40" t="s">
        <v>24</v>
      </c>
      <c r="G40">
        <f>G37*(G38-1)</f>
        <v>8</v>
      </c>
    </row>
    <row r="41" spans="1:7" x14ac:dyDescent="0.3">
      <c r="A41">
        <v>4</v>
      </c>
      <c r="B41">
        <f t="shared" ref="B41:B42" si="14">(B6-$G$29)</f>
        <v>-1.2666666666666799</v>
      </c>
      <c r="C41">
        <f t="shared" ref="C41:C42" si="15">(C6-$H$29)</f>
        <v>5.0666666666667197</v>
      </c>
      <c r="D41">
        <f t="shared" ref="D41:D42" si="16">(D6-$I$29)</f>
        <v>-2.0999999999999659</v>
      </c>
      <c r="F41" t="s">
        <v>25</v>
      </c>
      <c r="G41">
        <v>0.05</v>
      </c>
    </row>
    <row r="42" spans="1:7" ht="15" thickBot="1" x14ac:dyDescent="0.35">
      <c r="A42" s="1">
        <v>4</v>
      </c>
      <c r="B42">
        <f t="shared" si="14"/>
        <v>-2.2666666666666799</v>
      </c>
      <c r="C42">
        <f t="shared" si="15"/>
        <v>-7.3333333333332575</v>
      </c>
      <c r="D42">
        <f t="shared" si="16"/>
        <v>7.0000000000000568</v>
      </c>
      <c r="F42" t="s">
        <v>26</v>
      </c>
      <c r="G42">
        <v>238.8827</v>
      </c>
    </row>
    <row r="43" spans="1:7" x14ac:dyDescent="0.3">
      <c r="A43">
        <v>6</v>
      </c>
      <c r="B43">
        <f>(B8-$G$32)</f>
        <v>0.53333333333333144</v>
      </c>
      <c r="C43">
        <f>(C8-$H$32)</f>
        <v>4.7333333333333485</v>
      </c>
      <c r="D43">
        <f>(D8-$I$32)</f>
        <v>9.4333333333332803</v>
      </c>
      <c r="F43" t="s">
        <v>27</v>
      </c>
      <c r="G43">
        <f>SUMSQ(B26:D34)/G39</f>
        <v>840.34843973530258</v>
      </c>
    </row>
    <row r="44" spans="1:7" x14ac:dyDescent="0.3">
      <c r="A44">
        <v>6</v>
      </c>
      <c r="B44">
        <f t="shared" ref="B44:B45" si="17">(B9-$G$32)</f>
        <v>2.5333333333333314</v>
      </c>
      <c r="C44">
        <f t="shared" ref="C44:C45" si="18">(C9-$H$32)</f>
        <v>-10.566666666666663</v>
      </c>
      <c r="D44">
        <f t="shared" ref="D44:D45" si="19">(D9-$I$32)</f>
        <v>-0.36666666666667425</v>
      </c>
      <c r="F44" t="s">
        <v>32</v>
      </c>
      <c r="G44">
        <f>SUMSQ(B37:D45)/((G38-1)*G37)</f>
        <v>80.108333333333377</v>
      </c>
    </row>
    <row r="45" spans="1:7" x14ac:dyDescent="0.3">
      <c r="A45">
        <v>6</v>
      </c>
      <c r="B45">
        <f t="shared" si="17"/>
        <v>-3.0666666666666629</v>
      </c>
      <c r="C45">
        <f t="shared" si="18"/>
        <v>5.8333333333333712</v>
      </c>
      <c r="D45">
        <f t="shared" si="19"/>
        <v>-9.0666666666667197</v>
      </c>
      <c r="F45" t="s">
        <v>28</v>
      </c>
      <c r="G45">
        <f>G43/G44</f>
        <v>10.49015008511768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4BCF-17D3-4EE8-9033-B54C9767FF10}">
  <dimension ref="A1:U28"/>
  <sheetViews>
    <sheetView zoomScaleNormal="100" workbookViewId="0">
      <selection activeCell="S26" sqref="S26"/>
    </sheetView>
  </sheetViews>
  <sheetFormatPr defaultRowHeight="14.4" x14ac:dyDescent="0.3"/>
  <cols>
    <col min="21" max="21" width="12" bestFit="1" customWidth="1"/>
  </cols>
  <sheetData>
    <row r="1" spans="1:19" x14ac:dyDescent="0.3">
      <c r="A1" s="2" t="s">
        <v>0</v>
      </c>
      <c r="B1" s="3">
        <v>20000</v>
      </c>
      <c r="C1" s="3">
        <v>60000</v>
      </c>
      <c r="D1" s="4">
        <v>100000</v>
      </c>
      <c r="E1" s="3" t="s">
        <v>33</v>
      </c>
      <c r="F1" s="3" t="s">
        <v>0</v>
      </c>
      <c r="G1" s="3">
        <v>20000</v>
      </c>
      <c r="H1" s="4">
        <v>100000</v>
      </c>
      <c r="J1" t="s">
        <v>36</v>
      </c>
      <c r="K1" t="s">
        <v>1</v>
      </c>
      <c r="L1" t="s">
        <v>2</v>
      </c>
      <c r="M1" t="s">
        <v>6</v>
      </c>
      <c r="N1" t="s">
        <v>7</v>
      </c>
      <c r="O1" t="s">
        <v>8</v>
      </c>
      <c r="P1" t="s">
        <v>38</v>
      </c>
      <c r="Q1" t="s">
        <v>40</v>
      </c>
      <c r="R1" t="s">
        <v>39</v>
      </c>
      <c r="S1" t="s">
        <v>41</v>
      </c>
    </row>
    <row r="2" spans="1:19" x14ac:dyDescent="0.3">
      <c r="A2" s="5">
        <v>2</v>
      </c>
      <c r="B2">
        <v>112.2</v>
      </c>
      <c r="C2">
        <v>258.89999999999998</v>
      </c>
      <c r="D2" s="6">
        <v>390.8</v>
      </c>
      <c r="F2">
        <v>2</v>
      </c>
      <c r="G2">
        <v>112.2</v>
      </c>
      <c r="H2" s="6">
        <v>390.8</v>
      </c>
      <c r="K2">
        <v>-1</v>
      </c>
      <c r="L2">
        <v>-1</v>
      </c>
      <c r="M2">
        <v>4.7164431883975197</v>
      </c>
      <c r="N2">
        <f>K2*$M2</f>
        <v>-4.7164431883975197</v>
      </c>
      <c r="O2">
        <f>L2*$M2</f>
        <v>-4.7164431883975197</v>
      </c>
      <c r="P2">
        <f>$L$20+K2*$L$21+L2*$L$22</f>
        <v>4.7142917043790993</v>
      </c>
      <c r="Q2">
        <f>AVERAGE($M$2:$M$4)</f>
        <v>4.7182291185756817</v>
      </c>
      <c r="R2">
        <f>M2-P2</f>
        <v>2.1514840184204687E-3</v>
      </c>
      <c r="S2">
        <f>M2-Q2</f>
        <v>-1.7859301781619763E-3</v>
      </c>
    </row>
    <row r="3" spans="1:19" x14ac:dyDescent="0.3">
      <c r="A3" s="5">
        <v>2</v>
      </c>
      <c r="B3">
        <v>112.3</v>
      </c>
      <c r="C3">
        <v>269.7</v>
      </c>
      <c r="D3" s="6">
        <v>393</v>
      </c>
      <c r="F3">
        <v>2</v>
      </c>
      <c r="G3">
        <v>112.3</v>
      </c>
      <c r="H3" s="6">
        <v>393</v>
      </c>
      <c r="K3">
        <v>-1</v>
      </c>
      <c r="L3">
        <v>-1</v>
      </c>
      <c r="M3">
        <v>4.7173374828588388</v>
      </c>
      <c r="N3">
        <f t="shared" ref="N3:O13" si="0">K3*$M3</f>
        <v>-4.7173374828588388</v>
      </c>
      <c r="O3">
        <f t="shared" si="0"/>
        <v>-4.7173374828588388</v>
      </c>
      <c r="P3">
        <f t="shared" ref="P3:P13" si="1">$L$20+K3*$L$21+L3*$L$22</f>
        <v>4.7142917043790993</v>
      </c>
      <c r="Q3">
        <f t="shared" ref="Q3:Q4" si="2">AVERAGE($M$2:$M$4)</f>
        <v>4.7182291185756817</v>
      </c>
      <c r="R3">
        <f t="shared" ref="R3:R13" si="3">M3-P3</f>
        <v>3.0457784797395249E-3</v>
      </c>
      <c r="S3">
        <f t="shared" ref="S3:S13" si="4">M3-Q3</f>
        <v>-8.9163571684292009E-4</v>
      </c>
    </row>
    <row r="4" spans="1:19" ht="15" thickBot="1" x14ac:dyDescent="0.35">
      <c r="A4" s="10">
        <v>2</v>
      </c>
      <c r="B4">
        <v>112.7</v>
      </c>
      <c r="C4">
        <v>260.89999999999998</v>
      </c>
      <c r="D4" s="6">
        <v>399.2</v>
      </c>
      <c r="F4">
        <v>2</v>
      </c>
      <c r="G4">
        <v>112.7</v>
      </c>
      <c r="H4" s="6">
        <v>399.2</v>
      </c>
      <c r="K4">
        <v>-1</v>
      </c>
      <c r="L4">
        <v>-1</v>
      </c>
      <c r="M4">
        <v>4.7209066844706884</v>
      </c>
      <c r="N4">
        <f t="shared" si="0"/>
        <v>-4.7209066844706884</v>
      </c>
      <c r="O4">
        <f t="shared" si="0"/>
        <v>-4.7209066844706884</v>
      </c>
      <c r="P4">
        <f t="shared" si="1"/>
        <v>4.7142917043790993</v>
      </c>
      <c r="Q4">
        <f t="shared" si="2"/>
        <v>4.7182291185756817</v>
      </c>
      <c r="R4">
        <f t="shared" si="3"/>
        <v>6.6149800915891177E-3</v>
      </c>
      <c r="S4">
        <f t="shared" si="4"/>
        <v>2.6775658950066727E-3</v>
      </c>
    </row>
    <row r="5" spans="1:19" x14ac:dyDescent="0.3">
      <c r="A5" s="5">
        <v>4</v>
      </c>
      <c r="B5">
        <v>140.80000000000001</v>
      </c>
      <c r="C5">
        <v>327.39999999999998</v>
      </c>
      <c r="D5" s="6">
        <v>479.9</v>
      </c>
      <c r="F5">
        <v>6</v>
      </c>
      <c r="G5">
        <v>156.69999999999999</v>
      </c>
      <c r="H5" s="6">
        <v>566.4</v>
      </c>
      <c r="K5">
        <v>1</v>
      </c>
      <c r="L5">
        <v>-1</v>
      </c>
      <c r="M5">
        <v>5.9670950073239704</v>
      </c>
      <c r="N5">
        <f t="shared" si="0"/>
        <v>5.9670950073239704</v>
      </c>
      <c r="O5">
        <f t="shared" si="0"/>
        <v>-5.9670950073239704</v>
      </c>
      <c r="P5">
        <f t="shared" si="1"/>
        <v>5.9800023082549609</v>
      </c>
      <c r="Q5">
        <f>AVERAGE($M$5:$M$7)</f>
        <v>5.976064894058382</v>
      </c>
      <c r="R5">
        <f t="shared" si="3"/>
        <v>-1.2907300930990573E-2</v>
      </c>
      <c r="S5">
        <f t="shared" si="4"/>
        <v>-8.9698867344116806E-3</v>
      </c>
    </row>
    <row r="6" spans="1:19" x14ac:dyDescent="0.3">
      <c r="A6" s="5">
        <v>4</v>
      </c>
      <c r="B6">
        <v>136</v>
      </c>
      <c r="C6">
        <v>330.2</v>
      </c>
      <c r="D6" s="6">
        <v>482.7</v>
      </c>
      <c r="F6">
        <v>6</v>
      </c>
      <c r="G6">
        <v>158.69999999999999</v>
      </c>
      <c r="H6" s="6">
        <v>556.6</v>
      </c>
      <c r="K6">
        <v>1</v>
      </c>
      <c r="L6">
        <v>-1</v>
      </c>
      <c r="M6">
        <v>5.9727148652701159</v>
      </c>
      <c r="N6">
        <f t="shared" si="0"/>
        <v>5.9727148652701159</v>
      </c>
      <c r="O6">
        <f t="shared" si="0"/>
        <v>-5.9727148652701159</v>
      </c>
      <c r="P6">
        <f t="shared" si="1"/>
        <v>5.9800023082549609</v>
      </c>
      <c r="Q6">
        <f t="shared" ref="Q6:Q7" si="5">AVERAGE($M$5:$M$7)</f>
        <v>5.976064894058382</v>
      </c>
      <c r="R6">
        <f t="shared" si="3"/>
        <v>-7.2874429848450717E-3</v>
      </c>
      <c r="S6">
        <f t="shared" si="4"/>
        <v>-3.3500287882661794E-3</v>
      </c>
    </row>
    <row r="7" spans="1:19" ht="15" thickBot="1" x14ac:dyDescent="0.35">
      <c r="A7" s="10">
        <v>4</v>
      </c>
      <c r="B7">
        <v>135</v>
      </c>
      <c r="C7">
        <v>317.8</v>
      </c>
      <c r="D7" s="6">
        <v>491.8</v>
      </c>
      <c r="E7" s="8"/>
      <c r="F7" s="8">
        <v>6</v>
      </c>
      <c r="G7" s="8">
        <v>153.1</v>
      </c>
      <c r="H7" s="9">
        <v>547.9</v>
      </c>
      <c r="K7">
        <v>1</v>
      </c>
      <c r="L7">
        <v>-1</v>
      </c>
      <c r="M7">
        <v>5.988384809581059</v>
      </c>
      <c r="N7">
        <f t="shared" si="0"/>
        <v>5.988384809581059</v>
      </c>
      <c r="O7">
        <f t="shared" si="0"/>
        <v>-5.988384809581059</v>
      </c>
      <c r="P7">
        <f t="shared" si="1"/>
        <v>5.9800023082549609</v>
      </c>
      <c r="Q7">
        <f t="shared" si="5"/>
        <v>5.976064894058382</v>
      </c>
      <c r="R7">
        <f t="shared" si="3"/>
        <v>8.3825013260980796E-3</v>
      </c>
      <c r="S7">
        <f t="shared" si="4"/>
        <v>1.2319915522676972E-2</v>
      </c>
    </row>
    <row r="8" spans="1:19" x14ac:dyDescent="0.3">
      <c r="A8" s="5">
        <v>6</v>
      </c>
      <c r="B8">
        <v>156.69999999999999</v>
      </c>
      <c r="C8">
        <v>380.7</v>
      </c>
      <c r="D8" s="6">
        <v>566.4</v>
      </c>
      <c r="K8">
        <v>-1</v>
      </c>
      <c r="L8">
        <v>1</v>
      </c>
      <c r="M8">
        <v>5.0515852804252095</v>
      </c>
      <c r="N8">
        <f t="shared" si="0"/>
        <v>-5.0515852804252095</v>
      </c>
      <c r="O8">
        <f t="shared" si="0"/>
        <v>5.0515852804252095</v>
      </c>
      <c r="P8">
        <f t="shared" si="1"/>
        <v>5.0519928958763307</v>
      </c>
      <c r="Q8">
        <f>AVERAGE($M$8:$M$10)</f>
        <v>5.0480554816797509</v>
      </c>
      <c r="R8">
        <f t="shared" si="3"/>
        <v>-4.0761545112122377E-4</v>
      </c>
      <c r="S8">
        <f t="shared" si="4"/>
        <v>3.5297987454585567E-3</v>
      </c>
    </row>
    <row r="9" spans="1:19" x14ac:dyDescent="0.3">
      <c r="A9" s="5">
        <v>6</v>
      </c>
      <c r="B9">
        <v>158.69999999999999</v>
      </c>
      <c r="C9">
        <v>365.4</v>
      </c>
      <c r="D9" s="6">
        <v>556.6</v>
      </c>
      <c r="E9" s="3" t="s">
        <v>34</v>
      </c>
      <c r="F9" s="3" t="s">
        <v>0</v>
      </c>
      <c r="G9" s="3">
        <f>LN(G1)</f>
        <v>9.9034875525361272</v>
      </c>
      <c r="H9" s="4">
        <f>LN(H1)</f>
        <v>11.512925464970229</v>
      </c>
      <c r="K9">
        <v>-1</v>
      </c>
      <c r="L9">
        <v>1</v>
      </c>
      <c r="M9">
        <v>5.0643024353451915</v>
      </c>
      <c r="N9">
        <f t="shared" si="0"/>
        <v>-5.0643024353451915</v>
      </c>
      <c r="O9">
        <f t="shared" si="0"/>
        <v>5.0643024353451915</v>
      </c>
      <c r="P9">
        <f t="shared" si="1"/>
        <v>5.0519928958763307</v>
      </c>
      <c r="Q9">
        <f t="shared" ref="Q9:Q10" si="6">AVERAGE($M$8:$M$10)</f>
        <v>5.0480554816797509</v>
      </c>
      <c r="R9">
        <f t="shared" si="3"/>
        <v>1.230953946886082E-2</v>
      </c>
      <c r="S9">
        <f t="shared" si="4"/>
        <v>1.62469536654406E-2</v>
      </c>
    </row>
    <row r="10" spans="1:19" x14ac:dyDescent="0.3">
      <c r="A10" s="7">
        <v>6</v>
      </c>
      <c r="B10" s="8">
        <v>153.1</v>
      </c>
      <c r="C10" s="8">
        <v>381.8</v>
      </c>
      <c r="D10" s="9">
        <v>547.9</v>
      </c>
      <c r="F10">
        <f>LN(F2)</f>
        <v>0.69314718055994529</v>
      </c>
      <c r="G10">
        <f>LN(G2-0.43)</f>
        <v>4.7164431883975197</v>
      </c>
      <c r="H10" s="6">
        <f>LN(H2-0.43)</f>
        <v>5.9670950073239704</v>
      </c>
      <c r="K10">
        <v>-1</v>
      </c>
      <c r="L10">
        <v>1</v>
      </c>
      <c r="M10">
        <v>5.0282787292688509</v>
      </c>
      <c r="N10">
        <f t="shared" si="0"/>
        <v>-5.0282787292688509</v>
      </c>
      <c r="O10">
        <f t="shared" si="0"/>
        <v>5.0282787292688509</v>
      </c>
      <c r="P10">
        <f t="shared" si="1"/>
        <v>5.0519928958763307</v>
      </c>
      <c r="Q10">
        <f t="shared" si="6"/>
        <v>5.0480554816797509</v>
      </c>
      <c r="R10">
        <f t="shared" si="3"/>
        <v>-2.3714166607479825E-2</v>
      </c>
      <c r="S10">
        <f t="shared" si="4"/>
        <v>-1.9776752410900045E-2</v>
      </c>
    </row>
    <row r="11" spans="1:19" x14ac:dyDescent="0.3">
      <c r="E11" s="5"/>
      <c r="F11">
        <f t="shared" ref="F11:F15" si="7">LN(F3)</f>
        <v>0.69314718055994529</v>
      </c>
      <c r="G11">
        <f t="shared" ref="G11:H15" si="8">LN(G3-0.43)</f>
        <v>4.7173374828588388</v>
      </c>
      <c r="H11" s="6">
        <f t="shared" si="8"/>
        <v>5.9727148652701159</v>
      </c>
      <c r="K11">
        <v>1</v>
      </c>
      <c r="L11">
        <v>1</v>
      </c>
      <c r="M11">
        <v>6.338541073264877</v>
      </c>
      <c r="N11">
        <f t="shared" si="0"/>
        <v>6.338541073264877</v>
      </c>
      <c r="O11">
        <f t="shared" si="0"/>
        <v>6.338541073264877</v>
      </c>
      <c r="P11">
        <f t="shared" si="1"/>
        <v>6.3177034997521924</v>
      </c>
      <c r="Q11">
        <f>AVERAGE($M$11:$M$13)</f>
        <v>6.3216409139487739</v>
      </c>
      <c r="R11">
        <f t="shared" si="3"/>
        <v>2.0837573512684671E-2</v>
      </c>
      <c r="S11">
        <f t="shared" si="4"/>
        <v>1.6900159316103114E-2</v>
      </c>
    </row>
    <row r="12" spans="1:19" x14ac:dyDescent="0.3">
      <c r="E12" s="5"/>
      <c r="F12">
        <f t="shared" si="7"/>
        <v>0.69314718055994529</v>
      </c>
      <c r="G12">
        <f t="shared" si="8"/>
        <v>4.7209066844706884</v>
      </c>
      <c r="H12" s="6">
        <f t="shared" si="8"/>
        <v>5.988384809581059</v>
      </c>
      <c r="K12">
        <v>1</v>
      </c>
      <c r="L12">
        <v>1</v>
      </c>
      <c r="M12">
        <v>6.3210740029126109</v>
      </c>
      <c r="N12">
        <f t="shared" si="0"/>
        <v>6.3210740029126109</v>
      </c>
      <c r="O12">
        <f t="shared" si="0"/>
        <v>6.3210740029126109</v>
      </c>
      <c r="P12">
        <f t="shared" si="1"/>
        <v>6.3177034997521924</v>
      </c>
      <c r="Q12">
        <f t="shared" ref="Q12:Q13" si="9">AVERAGE($M$11:$M$13)</f>
        <v>6.3216409139487739</v>
      </c>
      <c r="R12">
        <f t="shared" si="3"/>
        <v>3.3705031604185365E-3</v>
      </c>
      <c r="S12">
        <f t="shared" si="4"/>
        <v>-5.669110361630203E-4</v>
      </c>
    </row>
    <row r="13" spans="1:19" x14ac:dyDescent="0.3">
      <c r="A13" s="2" t="s">
        <v>42</v>
      </c>
      <c r="B13" s="3"/>
      <c r="C13" s="3"/>
      <c r="D13" s="4"/>
      <c r="F13">
        <f t="shared" si="7"/>
        <v>1.791759469228055</v>
      </c>
      <c r="G13">
        <f t="shared" si="8"/>
        <v>5.0515852804252095</v>
      </c>
      <c r="H13" s="6">
        <f t="shared" si="8"/>
        <v>6.338541073264877</v>
      </c>
      <c r="K13">
        <v>1</v>
      </c>
      <c r="L13">
        <v>1</v>
      </c>
      <c r="M13">
        <v>6.3053076656688338</v>
      </c>
      <c r="N13">
        <f t="shared" si="0"/>
        <v>6.3053076656688338</v>
      </c>
      <c r="O13">
        <f t="shared" si="0"/>
        <v>6.3053076656688338</v>
      </c>
      <c r="P13">
        <f t="shared" si="1"/>
        <v>6.3177034997521924</v>
      </c>
      <c r="Q13">
        <f t="shared" si="9"/>
        <v>6.3216409139487739</v>
      </c>
      <c r="R13">
        <f t="shared" si="3"/>
        <v>-1.2395834083358537E-2</v>
      </c>
      <c r="S13">
        <f t="shared" si="4"/>
        <v>-1.6333248279940094E-2</v>
      </c>
    </row>
    <row r="14" spans="1:19" x14ac:dyDescent="0.3">
      <c r="A14" s="5" t="s">
        <v>0</v>
      </c>
      <c r="B14">
        <v>20000</v>
      </c>
      <c r="C14">
        <v>60000</v>
      </c>
      <c r="D14" s="6">
        <v>100000</v>
      </c>
      <c r="F14">
        <f t="shared" si="7"/>
        <v>1.791759469228055</v>
      </c>
      <c r="G14">
        <f t="shared" si="8"/>
        <v>5.0643024353451915</v>
      </c>
      <c r="H14" s="6">
        <f t="shared" si="8"/>
        <v>6.3210740029126109</v>
      </c>
      <c r="J14" t="s">
        <v>3</v>
      </c>
      <c r="K14">
        <f>SUM(K2:K13)</f>
        <v>0</v>
      </c>
      <c r="L14">
        <f t="shared" ref="L14:O14" si="10">SUM(L2:L13)</f>
        <v>0</v>
      </c>
      <c r="M14">
        <f t="shared" si="10"/>
        <v>66.19197122478775</v>
      </c>
      <c r="N14">
        <f t="shared" si="10"/>
        <v>7.594263623255169</v>
      </c>
      <c r="O14">
        <f t="shared" si="10"/>
        <v>2.0262071489833851</v>
      </c>
    </row>
    <row r="15" spans="1:19" x14ac:dyDescent="0.3">
      <c r="A15" s="5">
        <v>2</v>
      </c>
      <c r="B15">
        <f>0.43+$O$25*POWER(B$14, $O$26)*POWER($A15,$O$27)</f>
        <v>111.9597876311479</v>
      </c>
      <c r="C15">
        <f t="shared" ref="C15:D15" si="11">0.43+$O$25*POWER(C$14, $O$26)*POWER($A15,$O$27)</f>
        <v>265.04438374462268</v>
      </c>
      <c r="D15" s="6">
        <f t="shared" si="11"/>
        <v>395.87128446945826</v>
      </c>
      <c r="E15" s="8"/>
      <c r="F15" s="8">
        <f t="shared" si="7"/>
        <v>1.791759469228055</v>
      </c>
      <c r="G15" s="8">
        <f t="shared" si="8"/>
        <v>5.0282787292688509</v>
      </c>
      <c r="H15" s="9">
        <f t="shared" si="8"/>
        <v>6.3053076656688338</v>
      </c>
      <c r="J15" t="s">
        <v>4</v>
      </c>
      <c r="K15">
        <f>SUMSQ(K2:K13)</f>
        <v>12</v>
      </c>
      <c r="L15">
        <f t="shared" ref="L15" si="12">SUMSQ(L2:L13)</f>
        <v>12</v>
      </c>
    </row>
    <row r="16" spans="1:19" x14ac:dyDescent="0.3">
      <c r="A16" s="5">
        <v>2</v>
      </c>
      <c r="B16">
        <f t="shared" ref="B16:D23" si="13">0.43+$O$25*POWER(B$14, $O$26)*POWER($A16,$O$27)</f>
        <v>111.9597876311479</v>
      </c>
      <c r="C16">
        <f t="shared" si="13"/>
        <v>265.04438374462268</v>
      </c>
      <c r="D16" s="6">
        <f t="shared" si="13"/>
        <v>395.87128446945826</v>
      </c>
    </row>
    <row r="17" spans="1:21" ht="15" thickBot="1" x14ac:dyDescent="0.35">
      <c r="A17" s="10">
        <v>2</v>
      </c>
      <c r="B17">
        <f t="shared" si="13"/>
        <v>111.9597876311479</v>
      </c>
      <c r="C17">
        <f t="shared" si="13"/>
        <v>265.04438374462268</v>
      </c>
      <c r="D17" s="6">
        <f t="shared" si="13"/>
        <v>395.87128446945826</v>
      </c>
      <c r="E17" s="3" t="s">
        <v>35</v>
      </c>
      <c r="F17" s="3" t="s">
        <v>0</v>
      </c>
      <c r="G17" s="3">
        <v>-1</v>
      </c>
      <c r="H17" s="4">
        <v>1</v>
      </c>
    </row>
    <row r="18" spans="1:21" x14ac:dyDescent="0.3">
      <c r="A18" s="5">
        <v>4</v>
      </c>
      <c r="B18">
        <f t="shared" si="13"/>
        <v>138.44431874907539</v>
      </c>
      <c r="C18">
        <f t="shared" si="13"/>
        <v>327.88129959810919</v>
      </c>
      <c r="D18" s="6">
        <f t="shared" si="13"/>
        <v>489.77513945106375</v>
      </c>
      <c r="F18">
        <v>-1</v>
      </c>
      <c r="G18">
        <f>G10</f>
        <v>4.7164431883975197</v>
      </c>
      <c r="H18" s="6">
        <f>H10</f>
        <v>5.9670950073239704</v>
      </c>
      <c r="Q18" s="2" t="s">
        <v>21</v>
      </c>
      <c r="R18" s="4">
        <v>2</v>
      </c>
    </row>
    <row r="19" spans="1:21" x14ac:dyDescent="0.3">
      <c r="A19" s="5">
        <v>4</v>
      </c>
      <c r="B19">
        <f t="shared" si="13"/>
        <v>138.44431874907539</v>
      </c>
      <c r="C19">
        <f t="shared" si="13"/>
        <v>327.88129959810919</v>
      </c>
      <c r="D19" s="6">
        <f t="shared" si="13"/>
        <v>489.77513945106375</v>
      </c>
      <c r="F19">
        <v>-1</v>
      </c>
      <c r="G19">
        <f t="shared" ref="G19:H23" si="14">G11</f>
        <v>4.7173374828588388</v>
      </c>
      <c r="H19" s="6">
        <f t="shared" si="14"/>
        <v>5.9727148652701159</v>
      </c>
      <c r="Q19" s="5" t="s">
        <v>22</v>
      </c>
      <c r="R19" s="6">
        <f>POWER(2,R18)</f>
        <v>4</v>
      </c>
    </row>
    <row r="20" spans="1:21" ht="15" thickBot="1" x14ac:dyDescent="0.35">
      <c r="A20" s="10">
        <v>4</v>
      </c>
      <c r="B20">
        <f t="shared" si="13"/>
        <v>138.44431874907539</v>
      </c>
      <c r="C20">
        <f t="shared" si="13"/>
        <v>327.88129959810919</v>
      </c>
      <c r="D20" s="6">
        <f t="shared" si="13"/>
        <v>489.77513945106375</v>
      </c>
      <c r="F20">
        <v>-1</v>
      </c>
      <c r="G20">
        <f t="shared" si="14"/>
        <v>4.7209066844706884</v>
      </c>
      <c r="H20" s="6">
        <f t="shared" si="14"/>
        <v>5.988384809581059</v>
      </c>
      <c r="J20" s="2" t="s">
        <v>37</v>
      </c>
      <c r="K20" s="3" t="s">
        <v>5</v>
      </c>
      <c r="L20" s="4">
        <f>M14/COUNT(M2:M13)</f>
        <v>5.5159976020656458</v>
      </c>
      <c r="Q20" s="5" t="s">
        <v>19</v>
      </c>
      <c r="R20" s="6">
        <v>3</v>
      </c>
      <c r="T20" t="s">
        <v>46</v>
      </c>
      <c r="U20">
        <f>R27/R19</f>
        <v>4.6089702821575568E-5</v>
      </c>
    </row>
    <row r="21" spans="1:21" x14ac:dyDescent="0.3">
      <c r="A21" s="5">
        <v>6</v>
      </c>
      <c r="B21">
        <f t="shared" si="13"/>
        <v>156.76371185813153</v>
      </c>
      <c r="C21">
        <f t="shared" si="13"/>
        <v>371.34569616058013</v>
      </c>
      <c r="D21" s="6">
        <f t="shared" si="13"/>
        <v>554.72858817190513</v>
      </c>
      <c r="F21">
        <v>1</v>
      </c>
      <c r="G21">
        <f t="shared" si="14"/>
        <v>5.0515852804252095</v>
      </c>
      <c r="H21" s="6">
        <f t="shared" si="14"/>
        <v>6.338541073264877</v>
      </c>
      <c r="J21" s="5"/>
      <c r="K21" t="s">
        <v>9</v>
      </c>
      <c r="L21" s="6">
        <f>N14/COUNT(M2:M13)</f>
        <v>0.63285530193793071</v>
      </c>
      <c r="Q21" t="s">
        <v>48</v>
      </c>
      <c r="R21">
        <f>R19-3</f>
        <v>1</v>
      </c>
      <c r="T21" t="s">
        <v>45</v>
      </c>
      <c r="U21">
        <f>SQRT(U20)</f>
        <v>6.788939742078697E-3</v>
      </c>
    </row>
    <row r="22" spans="1:21" x14ac:dyDescent="0.3">
      <c r="A22" s="5">
        <v>6</v>
      </c>
      <c r="B22">
        <f t="shared" si="13"/>
        <v>156.76371185813153</v>
      </c>
      <c r="C22">
        <f t="shared" si="13"/>
        <v>371.34569616058013</v>
      </c>
      <c r="D22" s="6">
        <f t="shared" si="13"/>
        <v>554.72858817190513</v>
      </c>
      <c r="F22">
        <v>1</v>
      </c>
      <c r="G22">
        <f t="shared" si="14"/>
        <v>5.0643024353451915</v>
      </c>
      <c r="H22" s="6">
        <f t="shared" si="14"/>
        <v>6.3210740029126109</v>
      </c>
      <c r="J22" s="7"/>
      <c r="K22" s="8" t="s">
        <v>10</v>
      </c>
      <c r="L22" s="9">
        <f>O14/COUNT(M2:M13)</f>
        <v>0.16885059574861541</v>
      </c>
      <c r="Q22" s="5" t="s">
        <v>23</v>
      </c>
      <c r="R22" s="6">
        <f>R19-(R18+1)</f>
        <v>1</v>
      </c>
      <c r="T22" t="s">
        <v>47</v>
      </c>
      <c r="U22">
        <f>_xlfn.T.INV.2T(0.05,R23)</f>
        <v>2.3060041352041671</v>
      </c>
    </row>
    <row r="23" spans="1:21" x14ac:dyDescent="0.3">
      <c r="A23" s="7">
        <v>6</v>
      </c>
      <c r="B23" s="8">
        <f t="shared" si="13"/>
        <v>156.76371185813153</v>
      </c>
      <c r="C23" s="8">
        <f t="shared" si="13"/>
        <v>371.34569616058013</v>
      </c>
      <c r="D23" s="9">
        <f t="shared" si="13"/>
        <v>554.72858817190513</v>
      </c>
      <c r="E23" s="8"/>
      <c r="F23" s="8">
        <v>1</v>
      </c>
      <c r="G23" s="8">
        <f t="shared" si="14"/>
        <v>5.0282787292688509</v>
      </c>
      <c r="H23" s="9">
        <f t="shared" si="14"/>
        <v>6.3053076656688338</v>
      </c>
      <c r="Q23" s="5" t="s">
        <v>24</v>
      </c>
      <c r="R23" s="6">
        <f>R19*(R20-1)</f>
        <v>8</v>
      </c>
      <c r="T23" t="s">
        <v>49</v>
      </c>
      <c r="U23">
        <f>L20/$U$21</f>
        <v>812.49765230302512</v>
      </c>
    </row>
    <row r="24" spans="1:21" x14ac:dyDescent="0.3">
      <c r="K24" s="2" t="s">
        <v>12</v>
      </c>
      <c r="L24" s="4" t="s">
        <v>11</v>
      </c>
      <c r="Q24" s="5" t="s">
        <v>25</v>
      </c>
      <c r="R24" s="6">
        <v>0.05</v>
      </c>
      <c r="T24" t="s">
        <v>50</v>
      </c>
      <c r="U24">
        <f>L21/$U$21</f>
        <v>93.218576976816351</v>
      </c>
    </row>
    <row r="25" spans="1:21" x14ac:dyDescent="0.3">
      <c r="J25" s="2" t="s">
        <v>52</v>
      </c>
      <c r="K25" s="5" t="s">
        <v>13</v>
      </c>
      <c r="L25" s="6">
        <v>-3.2871758959999999</v>
      </c>
      <c r="M25" t="s">
        <v>17</v>
      </c>
      <c r="N25" s="2" t="s">
        <v>16</v>
      </c>
      <c r="O25" s="4">
        <f>EXP(L25)</f>
        <v>3.7359206841478622E-2</v>
      </c>
      <c r="Q25" s="11" t="s">
        <v>26</v>
      </c>
      <c r="R25" s="12">
        <f>_xlfn.F.INV.RT(R24,R23,R22)</f>
        <v>238.88269480252418</v>
      </c>
      <c r="T25" t="s">
        <v>51</v>
      </c>
      <c r="U25">
        <f>L22/$U$21</f>
        <v>24.871423545278848</v>
      </c>
    </row>
    <row r="26" spans="1:21" x14ac:dyDescent="0.3">
      <c r="K26" s="5" t="s">
        <v>14</v>
      </c>
      <c r="L26" s="6">
        <v>0.78643021800000001</v>
      </c>
      <c r="M26" t="s">
        <v>17</v>
      </c>
      <c r="N26" s="5" t="s">
        <v>18</v>
      </c>
      <c r="O26" s="6">
        <f>L26</f>
        <v>0.78643021800000001</v>
      </c>
      <c r="Q26" s="5" t="s">
        <v>43</v>
      </c>
      <c r="R26" s="6">
        <f>SUMSQ(R2:R13)/R21</f>
        <v>1.6609092569556659E-3</v>
      </c>
    </row>
    <row r="27" spans="1:21" x14ac:dyDescent="0.3">
      <c r="K27" s="7" t="s">
        <v>15</v>
      </c>
      <c r="L27" s="9">
        <v>0.30738887199999998</v>
      </c>
      <c r="M27" t="s">
        <v>17</v>
      </c>
      <c r="N27" s="7" t="s">
        <v>19</v>
      </c>
      <c r="O27" s="9">
        <f>L27</f>
        <v>0.30738887199999998</v>
      </c>
      <c r="Q27" s="5" t="s">
        <v>44</v>
      </c>
      <c r="R27" s="6">
        <f>SUMSQ(S2:S13)/((R20-1)*R19)</f>
        <v>1.8435881128630227E-4</v>
      </c>
    </row>
    <row r="28" spans="1:21" x14ac:dyDescent="0.3">
      <c r="Q28" s="13" t="s">
        <v>28</v>
      </c>
      <c r="R28" s="14">
        <f>R26/R27</f>
        <v>9.00911242249407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E9F7-3B0A-4937-AD28-A03B968D5428}">
  <dimension ref="A1:S36"/>
  <sheetViews>
    <sheetView zoomScale="70" zoomScaleNormal="70" workbookViewId="0">
      <selection activeCell="H29" sqref="H29"/>
    </sheetView>
  </sheetViews>
  <sheetFormatPr defaultRowHeight="14.4" x14ac:dyDescent="0.3"/>
  <cols>
    <col min="12" max="12" width="12.6640625" bestFit="1" customWidth="1"/>
    <col min="21" max="21" width="12" bestFit="1" customWidth="1"/>
  </cols>
  <sheetData>
    <row r="1" spans="1:19" x14ac:dyDescent="0.3">
      <c r="A1" s="2" t="s">
        <v>0</v>
      </c>
      <c r="B1" s="3">
        <v>20000</v>
      </c>
      <c r="C1" s="3">
        <v>60000</v>
      </c>
      <c r="D1" s="4">
        <v>100000</v>
      </c>
      <c r="F1" s="3" t="s">
        <v>33</v>
      </c>
      <c r="J1" s="2" t="s">
        <v>36</v>
      </c>
      <c r="K1" s="3" t="s">
        <v>1</v>
      </c>
      <c r="L1" s="3" t="s">
        <v>2</v>
      </c>
      <c r="M1" s="3" t="s">
        <v>6</v>
      </c>
      <c r="N1" s="3" t="s">
        <v>7</v>
      </c>
      <c r="O1" s="3" t="s">
        <v>8</v>
      </c>
      <c r="P1" s="3" t="s">
        <v>38</v>
      </c>
      <c r="Q1" s="3" t="s">
        <v>40</v>
      </c>
      <c r="R1" s="3" t="s">
        <v>39</v>
      </c>
      <c r="S1" s="4" t="s">
        <v>41</v>
      </c>
    </row>
    <row r="2" spans="1:19" x14ac:dyDescent="0.3">
      <c r="A2" s="5">
        <v>2</v>
      </c>
      <c r="B2">
        <v>112.2</v>
      </c>
      <c r="C2">
        <v>258.89999999999998</v>
      </c>
      <c r="D2" s="6">
        <v>390.8</v>
      </c>
      <c r="F2" s="2" t="s">
        <v>0</v>
      </c>
      <c r="G2">
        <f>B1</f>
        <v>20000</v>
      </c>
      <c r="H2" s="6">
        <f>D1</f>
        <v>100000</v>
      </c>
      <c r="J2" s="5"/>
      <c r="K2">
        <v>-1</v>
      </c>
      <c r="L2">
        <v>-1</v>
      </c>
      <c r="M2">
        <f>G12</f>
        <v>112.2</v>
      </c>
      <c r="N2">
        <f>K2*$M2</f>
        <v>-112.2</v>
      </c>
      <c r="O2">
        <f>L2*$M2</f>
        <v>-112.2</v>
      </c>
      <c r="P2">
        <f t="shared" ref="P2:P13" si="0">$H$20+K2*$H$21+L2*$H$22</f>
        <v>82.683333333333337</v>
      </c>
      <c r="Q2">
        <f>AVERAGE($M$2:$M$4)</f>
        <v>112.39999999999999</v>
      </c>
      <c r="R2">
        <f>M2-P2</f>
        <v>29.516666666666666</v>
      </c>
      <c r="S2" s="6">
        <f>M2-Q2</f>
        <v>-0.19999999999998863</v>
      </c>
    </row>
    <row r="3" spans="1:19" x14ac:dyDescent="0.3">
      <c r="A3" s="5">
        <v>2</v>
      </c>
      <c r="B3">
        <v>112.3</v>
      </c>
      <c r="C3">
        <v>269.7</v>
      </c>
      <c r="D3" s="6">
        <v>393</v>
      </c>
      <c r="F3">
        <f>A2</f>
        <v>2</v>
      </c>
      <c r="G3">
        <f>B2</f>
        <v>112.2</v>
      </c>
      <c r="H3" s="6">
        <f>D2</f>
        <v>390.8</v>
      </c>
      <c r="J3" s="5"/>
      <c r="K3">
        <v>-1</v>
      </c>
      <c r="L3">
        <v>-1</v>
      </c>
      <c r="M3">
        <f t="shared" ref="M3:M4" si="1">G13</f>
        <v>112.3</v>
      </c>
      <c r="N3">
        <f t="shared" ref="N3:N13" si="2">K3*$M3</f>
        <v>-112.3</v>
      </c>
      <c r="O3">
        <f t="shared" ref="O3:O13" si="3">L3*$M3</f>
        <v>-112.3</v>
      </c>
      <c r="P3">
        <f t="shared" si="0"/>
        <v>82.683333333333337</v>
      </c>
      <c r="Q3">
        <f t="shared" ref="Q3:Q4" si="4">AVERAGE($M$2:$M$4)</f>
        <v>112.39999999999999</v>
      </c>
      <c r="R3">
        <f t="shared" ref="R3:R13" si="5">M3-P3</f>
        <v>29.61666666666666</v>
      </c>
      <c r="S3" s="6">
        <f t="shared" ref="S3:S13" si="6">M3-Q3</f>
        <v>-9.9999999999994316E-2</v>
      </c>
    </row>
    <row r="4" spans="1:19" ht="15" thickBot="1" x14ac:dyDescent="0.35">
      <c r="A4" s="10">
        <v>2</v>
      </c>
      <c r="B4">
        <v>112.7</v>
      </c>
      <c r="C4">
        <v>260.89999999999998</v>
      </c>
      <c r="D4" s="6">
        <v>399.2</v>
      </c>
      <c r="F4">
        <f t="shared" ref="F4:F5" si="7">A3</f>
        <v>2</v>
      </c>
      <c r="G4">
        <f t="shared" ref="G4:G5" si="8">B3</f>
        <v>112.3</v>
      </c>
      <c r="H4" s="6">
        <f t="shared" ref="H4:H5" si="9">D3</f>
        <v>393</v>
      </c>
      <c r="J4" s="5"/>
      <c r="K4">
        <v>-1</v>
      </c>
      <c r="L4">
        <v>-1</v>
      </c>
      <c r="M4">
        <f t="shared" si="1"/>
        <v>112.7</v>
      </c>
      <c r="N4">
        <f t="shared" si="2"/>
        <v>-112.7</v>
      </c>
      <c r="O4">
        <f t="shared" si="3"/>
        <v>-112.7</v>
      </c>
      <c r="P4">
        <f t="shared" si="0"/>
        <v>82.683333333333337</v>
      </c>
      <c r="Q4">
        <f t="shared" si="4"/>
        <v>112.39999999999999</v>
      </c>
      <c r="R4">
        <f t="shared" si="5"/>
        <v>30.016666666666666</v>
      </c>
      <c r="S4" s="6">
        <f t="shared" si="6"/>
        <v>0.30000000000001137</v>
      </c>
    </row>
    <row r="5" spans="1:19" x14ac:dyDescent="0.3">
      <c r="A5" s="5">
        <v>4</v>
      </c>
      <c r="B5">
        <v>140.80000000000001</v>
      </c>
      <c r="C5">
        <v>327.39999999999998</v>
      </c>
      <c r="D5" s="6">
        <v>479.9</v>
      </c>
      <c r="F5">
        <f t="shared" si="7"/>
        <v>2</v>
      </c>
      <c r="G5">
        <f t="shared" si="8"/>
        <v>112.7</v>
      </c>
      <c r="H5" s="6">
        <f t="shared" si="9"/>
        <v>399.2</v>
      </c>
      <c r="J5" s="5"/>
      <c r="K5">
        <v>1</v>
      </c>
      <c r="L5">
        <v>-1</v>
      </c>
      <c r="M5">
        <f>H12</f>
        <v>390.8</v>
      </c>
      <c r="N5">
        <f t="shared" si="2"/>
        <v>390.8</v>
      </c>
      <c r="O5">
        <f t="shared" si="3"/>
        <v>-390.8</v>
      </c>
      <c r="P5">
        <f t="shared" si="0"/>
        <v>424.04999999999995</v>
      </c>
      <c r="Q5">
        <f>AVERAGE($M$5:$M$7)</f>
        <v>394.33333333333331</v>
      </c>
      <c r="R5">
        <f t="shared" si="5"/>
        <v>-33.249999999999943</v>
      </c>
      <c r="S5" s="6">
        <f t="shared" si="6"/>
        <v>-3.533333333333303</v>
      </c>
    </row>
    <row r="6" spans="1:19" x14ac:dyDescent="0.3">
      <c r="A6" s="5">
        <v>4</v>
      </c>
      <c r="B6">
        <v>136</v>
      </c>
      <c r="C6">
        <v>330.2</v>
      </c>
      <c r="D6" s="6">
        <v>482.7</v>
      </c>
      <c r="F6">
        <f>A8</f>
        <v>6</v>
      </c>
      <c r="G6">
        <f>B8</f>
        <v>156.69999999999999</v>
      </c>
      <c r="H6" s="6">
        <f>D8</f>
        <v>566.4</v>
      </c>
      <c r="J6" s="5"/>
      <c r="K6">
        <v>1</v>
      </c>
      <c r="L6">
        <v>-1</v>
      </c>
      <c r="M6">
        <f t="shared" ref="M6:M7" si="10">H13</f>
        <v>393</v>
      </c>
      <c r="N6">
        <f t="shared" si="2"/>
        <v>393</v>
      </c>
      <c r="O6">
        <f t="shared" si="3"/>
        <v>-393</v>
      </c>
      <c r="P6">
        <f t="shared" si="0"/>
        <v>424.04999999999995</v>
      </c>
      <c r="Q6">
        <f t="shared" ref="Q6:Q7" si="11">AVERAGE($M$5:$M$7)</f>
        <v>394.33333333333331</v>
      </c>
      <c r="R6">
        <f t="shared" si="5"/>
        <v>-31.049999999999955</v>
      </c>
      <c r="S6" s="6">
        <f t="shared" si="6"/>
        <v>-1.3333333333333144</v>
      </c>
    </row>
    <row r="7" spans="1:19" ht="15" thickBot="1" x14ac:dyDescent="0.35">
      <c r="A7" s="10">
        <v>4</v>
      </c>
      <c r="B7">
        <v>135</v>
      </c>
      <c r="C7">
        <v>317.8</v>
      </c>
      <c r="D7" s="6">
        <v>491.8</v>
      </c>
      <c r="F7">
        <f t="shared" ref="F7:F8" si="12">A9</f>
        <v>6</v>
      </c>
      <c r="G7">
        <f t="shared" ref="G7:G8" si="13">B9</f>
        <v>158.69999999999999</v>
      </c>
      <c r="H7" s="6">
        <f t="shared" ref="H7:H8" si="14">D9</f>
        <v>556.6</v>
      </c>
      <c r="J7" s="5"/>
      <c r="K7">
        <v>1</v>
      </c>
      <c r="L7">
        <v>-1</v>
      </c>
      <c r="M7">
        <f t="shared" si="10"/>
        <v>399.2</v>
      </c>
      <c r="N7">
        <f t="shared" si="2"/>
        <v>399.2</v>
      </c>
      <c r="O7">
        <f t="shared" si="3"/>
        <v>-399.2</v>
      </c>
      <c r="P7">
        <f t="shared" si="0"/>
        <v>424.04999999999995</v>
      </c>
      <c r="Q7">
        <f t="shared" si="11"/>
        <v>394.33333333333331</v>
      </c>
      <c r="R7">
        <f t="shared" si="5"/>
        <v>-24.849999999999966</v>
      </c>
      <c r="S7" s="6">
        <f t="shared" si="6"/>
        <v>4.8666666666666742</v>
      </c>
    </row>
    <row r="8" spans="1:19" x14ac:dyDescent="0.3">
      <c r="A8" s="5">
        <v>6</v>
      </c>
      <c r="B8">
        <v>156.69999999999999</v>
      </c>
      <c r="C8">
        <v>380.7</v>
      </c>
      <c r="D8" s="6">
        <v>566.4</v>
      </c>
      <c r="F8">
        <f t="shared" si="12"/>
        <v>6</v>
      </c>
      <c r="G8">
        <f t="shared" si="13"/>
        <v>153.1</v>
      </c>
      <c r="H8" s="6">
        <f t="shared" si="14"/>
        <v>547.9</v>
      </c>
      <c r="J8" s="5"/>
      <c r="K8">
        <v>-1</v>
      </c>
      <c r="L8">
        <v>1</v>
      </c>
      <c r="M8">
        <f>G15</f>
        <v>156.69999999999999</v>
      </c>
      <c r="N8">
        <f t="shared" si="2"/>
        <v>-156.69999999999999</v>
      </c>
      <c r="O8">
        <f t="shared" si="3"/>
        <v>156.69999999999999</v>
      </c>
      <c r="P8">
        <f t="shared" si="0"/>
        <v>185.88333333333333</v>
      </c>
      <c r="Q8">
        <f>AVERAGE($M$8:$M$10)</f>
        <v>156.16666666666666</v>
      </c>
      <c r="R8">
        <f t="shared" si="5"/>
        <v>-29.183333333333337</v>
      </c>
      <c r="S8" s="6">
        <f t="shared" si="6"/>
        <v>0.53333333333333144</v>
      </c>
    </row>
    <row r="9" spans="1:19" x14ac:dyDescent="0.3">
      <c r="A9" s="5">
        <v>6</v>
      </c>
      <c r="B9">
        <v>158.69999999999999</v>
      </c>
      <c r="C9">
        <v>365.4</v>
      </c>
      <c r="D9" s="6">
        <v>556.6</v>
      </c>
      <c r="J9" s="5"/>
      <c r="K9">
        <v>-1</v>
      </c>
      <c r="L9">
        <v>1</v>
      </c>
      <c r="M9">
        <f t="shared" ref="M9:M10" si="15">G16</f>
        <v>158.69999999999999</v>
      </c>
      <c r="N9">
        <f t="shared" si="2"/>
        <v>-158.69999999999999</v>
      </c>
      <c r="O9">
        <f t="shared" si="3"/>
        <v>158.69999999999999</v>
      </c>
      <c r="P9">
        <f t="shared" si="0"/>
        <v>185.88333333333333</v>
      </c>
      <c r="Q9">
        <f t="shared" ref="Q9:Q10" si="16">AVERAGE($M$8:$M$10)</f>
        <v>156.16666666666666</v>
      </c>
      <c r="R9">
        <f t="shared" si="5"/>
        <v>-27.183333333333337</v>
      </c>
      <c r="S9" s="6">
        <f t="shared" si="6"/>
        <v>2.5333333333333314</v>
      </c>
    </row>
    <row r="10" spans="1:19" x14ac:dyDescent="0.3">
      <c r="A10" s="7">
        <v>6</v>
      </c>
      <c r="B10" s="8">
        <v>153.1</v>
      </c>
      <c r="C10" s="8">
        <v>381.8</v>
      </c>
      <c r="D10" s="9">
        <v>547.9</v>
      </c>
      <c r="F10" t="s">
        <v>35</v>
      </c>
      <c r="J10" s="5"/>
      <c r="K10">
        <v>-1</v>
      </c>
      <c r="L10">
        <v>1</v>
      </c>
      <c r="M10">
        <f t="shared" si="15"/>
        <v>153.1</v>
      </c>
      <c r="N10">
        <f t="shared" si="2"/>
        <v>-153.1</v>
      </c>
      <c r="O10">
        <f t="shared" si="3"/>
        <v>153.1</v>
      </c>
      <c r="P10">
        <f t="shared" si="0"/>
        <v>185.88333333333333</v>
      </c>
      <c r="Q10">
        <f t="shared" si="16"/>
        <v>156.16666666666666</v>
      </c>
      <c r="R10">
        <f t="shared" si="5"/>
        <v>-32.783333333333331</v>
      </c>
      <c r="S10" s="6">
        <f t="shared" si="6"/>
        <v>-3.0666666666666629</v>
      </c>
    </row>
    <row r="11" spans="1:19" x14ac:dyDescent="0.3">
      <c r="F11" s="2" t="s">
        <v>53</v>
      </c>
      <c r="G11" s="3">
        <v>-1</v>
      </c>
      <c r="H11" s="4">
        <v>1</v>
      </c>
      <c r="J11" s="5"/>
      <c r="K11">
        <v>1</v>
      </c>
      <c r="L11">
        <v>1</v>
      </c>
      <c r="M11">
        <f t="shared" ref="M11:M13" si="17">H15</f>
        <v>566.4</v>
      </c>
      <c r="N11">
        <f t="shared" si="2"/>
        <v>566.4</v>
      </c>
      <c r="O11">
        <f t="shared" si="3"/>
        <v>566.4</v>
      </c>
      <c r="P11">
        <f t="shared" si="0"/>
        <v>527.25</v>
      </c>
      <c r="Q11">
        <f>AVERAGE($M$11:$M$13)</f>
        <v>556.9666666666667</v>
      </c>
      <c r="R11">
        <f t="shared" si="5"/>
        <v>39.149999999999977</v>
      </c>
      <c r="S11" s="6">
        <f t="shared" si="6"/>
        <v>9.4333333333332803</v>
      </c>
    </row>
    <row r="12" spans="1:19" x14ac:dyDescent="0.3">
      <c r="F12" s="5">
        <v>-1</v>
      </c>
      <c r="G12">
        <f t="shared" ref="G12:H17" si="18">G3</f>
        <v>112.2</v>
      </c>
      <c r="H12" s="6">
        <f t="shared" si="18"/>
        <v>390.8</v>
      </c>
      <c r="J12" s="5"/>
      <c r="K12">
        <v>1</v>
      </c>
      <c r="L12">
        <v>1</v>
      </c>
      <c r="M12">
        <f t="shared" si="17"/>
        <v>556.6</v>
      </c>
      <c r="N12">
        <f t="shared" si="2"/>
        <v>556.6</v>
      </c>
      <c r="O12">
        <f t="shared" si="3"/>
        <v>556.6</v>
      </c>
      <c r="P12">
        <f t="shared" si="0"/>
        <v>527.25</v>
      </c>
      <c r="Q12">
        <f t="shared" ref="Q12:Q13" si="19">AVERAGE($M$11:$M$13)</f>
        <v>556.9666666666667</v>
      </c>
      <c r="R12">
        <f t="shared" si="5"/>
        <v>29.350000000000023</v>
      </c>
      <c r="S12" s="6">
        <f t="shared" si="6"/>
        <v>-0.36666666666667425</v>
      </c>
    </row>
    <row r="13" spans="1:19" x14ac:dyDescent="0.3">
      <c r="A13" s="19" t="s">
        <v>55</v>
      </c>
      <c r="B13" s="25"/>
      <c r="C13" s="25"/>
      <c r="D13" s="20"/>
      <c r="F13" s="5">
        <v>-1</v>
      </c>
      <c r="G13">
        <f t="shared" si="18"/>
        <v>112.3</v>
      </c>
      <c r="H13" s="6">
        <f t="shared" si="18"/>
        <v>393</v>
      </c>
      <c r="J13" s="5"/>
      <c r="K13">
        <v>1</v>
      </c>
      <c r="L13">
        <v>1</v>
      </c>
      <c r="M13">
        <f t="shared" si="17"/>
        <v>547.9</v>
      </c>
      <c r="N13">
        <f t="shared" si="2"/>
        <v>547.9</v>
      </c>
      <c r="O13">
        <f t="shared" si="3"/>
        <v>547.9</v>
      </c>
      <c r="P13">
        <f t="shared" si="0"/>
        <v>527.25</v>
      </c>
      <c r="Q13">
        <f t="shared" si="19"/>
        <v>556.9666666666667</v>
      </c>
      <c r="R13">
        <f t="shared" si="5"/>
        <v>20.649999999999977</v>
      </c>
      <c r="S13" s="6">
        <f t="shared" si="6"/>
        <v>-9.0666666666667197</v>
      </c>
    </row>
    <row r="14" spans="1:19" x14ac:dyDescent="0.3">
      <c r="A14" s="21" t="s">
        <v>0</v>
      </c>
      <c r="B14" s="18">
        <f>B1</f>
        <v>20000</v>
      </c>
      <c r="C14" s="18">
        <f t="shared" ref="C14:D14" si="20">C1</f>
        <v>60000</v>
      </c>
      <c r="D14" s="18">
        <f t="shared" si="20"/>
        <v>100000</v>
      </c>
      <c r="F14" s="5">
        <v>-1</v>
      </c>
      <c r="G14">
        <f t="shared" si="18"/>
        <v>112.7</v>
      </c>
      <c r="H14" s="6">
        <f t="shared" si="18"/>
        <v>399.2</v>
      </c>
      <c r="J14" s="5" t="s">
        <v>3</v>
      </c>
      <c r="K14">
        <f>SUM(K2:K13)</f>
        <v>0</v>
      </c>
      <c r="L14">
        <f t="shared" ref="L14:O14" si="21">SUM(L2:L13)</f>
        <v>0</v>
      </c>
      <c r="M14">
        <f>SUM(M2:M13)</f>
        <v>3659.6</v>
      </c>
      <c r="N14">
        <f>SUM(N2:N13)</f>
        <v>2048.1999999999998</v>
      </c>
      <c r="O14">
        <f t="shared" si="21"/>
        <v>619.19999999999993</v>
      </c>
      <c r="S14" s="6"/>
    </row>
    <row r="15" spans="1:19" x14ac:dyDescent="0.3">
      <c r="A15" s="21">
        <f>A2</f>
        <v>2</v>
      </c>
      <c r="B15" s="18">
        <f t="shared" ref="B15:D23" si="22">0.43+$H$29+$H$29*B$14*$H$30+$H$29*$A15*$H$31</f>
        <v>82.683333333333323</v>
      </c>
      <c r="C15" s="18">
        <f t="shared" si="22"/>
        <v>253.36666666666665</v>
      </c>
      <c r="D15" s="18">
        <f t="shared" si="22"/>
        <v>424.04999999999995</v>
      </c>
      <c r="F15" s="5">
        <v>1</v>
      </c>
      <c r="G15">
        <f t="shared" si="18"/>
        <v>156.69999999999999</v>
      </c>
      <c r="H15" s="6">
        <f t="shared" si="18"/>
        <v>566.4</v>
      </c>
      <c r="J15" s="7" t="s">
        <v>4</v>
      </c>
      <c r="K15" s="8">
        <f>SUMSQ(K2:K13)</f>
        <v>12</v>
      </c>
      <c r="L15" s="8">
        <f t="shared" ref="L15" si="23">SUMSQ(L2:L13)</f>
        <v>12</v>
      </c>
      <c r="M15" s="8"/>
      <c r="N15" s="8"/>
      <c r="O15" s="8"/>
      <c r="P15" s="8"/>
      <c r="Q15" s="8"/>
      <c r="R15" s="8"/>
      <c r="S15" s="9"/>
    </row>
    <row r="16" spans="1:19" x14ac:dyDescent="0.3">
      <c r="A16" s="21">
        <f t="shared" ref="A16:A23" si="24">A3</f>
        <v>2</v>
      </c>
      <c r="B16" s="18">
        <f t="shared" si="22"/>
        <v>82.683333333333323</v>
      </c>
      <c r="C16" s="18">
        <f t="shared" si="22"/>
        <v>253.36666666666665</v>
      </c>
      <c r="D16" s="18">
        <f t="shared" si="22"/>
        <v>424.04999999999995</v>
      </c>
      <c r="F16" s="5">
        <v>1</v>
      </c>
      <c r="G16">
        <f t="shared" si="18"/>
        <v>158.69999999999999</v>
      </c>
      <c r="H16" s="6">
        <f t="shared" si="18"/>
        <v>556.6</v>
      </c>
    </row>
    <row r="17" spans="1:14" x14ac:dyDescent="0.3">
      <c r="A17" s="21">
        <f t="shared" si="24"/>
        <v>2</v>
      </c>
      <c r="B17" s="18">
        <f t="shared" si="22"/>
        <v>82.683333333333323</v>
      </c>
      <c r="C17" s="18">
        <f t="shared" si="22"/>
        <v>253.36666666666665</v>
      </c>
      <c r="D17" s="18">
        <f t="shared" si="22"/>
        <v>424.04999999999995</v>
      </c>
      <c r="F17" s="7">
        <v>1</v>
      </c>
      <c r="G17" s="8">
        <f t="shared" si="18"/>
        <v>153.1</v>
      </c>
      <c r="H17" s="9">
        <f t="shared" si="18"/>
        <v>547.9</v>
      </c>
    </row>
    <row r="18" spans="1:14" x14ac:dyDescent="0.3">
      <c r="A18" s="21">
        <f t="shared" si="24"/>
        <v>4</v>
      </c>
      <c r="B18" s="18">
        <f t="shared" si="22"/>
        <v>134.2833333333333</v>
      </c>
      <c r="C18" s="18">
        <f t="shared" si="22"/>
        <v>304.96666666666664</v>
      </c>
      <c r="D18" s="18">
        <f t="shared" si="22"/>
        <v>475.64999999999992</v>
      </c>
      <c r="J18" s="2" t="s">
        <v>21</v>
      </c>
      <c r="K18" s="4">
        <v>2</v>
      </c>
      <c r="L18" t="s">
        <v>90</v>
      </c>
    </row>
    <row r="19" spans="1:14" x14ac:dyDescent="0.3">
      <c r="A19" s="21">
        <f t="shared" si="24"/>
        <v>4</v>
      </c>
      <c r="B19" s="18">
        <f t="shared" si="22"/>
        <v>134.2833333333333</v>
      </c>
      <c r="C19" s="18">
        <f t="shared" si="22"/>
        <v>304.96666666666664</v>
      </c>
      <c r="D19" s="18">
        <f t="shared" si="22"/>
        <v>475.64999999999992</v>
      </c>
      <c r="F19" s="2" t="s">
        <v>37</v>
      </c>
      <c r="J19" s="5" t="s">
        <v>22</v>
      </c>
      <c r="K19" s="6">
        <f>POWER(2,K18)</f>
        <v>4</v>
      </c>
      <c r="L19" t="s">
        <v>91</v>
      </c>
    </row>
    <row r="20" spans="1:14" x14ac:dyDescent="0.3">
      <c r="A20" s="21">
        <f t="shared" si="24"/>
        <v>4</v>
      </c>
      <c r="B20" s="18">
        <f t="shared" si="22"/>
        <v>134.2833333333333</v>
      </c>
      <c r="C20" s="18">
        <f t="shared" si="22"/>
        <v>304.96666666666664</v>
      </c>
      <c r="D20" s="18">
        <f t="shared" si="22"/>
        <v>475.64999999999992</v>
      </c>
      <c r="G20" s="2" t="s">
        <v>5</v>
      </c>
      <c r="H20" s="4">
        <f>M14/COUNT(M2:M13)</f>
        <v>304.96666666666664</v>
      </c>
      <c r="J20" s="5" t="s">
        <v>19</v>
      </c>
      <c r="K20" s="6">
        <v>3</v>
      </c>
      <c r="L20" t="s">
        <v>92</v>
      </c>
      <c r="M20" t="s">
        <v>46</v>
      </c>
      <c r="N20">
        <f>K28/K19</f>
        <v>7.0474999999999923</v>
      </c>
    </row>
    <row r="21" spans="1:14" x14ac:dyDescent="0.3">
      <c r="A21" s="21">
        <f t="shared" si="24"/>
        <v>6</v>
      </c>
      <c r="B21" s="18">
        <f t="shared" si="22"/>
        <v>185.88333333333333</v>
      </c>
      <c r="C21" s="18">
        <f t="shared" si="22"/>
        <v>356.56666666666661</v>
      </c>
      <c r="D21" s="18">
        <f t="shared" si="22"/>
        <v>527.24999999999989</v>
      </c>
      <c r="F21" s="5"/>
      <c r="G21" s="5" t="s">
        <v>9</v>
      </c>
      <c r="H21" s="6">
        <f>N14/COUNT(N2:N13)</f>
        <v>170.68333333333331</v>
      </c>
      <c r="K21">
        <v>3</v>
      </c>
      <c r="L21" t="s">
        <v>93</v>
      </c>
      <c r="M21" t="s">
        <v>45</v>
      </c>
      <c r="N21">
        <f>SQRT(N20)</f>
        <v>2.6547127904916556</v>
      </c>
    </row>
    <row r="22" spans="1:14" x14ac:dyDescent="0.3">
      <c r="A22" s="21">
        <f t="shared" si="24"/>
        <v>6</v>
      </c>
      <c r="B22" s="18">
        <f t="shared" si="22"/>
        <v>185.88333333333333</v>
      </c>
      <c r="C22" s="18">
        <f t="shared" si="22"/>
        <v>356.56666666666661</v>
      </c>
      <c r="D22" s="18">
        <f t="shared" si="22"/>
        <v>527.24999999999989</v>
      </c>
      <c r="F22" s="7"/>
      <c r="G22" s="7" t="s">
        <v>10</v>
      </c>
      <c r="H22" s="9">
        <f>O14/COUNT(O2:O13)</f>
        <v>51.599999999999994</v>
      </c>
      <c r="J22" t="s">
        <v>48</v>
      </c>
      <c r="K22">
        <f>K19-K21</f>
        <v>1</v>
      </c>
      <c r="M22" t="s">
        <v>47</v>
      </c>
      <c r="N22">
        <f>_xlfn.T.INV.2T(0.05,K24)</f>
        <v>2.3060041352041671</v>
      </c>
    </row>
    <row r="23" spans="1:14" x14ac:dyDescent="0.3">
      <c r="A23" s="21">
        <f t="shared" si="24"/>
        <v>6</v>
      </c>
      <c r="B23" s="18">
        <f t="shared" si="22"/>
        <v>185.88333333333333</v>
      </c>
      <c r="C23" s="18">
        <f t="shared" si="22"/>
        <v>356.56666666666661</v>
      </c>
      <c r="D23" s="18">
        <f t="shared" si="22"/>
        <v>527.24999999999989</v>
      </c>
      <c r="F23" s="18"/>
      <c r="G23" s="18"/>
      <c r="H23" s="18"/>
      <c r="J23" s="5" t="s">
        <v>23</v>
      </c>
      <c r="K23" s="6">
        <f>K19-(K18+1)</f>
        <v>1</v>
      </c>
      <c r="M23" t="s">
        <v>49</v>
      </c>
      <c r="N23">
        <f>ABS(H20)/$N$21</f>
        <v>114.87746160675502</v>
      </c>
    </row>
    <row r="24" spans="1:14" x14ac:dyDescent="0.3">
      <c r="A24" s="18"/>
      <c r="B24" s="18"/>
      <c r="C24" s="18"/>
      <c r="D24" s="18"/>
      <c r="F24" s="19" t="s">
        <v>54</v>
      </c>
      <c r="G24" s="18"/>
      <c r="H24" s="18"/>
      <c r="J24" s="5" t="s">
        <v>24</v>
      </c>
      <c r="K24" s="6">
        <f>K19*(K20-1)</f>
        <v>8</v>
      </c>
      <c r="M24" t="s">
        <v>50</v>
      </c>
      <c r="N24">
        <f>ABS(H21)/$N$21</f>
        <v>64.294463018623787</v>
      </c>
    </row>
    <row r="25" spans="1:14" x14ac:dyDescent="0.3">
      <c r="A25" s="18"/>
      <c r="B25" s="18"/>
      <c r="C25" s="18"/>
      <c r="D25" s="18"/>
      <c r="F25" s="18"/>
      <c r="G25" s="19" t="s">
        <v>13</v>
      </c>
      <c r="H25" s="20">
        <f>H20-4*H27-60000*H26</f>
        <v>-54.258333333333326</v>
      </c>
      <c r="J25" s="5" t="s">
        <v>25</v>
      </c>
      <c r="K25" s="6">
        <v>0.05</v>
      </c>
      <c r="M25" t="s">
        <v>51</v>
      </c>
      <c r="N25">
        <f>ABS(H22)/$N$21</f>
        <v>19.437130895972977</v>
      </c>
    </row>
    <row r="26" spans="1:14" x14ac:dyDescent="0.3">
      <c r="A26" s="19" t="s">
        <v>56</v>
      </c>
      <c r="B26" s="25"/>
      <c r="C26" s="25"/>
      <c r="D26" s="20"/>
      <c r="F26" s="21"/>
      <c r="G26" s="21" t="s">
        <v>14</v>
      </c>
      <c r="H26" s="22">
        <f>H21/40000</f>
        <v>4.2670833333333328E-3</v>
      </c>
      <c r="J26" s="11" t="s">
        <v>26</v>
      </c>
      <c r="K26" s="12">
        <f>_xlfn.F.INV.RT(K25,K24,K23)</f>
        <v>238.88269480252418</v>
      </c>
    </row>
    <row r="27" spans="1:14" x14ac:dyDescent="0.3">
      <c r="A27" s="21" t="s">
        <v>0</v>
      </c>
      <c r="B27" s="18">
        <f>B1</f>
        <v>20000</v>
      </c>
      <c r="C27" s="18">
        <f t="shared" ref="C27:D27" si="25">C1</f>
        <v>60000</v>
      </c>
      <c r="D27" s="18">
        <f t="shared" si="25"/>
        <v>100000</v>
      </c>
      <c r="F27" s="23"/>
      <c r="G27" s="23" t="s">
        <v>15</v>
      </c>
      <c r="H27" s="24">
        <f>H22/2</f>
        <v>25.799999999999997</v>
      </c>
      <c r="J27" s="5" t="s">
        <v>43</v>
      </c>
      <c r="K27" s="6">
        <f>SUMSQ(R2:R13)/K22</f>
        <v>10822.483333333323</v>
      </c>
      <c r="M27" t="s">
        <v>58</v>
      </c>
      <c r="N27" t="str">
        <f>IF(N23&gt;$N$22,"значим","незначим")</f>
        <v>значим</v>
      </c>
    </row>
    <row r="28" spans="1:14" x14ac:dyDescent="0.3">
      <c r="A28" s="21">
        <f>A2</f>
        <v>2</v>
      </c>
      <c r="B28" s="18">
        <f t="shared" ref="B28:D36" si="26">0.43+$H$29*POWER(B$27, $H$30)*POWER($A28,$H$31)</f>
        <v>-38.974326702349046</v>
      </c>
      <c r="C28" s="18">
        <f t="shared" si="26"/>
        <v>-38.970949118133774</v>
      </c>
      <c r="D28" s="18">
        <f t="shared" si="26"/>
        <v>-38.969378729515618</v>
      </c>
      <c r="F28" s="18"/>
      <c r="G28" s="18"/>
      <c r="H28" s="18"/>
      <c r="J28" s="5" t="s">
        <v>44</v>
      </c>
      <c r="K28" s="6">
        <f>SUMSQ(S2:S13)/((K20-1)*K19)</f>
        <v>28.189999999999969</v>
      </c>
      <c r="M28" t="s">
        <v>59</v>
      </c>
      <c r="N28" t="str">
        <f t="shared" ref="N28:N29" si="27">IF(N24&gt;$N$22,"значим","незначим")</f>
        <v>значим</v>
      </c>
    </row>
    <row r="29" spans="1:14" x14ac:dyDescent="0.3">
      <c r="A29" s="21">
        <f t="shared" ref="A29:A36" si="28">A3</f>
        <v>2</v>
      </c>
      <c r="B29" s="18">
        <f t="shared" si="26"/>
        <v>-38.974326702349046</v>
      </c>
      <c r="C29" s="18">
        <f t="shared" si="26"/>
        <v>-38.970949118133774</v>
      </c>
      <c r="D29" s="18">
        <f t="shared" si="26"/>
        <v>-38.969378729515618</v>
      </c>
      <c r="F29" s="18"/>
      <c r="G29" s="19" t="s">
        <v>16</v>
      </c>
      <c r="H29" s="20">
        <f>H25-0.43</f>
        <v>-54.688333333333325</v>
      </c>
      <c r="J29" s="13" t="s">
        <v>28</v>
      </c>
      <c r="K29" s="14">
        <f>K27/K28</f>
        <v>383.91214378621265</v>
      </c>
      <c r="M29" t="s">
        <v>60</v>
      </c>
      <c r="N29" t="str">
        <f t="shared" si="27"/>
        <v>значим</v>
      </c>
    </row>
    <row r="30" spans="1:14" x14ac:dyDescent="0.3">
      <c r="A30" s="21">
        <f t="shared" si="28"/>
        <v>2</v>
      </c>
      <c r="B30" s="18">
        <f t="shared" si="26"/>
        <v>-38.974326702349046</v>
      </c>
      <c r="C30" s="18">
        <f t="shared" si="26"/>
        <v>-38.970949118133774</v>
      </c>
      <c r="D30" s="18">
        <f t="shared" si="26"/>
        <v>-38.969378729515618</v>
      </c>
      <c r="F30" s="18"/>
      <c r="G30" s="21" t="s">
        <v>18</v>
      </c>
      <c r="H30" s="22">
        <f>H26/H29</f>
        <v>-7.8025477707006371E-5</v>
      </c>
      <c r="J30" s="5" t="s">
        <v>57</v>
      </c>
      <c r="K30" t="str">
        <f>IF(K29&lt;K26,"адеватна","не адеватна")</f>
        <v>не адеватна</v>
      </c>
    </row>
    <row r="31" spans="1:14" x14ac:dyDescent="0.3">
      <c r="A31" s="21">
        <f t="shared" si="28"/>
        <v>4</v>
      </c>
      <c r="B31" s="18">
        <f t="shared" si="26"/>
        <v>-27.983761065139326</v>
      </c>
      <c r="C31" s="18">
        <f t="shared" si="26"/>
        <v>-27.981325549070363</v>
      </c>
      <c r="D31" s="18">
        <f t="shared" si="26"/>
        <v>-27.980193169692008</v>
      </c>
      <c r="F31" s="18"/>
      <c r="G31" s="23" t="s">
        <v>19</v>
      </c>
      <c r="H31" s="24">
        <f>H27/H29</f>
        <v>-0.47176423978301285</v>
      </c>
    </row>
    <row r="32" spans="1:14" x14ac:dyDescent="0.3">
      <c r="A32" s="21">
        <f t="shared" si="28"/>
        <v>4</v>
      </c>
      <c r="B32" s="18">
        <f t="shared" si="26"/>
        <v>-27.983761065139326</v>
      </c>
      <c r="C32" s="18">
        <f t="shared" si="26"/>
        <v>-27.981325549070363</v>
      </c>
      <c r="D32" s="18">
        <f t="shared" si="26"/>
        <v>-27.980193169692008</v>
      </c>
      <c r="F32" s="18"/>
      <c r="G32" s="18"/>
      <c r="H32" s="18"/>
    </row>
    <row r="33" spans="1:4" x14ac:dyDescent="0.3">
      <c r="A33" s="21">
        <f t="shared" si="28"/>
        <v>4</v>
      </c>
      <c r="B33" s="18">
        <f t="shared" si="26"/>
        <v>-27.983761065139326</v>
      </c>
      <c r="C33" s="18">
        <f t="shared" si="26"/>
        <v>-27.981325549070363</v>
      </c>
      <c r="D33" s="18">
        <f t="shared" si="26"/>
        <v>-27.980193169692008</v>
      </c>
    </row>
    <row r="34" spans="1:4" x14ac:dyDescent="0.3">
      <c r="A34" s="21">
        <f t="shared" si="28"/>
        <v>6</v>
      </c>
      <c r="B34" s="18">
        <f t="shared" si="26"/>
        <v>-23.036869874317478</v>
      </c>
      <c r="C34" s="18">
        <f t="shared" si="26"/>
        <v>-23.034858386343885</v>
      </c>
      <c r="D34" s="18">
        <f t="shared" si="26"/>
        <v>-23.033923156422745</v>
      </c>
    </row>
    <row r="35" spans="1:4" x14ac:dyDescent="0.3">
      <c r="A35" s="21">
        <f t="shared" si="28"/>
        <v>6</v>
      </c>
      <c r="B35" s="18">
        <f t="shared" si="26"/>
        <v>-23.036869874317478</v>
      </c>
      <c r="C35" s="18">
        <f t="shared" si="26"/>
        <v>-23.034858386343885</v>
      </c>
      <c r="D35" s="18">
        <f t="shared" si="26"/>
        <v>-23.033923156422745</v>
      </c>
    </row>
    <row r="36" spans="1:4" x14ac:dyDescent="0.3">
      <c r="A36" s="21">
        <f t="shared" si="28"/>
        <v>6</v>
      </c>
      <c r="B36" s="18">
        <f t="shared" si="26"/>
        <v>-23.036869874317478</v>
      </c>
      <c r="C36" s="18">
        <f t="shared" si="26"/>
        <v>-23.034858386343885</v>
      </c>
      <c r="D36" s="18">
        <f t="shared" si="26"/>
        <v>-23.033923156422745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D48-7A10-42B6-AEA6-163EFE004891}">
  <dimension ref="A1:AM40"/>
  <sheetViews>
    <sheetView zoomScale="70" zoomScaleNormal="70" workbookViewId="0">
      <selection activeCell="P32" sqref="P32"/>
    </sheetView>
  </sheetViews>
  <sheetFormatPr defaultRowHeight="14.4" x14ac:dyDescent="0.3"/>
  <cols>
    <col min="7" max="9" width="11.77734375" customWidth="1"/>
    <col min="11" max="11" width="12.109375" customWidth="1"/>
    <col min="23" max="24" width="11" customWidth="1"/>
    <col min="25" max="25" width="14.44140625" customWidth="1"/>
    <col min="29" max="29" width="10.77734375" customWidth="1"/>
    <col min="30" max="30" width="11.6640625" customWidth="1"/>
    <col min="31" max="31" width="13.109375" customWidth="1"/>
    <col min="32" max="32" width="12.77734375" customWidth="1"/>
    <col min="33" max="33" width="12.44140625" bestFit="1" customWidth="1"/>
    <col min="34" max="34" width="16.109375" customWidth="1"/>
    <col min="35" max="35" width="15.44140625" customWidth="1"/>
    <col min="36" max="37" width="16.6640625" customWidth="1"/>
    <col min="38" max="38" width="17" customWidth="1"/>
  </cols>
  <sheetData>
    <row r="1" spans="1:39" x14ac:dyDescent="0.3">
      <c r="A1" s="2" t="s">
        <v>0</v>
      </c>
      <c r="B1" s="3">
        <v>20000</v>
      </c>
      <c r="C1" s="15">
        <v>60000</v>
      </c>
      <c r="D1" s="4">
        <v>100000</v>
      </c>
      <c r="F1" t="s">
        <v>35</v>
      </c>
      <c r="K1" s="2" t="s">
        <v>36</v>
      </c>
      <c r="L1" s="3" t="s">
        <v>1</v>
      </c>
      <c r="M1" s="3" t="s">
        <v>2</v>
      </c>
      <c r="N1" s="3" t="s">
        <v>63</v>
      </c>
      <c r="O1" t="s">
        <v>65</v>
      </c>
      <c r="P1" t="s">
        <v>66</v>
      </c>
      <c r="Q1" t="s">
        <v>69</v>
      </c>
      <c r="R1" t="s">
        <v>70</v>
      </c>
      <c r="S1" s="3" t="s">
        <v>6</v>
      </c>
      <c r="T1" s="3" t="s">
        <v>7</v>
      </c>
      <c r="U1" s="3" t="s">
        <v>8</v>
      </c>
      <c r="V1" s="3" t="s">
        <v>83</v>
      </c>
      <c r="W1" t="s">
        <v>86</v>
      </c>
      <c r="X1" t="s">
        <v>87</v>
      </c>
      <c r="Y1" s="3" t="s">
        <v>89</v>
      </c>
      <c r="Z1" s="26" t="s">
        <v>38</v>
      </c>
      <c r="AA1" s="3" t="s">
        <v>40</v>
      </c>
      <c r="AB1" s="3" t="s">
        <v>39</v>
      </c>
      <c r="AC1" s="4" t="s">
        <v>41</v>
      </c>
      <c r="AD1" t="s">
        <v>71</v>
      </c>
      <c r="AE1" t="s">
        <v>72</v>
      </c>
      <c r="AF1" t="s">
        <v>73</v>
      </c>
      <c r="AG1" t="s">
        <v>75</v>
      </c>
      <c r="AH1" t="s">
        <v>74</v>
      </c>
      <c r="AI1" t="s">
        <v>78</v>
      </c>
      <c r="AJ1" t="s">
        <v>77</v>
      </c>
      <c r="AK1" t="s">
        <v>79</v>
      </c>
      <c r="AL1" t="s">
        <v>80</v>
      </c>
      <c r="AM1" t="s">
        <v>76</v>
      </c>
    </row>
    <row r="2" spans="1:39" x14ac:dyDescent="0.3">
      <c r="A2" s="5">
        <v>2</v>
      </c>
      <c r="B2" s="2">
        <v>112.2</v>
      </c>
      <c r="C2" s="15">
        <v>258.89999999999998</v>
      </c>
      <c r="D2" s="4">
        <v>390.8</v>
      </c>
      <c r="F2" s="2" t="s">
        <v>53</v>
      </c>
      <c r="G2" s="3">
        <v>-1</v>
      </c>
      <c r="H2" s="15">
        <v>0</v>
      </c>
      <c r="I2" s="4">
        <v>1</v>
      </c>
      <c r="K2" s="16" t="s">
        <v>33</v>
      </c>
      <c r="L2">
        <v>-1</v>
      </c>
      <c r="M2">
        <v>-1</v>
      </c>
      <c r="N2">
        <f>L2*M2</f>
        <v>1</v>
      </c>
      <c r="O2">
        <f>L2*L2</f>
        <v>1</v>
      </c>
      <c r="P2">
        <f>M2*M2</f>
        <v>1</v>
      </c>
      <c r="Q2">
        <f t="shared" ref="Q2:R28" si="0">O2-$H$19</f>
        <v>0.33333333333333337</v>
      </c>
      <c r="R2">
        <f t="shared" si="0"/>
        <v>0.33333333333333337</v>
      </c>
      <c r="S2">
        <f>G3</f>
        <v>112.2</v>
      </c>
      <c r="T2">
        <f>L2*$S2</f>
        <v>-112.2</v>
      </c>
      <c r="U2">
        <f>M2*$S2</f>
        <v>-112.2</v>
      </c>
      <c r="V2">
        <f>N2*$S2</f>
        <v>112.2</v>
      </c>
      <c r="W2">
        <f>Q2*$S2</f>
        <v>37.400000000000006</v>
      </c>
      <c r="X2">
        <f>R2*$S2</f>
        <v>37.400000000000006</v>
      </c>
      <c r="Y2">
        <f t="shared" ref="Y2:Y28" si="1">$H$27+L2*$H$29+M2*$H$30+$H$31*N2+$H$32*Q2+$H$33*R2</f>
        <v>109.82777777777778</v>
      </c>
      <c r="Z2" s="27">
        <f t="shared" ref="Z2:Z28" si="2">$H$28+L2*$H$29+M2*$H$30+$H$31*N2+$H$32*O2+$H$33*P2</f>
        <v>109.82777777777778</v>
      </c>
      <c r="AA2">
        <f>AVERAGE($S$2:$S$4)</f>
        <v>112.39999999999999</v>
      </c>
      <c r="AB2">
        <f t="shared" ref="AB2:AB28" si="3">S2-Y2</f>
        <v>2.37222222222222</v>
      </c>
      <c r="AC2" s="6">
        <f t="shared" ref="AC2:AC28" si="4">S2-AA2</f>
        <v>-0.19999999999998863</v>
      </c>
      <c r="AD2" t="s">
        <v>88</v>
      </c>
      <c r="AE2">
        <f t="shared" ref="AE2:AF28" si="5">L2*Q2</f>
        <v>-0.33333333333333337</v>
      </c>
      <c r="AF2">
        <f t="shared" si="5"/>
        <v>-0.33333333333333337</v>
      </c>
      <c r="AG2">
        <f t="shared" ref="AG2:AG28" si="6">L2*R2</f>
        <v>-0.33333333333333337</v>
      </c>
      <c r="AH2">
        <f t="shared" ref="AH2:AH28" si="7">M2*Q2</f>
        <v>-0.33333333333333337</v>
      </c>
      <c r="AI2">
        <f t="shared" ref="AI2:AI28" si="8">N2*Q2</f>
        <v>0.33333333333333337</v>
      </c>
      <c r="AJ2">
        <f t="shared" ref="AJ2:AJ28" si="9">N2*R2</f>
        <v>0.33333333333333337</v>
      </c>
      <c r="AK2">
        <f t="shared" ref="AK2:AL28" si="10">Q2*Q2</f>
        <v>0.11111111111111113</v>
      </c>
      <c r="AL2">
        <f t="shared" si="10"/>
        <v>0.11111111111111113</v>
      </c>
      <c r="AM2">
        <f t="shared" ref="AM2:AM28" si="11">Q2*R2</f>
        <v>0.11111111111111113</v>
      </c>
    </row>
    <row r="3" spans="1:39" x14ac:dyDescent="0.3">
      <c r="A3" s="5">
        <v>2</v>
      </c>
      <c r="B3" s="5">
        <v>112.3</v>
      </c>
      <c r="C3" s="16">
        <v>269.7</v>
      </c>
      <c r="D3" s="6">
        <v>393</v>
      </c>
      <c r="F3" s="5">
        <v>-1</v>
      </c>
      <c r="G3" s="2">
        <f>B2</f>
        <v>112.2</v>
      </c>
      <c r="H3" s="15">
        <f t="shared" ref="H3:I11" si="12">C2</f>
        <v>258.89999999999998</v>
      </c>
      <c r="I3" s="4">
        <f t="shared" si="12"/>
        <v>390.8</v>
      </c>
      <c r="K3" s="16"/>
      <c r="L3">
        <v>-1</v>
      </c>
      <c r="M3">
        <v>-1</v>
      </c>
      <c r="N3">
        <f t="shared" ref="N3:N28" si="13">L3*M3</f>
        <v>1</v>
      </c>
      <c r="O3">
        <f t="shared" ref="O3:P28" si="14">L3*L3</f>
        <v>1</v>
      </c>
      <c r="P3">
        <f t="shared" si="14"/>
        <v>1</v>
      </c>
      <c r="Q3">
        <f t="shared" si="0"/>
        <v>0.33333333333333337</v>
      </c>
      <c r="R3">
        <f t="shared" si="0"/>
        <v>0.33333333333333337</v>
      </c>
      <c r="S3">
        <f>G4</f>
        <v>112.3</v>
      </c>
      <c r="T3">
        <f t="shared" ref="T3:V28" si="15">L3*$S3</f>
        <v>-112.3</v>
      </c>
      <c r="U3">
        <f t="shared" si="15"/>
        <v>-112.3</v>
      </c>
      <c r="V3">
        <f t="shared" si="15"/>
        <v>112.3</v>
      </c>
      <c r="W3">
        <f t="shared" ref="W3:X28" si="16">Q3*$S3</f>
        <v>37.433333333333337</v>
      </c>
      <c r="X3">
        <f t="shared" si="16"/>
        <v>37.433333333333337</v>
      </c>
      <c r="Y3">
        <f t="shared" si="1"/>
        <v>109.82777777777778</v>
      </c>
      <c r="Z3" s="27">
        <f t="shared" si="2"/>
        <v>109.82777777777778</v>
      </c>
      <c r="AA3">
        <f>AVERAGE($S$2:$S$4)</f>
        <v>112.39999999999999</v>
      </c>
      <c r="AB3">
        <f t="shared" si="3"/>
        <v>2.4722222222222143</v>
      </c>
      <c r="AC3" s="6">
        <f t="shared" si="4"/>
        <v>-9.9999999999994316E-2</v>
      </c>
      <c r="AE3">
        <f t="shared" si="5"/>
        <v>-0.33333333333333337</v>
      </c>
      <c r="AF3">
        <f t="shared" si="5"/>
        <v>-0.33333333333333337</v>
      </c>
      <c r="AG3">
        <f t="shared" si="6"/>
        <v>-0.33333333333333337</v>
      </c>
      <c r="AH3">
        <f t="shared" si="7"/>
        <v>-0.33333333333333337</v>
      </c>
      <c r="AI3">
        <f t="shared" si="8"/>
        <v>0.33333333333333337</v>
      </c>
      <c r="AJ3">
        <f t="shared" si="9"/>
        <v>0.33333333333333337</v>
      </c>
      <c r="AK3">
        <f t="shared" si="10"/>
        <v>0.11111111111111113</v>
      </c>
      <c r="AL3">
        <f t="shared" si="10"/>
        <v>0.11111111111111113</v>
      </c>
      <c r="AM3">
        <f t="shared" si="11"/>
        <v>0.11111111111111113</v>
      </c>
    </row>
    <row r="4" spans="1:39" x14ac:dyDescent="0.3">
      <c r="A4" s="5">
        <v>2</v>
      </c>
      <c r="B4" s="5">
        <v>112.7</v>
      </c>
      <c r="C4" s="16">
        <v>260.89999999999998</v>
      </c>
      <c r="D4" s="6">
        <v>399.2</v>
      </c>
      <c r="F4" s="5">
        <v>-1</v>
      </c>
      <c r="G4" s="5">
        <f t="shared" ref="G4:G11" si="17">B3</f>
        <v>112.3</v>
      </c>
      <c r="H4" s="16">
        <f t="shared" si="12"/>
        <v>269.7</v>
      </c>
      <c r="I4" s="6">
        <f t="shared" si="12"/>
        <v>393</v>
      </c>
      <c r="K4" s="16"/>
      <c r="L4">
        <v>-1</v>
      </c>
      <c r="M4">
        <v>-1</v>
      </c>
      <c r="N4">
        <f t="shared" si="13"/>
        <v>1</v>
      </c>
      <c r="O4">
        <f t="shared" si="14"/>
        <v>1</v>
      </c>
      <c r="P4">
        <f t="shared" si="14"/>
        <v>1</v>
      </c>
      <c r="Q4">
        <f t="shared" si="0"/>
        <v>0.33333333333333337</v>
      </c>
      <c r="R4">
        <f t="shared" si="0"/>
        <v>0.33333333333333337</v>
      </c>
      <c r="S4">
        <f>G5</f>
        <v>112.7</v>
      </c>
      <c r="T4">
        <f t="shared" si="15"/>
        <v>-112.7</v>
      </c>
      <c r="U4">
        <f t="shared" si="15"/>
        <v>-112.7</v>
      </c>
      <c r="V4">
        <f t="shared" si="15"/>
        <v>112.7</v>
      </c>
      <c r="W4">
        <f t="shared" si="16"/>
        <v>37.56666666666667</v>
      </c>
      <c r="X4">
        <f t="shared" si="16"/>
        <v>37.56666666666667</v>
      </c>
      <c r="Y4">
        <f t="shared" si="1"/>
        <v>109.82777777777778</v>
      </c>
      <c r="Z4" s="27">
        <f t="shared" si="2"/>
        <v>109.82777777777778</v>
      </c>
      <c r="AA4">
        <f>AVERAGE($S$2:$S$4)</f>
        <v>112.39999999999999</v>
      </c>
      <c r="AB4">
        <f t="shared" si="3"/>
        <v>2.87222222222222</v>
      </c>
      <c r="AC4" s="6">
        <f t="shared" si="4"/>
        <v>0.30000000000001137</v>
      </c>
      <c r="AE4">
        <f t="shared" si="5"/>
        <v>-0.33333333333333337</v>
      </c>
      <c r="AF4">
        <f t="shared" si="5"/>
        <v>-0.33333333333333337</v>
      </c>
      <c r="AG4">
        <f t="shared" si="6"/>
        <v>-0.33333333333333337</v>
      </c>
      <c r="AH4">
        <f t="shared" si="7"/>
        <v>-0.33333333333333337</v>
      </c>
      <c r="AI4">
        <f t="shared" si="8"/>
        <v>0.33333333333333337</v>
      </c>
      <c r="AJ4">
        <f t="shared" si="9"/>
        <v>0.33333333333333337</v>
      </c>
      <c r="AK4">
        <f t="shared" si="10"/>
        <v>0.11111111111111113</v>
      </c>
      <c r="AL4">
        <f t="shared" si="10"/>
        <v>0.11111111111111113</v>
      </c>
      <c r="AM4">
        <f t="shared" si="11"/>
        <v>0.11111111111111113</v>
      </c>
    </row>
    <row r="5" spans="1:39" x14ac:dyDescent="0.3">
      <c r="A5" s="2">
        <v>4</v>
      </c>
      <c r="B5" s="2">
        <v>140.80000000000001</v>
      </c>
      <c r="C5" s="15">
        <v>327.39999999999998</v>
      </c>
      <c r="D5" s="4">
        <v>479.9</v>
      </c>
      <c r="F5" s="5">
        <v>-1</v>
      </c>
      <c r="G5" s="5">
        <f t="shared" si="17"/>
        <v>112.7</v>
      </c>
      <c r="H5" s="16">
        <f t="shared" si="12"/>
        <v>260.89999999999998</v>
      </c>
      <c r="I5" s="6">
        <f t="shared" si="12"/>
        <v>399.2</v>
      </c>
      <c r="K5" s="16"/>
      <c r="L5">
        <v>1</v>
      </c>
      <c r="M5">
        <v>-1</v>
      </c>
      <c r="N5">
        <f t="shared" si="13"/>
        <v>-1</v>
      </c>
      <c r="O5">
        <f t="shared" si="14"/>
        <v>1</v>
      </c>
      <c r="P5">
        <f t="shared" si="14"/>
        <v>1</v>
      </c>
      <c r="Q5">
        <f t="shared" si="0"/>
        <v>0.33333333333333337</v>
      </c>
      <c r="R5">
        <f t="shared" si="0"/>
        <v>0.33333333333333337</v>
      </c>
      <c r="S5">
        <f>I3</f>
        <v>390.8</v>
      </c>
      <c r="T5">
        <f t="shared" si="15"/>
        <v>390.8</v>
      </c>
      <c r="U5">
        <f t="shared" si="15"/>
        <v>-390.8</v>
      </c>
      <c r="V5">
        <f t="shared" si="15"/>
        <v>-390.8</v>
      </c>
      <c r="W5">
        <f t="shared" si="16"/>
        <v>130.26666666666668</v>
      </c>
      <c r="X5">
        <f t="shared" si="16"/>
        <v>130.26666666666668</v>
      </c>
      <c r="Y5">
        <f t="shared" si="1"/>
        <v>393.81666666666672</v>
      </c>
      <c r="Z5" s="27">
        <f t="shared" si="2"/>
        <v>393.81666666666666</v>
      </c>
      <c r="AA5">
        <f>AVERAGE($S$5:$S$7)</f>
        <v>394.33333333333331</v>
      </c>
      <c r="AB5">
        <f t="shared" si="3"/>
        <v>-3.0166666666667084</v>
      </c>
      <c r="AC5" s="6">
        <f t="shared" si="4"/>
        <v>-3.533333333333303</v>
      </c>
      <c r="AE5">
        <f t="shared" si="5"/>
        <v>0.33333333333333337</v>
      </c>
      <c r="AF5">
        <f t="shared" si="5"/>
        <v>-0.33333333333333337</v>
      </c>
      <c r="AG5">
        <f t="shared" si="6"/>
        <v>0.33333333333333337</v>
      </c>
      <c r="AH5">
        <f t="shared" si="7"/>
        <v>-0.33333333333333337</v>
      </c>
      <c r="AI5">
        <f t="shared" si="8"/>
        <v>-0.33333333333333337</v>
      </c>
      <c r="AJ5">
        <f t="shared" si="9"/>
        <v>-0.33333333333333337</v>
      </c>
      <c r="AK5">
        <f t="shared" si="10"/>
        <v>0.11111111111111113</v>
      </c>
      <c r="AL5">
        <f t="shared" si="10"/>
        <v>0.11111111111111113</v>
      </c>
      <c r="AM5">
        <f t="shared" si="11"/>
        <v>0.11111111111111113</v>
      </c>
    </row>
    <row r="6" spans="1:39" x14ac:dyDescent="0.3">
      <c r="A6" s="5">
        <v>4</v>
      </c>
      <c r="B6" s="5">
        <v>136</v>
      </c>
      <c r="C6" s="16">
        <v>330.2</v>
      </c>
      <c r="D6" s="6">
        <v>482.7</v>
      </c>
      <c r="F6" s="2">
        <v>0</v>
      </c>
      <c r="G6" s="2">
        <f t="shared" si="17"/>
        <v>140.80000000000001</v>
      </c>
      <c r="H6" s="15">
        <f t="shared" si="12"/>
        <v>327.39999999999998</v>
      </c>
      <c r="I6" s="4">
        <f t="shared" si="12"/>
        <v>479.9</v>
      </c>
      <c r="K6" s="16"/>
      <c r="L6">
        <v>1</v>
      </c>
      <c r="M6">
        <v>-1</v>
      </c>
      <c r="N6">
        <f t="shared" si="13"/>
        <v>-1</v>
      </c>
      <c r="O6">
        <f t="shared" si="14"/>
        <v>1</v>
      </c>
      <c r="P6">
        <f t="shared" si="14"/>
        <v>1</v>
      </c>
      <c r="Q6">
        <f t="shared" si="0"/>
        <v>0.33333333333333337</v>
      </c>
      <c r="R6">
        <f t="shared" si="0"/>
        <v>0.33333333333333337</v>
      </c>
      <c r="S6">
        <f>I4</f>
        <v>393</v>
      </c>
      <c r="T6">
        <f t="shared" si="15"/>
        <v>393</v>
      </c>
      <c r="U6">
        <f t="shared" si="15"/>
        <v>-393</v>
      </c>
      <c r="V6">
        <f t="shared" si="15"/>
        <v>-393</v>
      </c>
      <c r="W6">
        <f t="shared" si="16"/>
        <v>131.00000000000003</v>
      </c>
      <c r="X6">
        <f t="shared" si="16"/>
        <v>131.00000000000003</v>
      </c>
      <c r="Y6">
        <f t="shared" si="1"/>
        <v>393.81666666666672</v>
      </c>
      <c r="Z6" s="27">
        <f t="shared" si="2"/>
        <v>393.81666666666666</v>
      </c>
      <c r="AA6">
        <f>AVERAGE($S$5:$S$7)</f>
        <v>394.33333333333331</v>
      </c>
      <c r="AB6">
        <f t="shared" si="3"/>
        <v>-0.81666666666671972</v>
      </c>
      <c r="AC6" s="6">
        <f t="shared" si="4"/>
        <v>-1.3333333333333144</v>
      </c>
      <c r="AE6">
        <f t="shared" si="5"/>
        <v>0.33333333333333337</v>
      </c>
      <c r="AF6">
        <f t="shared" si="5"/>
        <v>-0.33333333333333337</v>
      </c>
      <c r="AG6">
        <f t="shared" si="6"/>
        <v>0.33333333333333337</v>
      </c>
      <c r="AH6">
        <f t="shared" si="7"/>
        <v>-0.33333333333333337</v>
      </c>
      <c r="AI6">
        <f t="shared" si="8"/>
        <v>-0.33333333333333337</v>
      </c>
      <c r="AJ6">
        <f t="shared" si="9"/>
        <v>-0.33333333333333337</v>
      </c>
      <c r="AK6">
        <f t="shared" si="10"/>
        <v>0.11111111111111113</v>
      </c>
      <c r="AL6">
        <f t="shared" si="10"/>
        <v>0.11111111111111113</v>
      </c>
      <c r="AM6">
        <f t="shared" si="11"/>
        <v>0.11111111111111113</v>
      </c>
    </row>
    <row r="7" spans="1:39" x14ac:dyDescent="0.3">
      <c r="A7" s="7">
        <v>4</v>
      </c>
      <c r="B7" s="7">
        <v>135</v>
      </c>
      <c r="C7" s="17">
        <v>317.8</v>
      </c>
      <c r="D7" s="9">
        <v>491.8</v>
      </c>
      <c r="F7" s="5">
        <v>0</v>
      </c>
      <c r="G7" s="5">
        <f t="shared" si="17"/>
        <v>136</v>
      </c>
      <c r="H7" s="16">
        <f t="shared" si="12"/>
        <v>330.2</v>
      </c>
      <c r="I7" s="6">
        <f t="shared" si="12"/>
        <v>482.7</v>
      </c>
      <c r="K7" s="16"/>
      <c r="L7">
        <v>1</v>
      </c>
      <c r="M7">
        <v>-1</v>
      </c>
      <c r="N7">
        <f t="shared" si="13"/>
        <v>-1</v>
      </c>
      <c r="O7">
        <f t="shared" si="14"/>
        <v>1</v>
      </c>
      <c r="P7">
        <f t="shared" si="14"/>
        <v>1</v>
      </c>
      <c r="Q7">
        <f t="shared" si="0"/>
        <v>0.33333333333333337</v>
      </c>
      <c r="R7">
        <f t="shared" si="0"/>
        <v>0.33333333333333337</v>
      </c>
      <c r="S7">
        <f>I5</f>
        <v>399.2</v>
      </c>
      <c r="T7">
        <f t="shared" si="15"/>
        <v>399.2</v>
      </c>
      <c r="U7">
        <f t="shared" si="15"/>
        <v>-399.2</v>
      </c>
      <c r="V7">
        <f t="shared" si="15"/>
        <v>-399.2</v>
      </c>
      <c r="W7">
        <f t="shared" si="16"/>
        <v>133.06666666666669</v>
      </c>
      <c r="X7">
        <f t="shared" si="16"/>
        <v>133.06666666666669</v>
      </c>
      <c r="Y7">
        <f t="shared" si="1"/>
        <v>393.81666666666672</v>
      </c>
      <c r="Z7" s="27">
        <f t="shared" si="2"/>
        <v>393.81666666666666</v>
      </c>
      <c r="AA7">
        <f>AVERAGE($S$5:$S$7)</f>
        <v>394.33333333333331</v>
      </c>
      <c r="AB7">
        <f t="shared" si="3"/>
        <v>5.3833333333332689</v>
      </c>
      <c r="AC7" s="6">
        <f t="shared" si="4"/>
        <v>4.8666666666666742</v>
      </c>
      <c r="AE7">
        <f t="shared" si="5"/>
        <v>0.33333333333333337</v>
      </c>
      <c r="AF7">
        <f t="shared" si="5"/>
        <v>-0.33333333333333337</v>
      </c>
      <c r="AG7">
        <f t="shared" si="6"/>
        <v>0.33333333333333337</v>
      </c>
      <c r="AH7">
        <f t="shared" si="7"/>
        <v>-0.33333333333333337</v>
      </c>
      <c r="AI7">
        <f t="shared" si="8"/>
        <v>-0.33333333333333337</v>
      </c>
      <c r="AJ7">
        <f t="shared" si="9"/>
        <v>-0.33333333333333337</v>
      </c>
      <c r="AK7">
        <f t="shared" si="10"/>
        <v>0.11111111111111113</v>
      </c>
      <c r="AL7">
        <f t="shared" si="10"/>
        <v>0.11111111111111113</v>
      </c>
      <c r="AM7">
        <f t="shared" si="11"/>
        <v>0.11111111111111113</v>
      </c>
    </row>
    <row r="8" spans="1:39" x14ac:dyDescent="0.3">
      <c r="A8" s="5">
        <v>6</v>
      </c>
      <c r="B8" s="5">
        <v>156.69999999999999</v>
      </c>
      <c r="C8" s="16">
        <v>380.7</v>
      </c>
      <c r="D8" s="6">
        <v>566.4</v>
      </c>
      <c r="F8" s="7">
        <v>0</v>
      </c>
      <c r="G8" s="7">
        <f t="shared" si="17"/>
        <v>135</v>
      </c>
      <c r="H8" s="17">
        <f t="shared" si="12"/>
        <v>317.8</v>
      </c>
      <c r="I8" s="9">
        <f t="shared" si="12"/>
        <v>491.8</v>
      </c>
      <c r="K8" s="16"/>
      <c r="L8">
        <v>-1</v>
      </c>
      <c r="M8">
        <v>1</v>
      </c>
      <c r="N8">
        <f t="shared" si="13"/>
        <v>-1</v>
      </c>
      <c r="O8">
        <f t="shared" si="14"/>
        <v>1</v>
      </c>
      <c r="P8">
        <f t="shared" si="14"/>
        <v>1</v>
      </c>
      <c r="Q8">
        <f t="shared" si="0"/>
        <v>0.33333333333333337</v>
      </c>
      <c r="R8">
        <f t="shared" si="0"/>
        <v>0.33333333333333337</v>
      </c>
      <c r="S8">
        <f>G9</f>
        <v>156.69999999999999</v>
      </c>
      <c r="T8">
        <f t="shared" si="15"/>
        <v>-156.69999999999999</v>
      </c>
      <c r="U8">
        <f t="shared" si="15"/>
        <v>156.69999999999999</v>
      </c>
      <c r="V8">
        <f t="shared" si="15"/>
        <v>-156.69999999999999</v>
      </c>
      <c r="W8">
        <f t="shared" si="16"/>
        <v>52.233333333333334</v>
      </c>
      <c r="X8">
        <f t="shared" si="16"/>
        <v>52.233333333333334</v>
      </c>
      <c r="Y8">
        <f t="shared" si="1"/>
        <v>156.79444444444442</v>
      </c>
      <c r="Z8" s="27">
        <f t="shared" si="2"/>
        <v>156.79444444444439</v>
      </c>
      <c r="AA8">
        <f>AVERAGE($S$8:$S$10)</f>
        <v>156.16666666666666</v>
      </c>
      <c r="AB8">
        <f t="shared" si="3"/>
        <v>-9.4444444444434339E-2</v>
      </c>
      <c r="AC8" s="6">
        <f t="shared" si="4"/>
        <v>0.53333333333333144</v>
      </c>
      <c r="AE8">
        <f t="shared" si="5"/>
        <v>-0.33333333333333337</v>
      </c>
      <c r="AF8">
        <f t="shared" si="5"/>
        <v>0.33333333333333337</v>
      </c>
      <c r="AG8">
        <f t="shared" si="6"/>
        <v>-0.33333333333333337</v>
      </c>
      <c r="AH8">
        <f t="shared" si="7"/>
        <v>0.33333333333333337</v>
      </c>
      <c r="AI8">
        <f t="shared" si="8"/>
        <v>-0.33333333333333337</v>
      </c>
      <c r="AJ8">
        <f t="shared" si="9"/>
        <v>-0.33333333333333337</v>
      </c>
      <c r="AK8">
        <f t="shared" si="10"/>
        <v>0.11111111111111113</v>
      </c>
      <c r="AL8">
        <f t="shared" si="10"/>
        <v>0.11111111111111113</v>
      </c>
      <c r="AM8">
        <f t="shared" si="11"/>
        <v>0.11111111111111113</v>
      </c>
    </row>
    <row r="9" spans="1:39" x14ac:dyDescent="0.3">
      <c r="A9" s="5">
        <v>6</v>
      </c>
      <c r="B9" s="5">
        <v>158.69999999999999</v>
      </c>
      <c r="C9" s="16">
        <v>365.4</v>
      </c>
      <c r="D9" s="6">
        <v>556.6</v>
      </c>
      <c r="F9" s="5">
        <v>1</v>
      </c>
      <c r="G9" s="5">
        <f t="shared" si="17"/>
        <v>156.69999999999999</v>
      </c>
      <c r="H9" s="16">
        <f t="shared" si="12"/>
        <v>380.7</v>
      </c>
      <c r="I9" s="6">
        <f>D8</f>
        <v>566.4</v>
      </c>
      <c r="K9" s="16"/>
      <c r="L9">
        <v>-1</v>
      </c>
      <c r="M9">
        <v>1</v>
      </c>
      <c r="N9">
        <f t="shared" si="13"/>
        <v>-1</v>
      </c>
      <c r="O9">
        <f t="shared" si="14"/>
        <v>1</v>
      </c>
      <c r="P9">
        <f t="shared" si="14"/>
        <v>1</v>
      </c>
      <c r="Q9">
        <f t="shared" si="0"/>
        <v>0.33333333333333337</v>
      </c>
      <c r="R9">
        <f t="shared" si="0"/>
        <v>0.33333333333333337</v>
      </c>
      <c r="S9">
        <f>G10</f>
        <v>158.69999999999999</v>
      </c>
      <c r="T9">
        <f t="shared" si="15"/>
        <v>-158.69999999999999</v>
      </c>
      <c r="U9">
        <f t="shared" si="15"/>
        <v>158.69999999999999</v>
      </c>
      <c r="V9">
        <f t="shared" si="15"/>
        <v>-158.69999999999999</v>
      </c>
      <c r="W9">
        <f t="shared" si="16"/>
        <v>52.9</v>
      </c>
      <c r="X9">
        <f t="shared" si="16"/>
        <v>52.9</v>
      </c>
      <c r="Y9">
        <f t="shared" si="1"/>
        <v>156.79444444444442</v>
      </c>
      <c r="Z9" s="27">
        <f t="shared" si="2"/>
        <v>156.79444444444439</v>
      </c>
      <c r="AA9">
        <f>AVERAGE($S$8:$S$10)</f>
        <v>156.16666666666666</v>
      </c>
      <c r="AB9">
        <f t="shared" si="3"/>
        <v>1.9055555555555657</v>
      </c>
      <c r="AC9" s="6">
        <f t="shared" si="4"/>
        <v>2.5333333333333314</v>
      </c>
      <c r="AE9">
        <f t="shared" si="5"/>
        <v>-0.33333333333333337</v>
      </c>
      <c r="AF9">
        <f t="shared" si="5"/>
        <v>0.33333333333333337</v>
      </c>
      <c r="AG9">
        <f t="shared" si="6"/>
        <v>-0.33333333333333337</v>
      </c>
      <c r="AH9">
        <f t="shared" si="7"/>
        <v>0.33333333333333337</v>
      </c>
      <c r="AI9">
        <f t="shared" si="8"/>
        <v>-0.33333333333333337</v>
      </c>
      <c r="AJ9">
        <f t="shared" si="9"/>
        <v>-0.33333333333333337</v>
      </c>
      <c r="AK9">
        <f t="shared" si="10"/>
        <v>0.11111111111111113</v>
      </c>
      <c r="AL9">
        <f t="shared" si="10"/>
        <v>0.11111111111111113</v>
      </c>
      <c r="AM9">
        <f t="shared" si="11"/>
        <v>0.11111111111111113</v>
      </c>
    </row>
    <row r="10" spans="1:39" x14ac:dyDescent="0.3">
      <c r="A10" s="7">
        <v>6</v>
      </c>
      <c r="B10" s="7">
        <v>153.1</v>
      </c>
      <c r="C10" s="17">
        <v>381.8</v>
      </c>
      <c r="D10" s="9">
        <v>547.9</v>
      </c>
      <c r="F10" s="5">
        <v>1</v>
      </c>
      <c r="G10" s="5">
        <f t="shared" si="17"/>
        <v>158.69999999999999</v>
      </c>
      <c r="H10" s="16">
        <f t="shared" si="12"/>
        <v>365.4</v>
      </c>
      <c r="I10" s="6">
        <f t="shared" si="12"/>
        <v>556.6</v>
      </c>
      <c r="K10" s="16"/>
      <c r="L10">
        <v>-1</v>
      </c>
      <c r="M10">
        <v>1</v>
      </c>
      <c r="N10">
        <f t="shared" si="13"/>
        <v>-1</v>
      </c>
      <c r="O10">
        <f t="shared" si="14"/>
        <v>1</v>
      </c>
      <c r="P10">
        <f t="shared" si="14"/>
        <v>1</v>
      </c>
      <c r="Q10">
        <f t="shared" si="0"/>
        <v>0.33333333333333337</v>
      </c>
      <c r="R10">
        <f t="shared" si="0"/>
        <v>0.33333333333333337</v>
      </c>
      <c r="S10">
        <f>G11</f>
        <v>153.1</v>
      </c>
      <c r="T10">
        <f t="shared" si="15"/>
        <v>-153.1</v>
      </c>
      <c r="U10">
        <f t="shared" si="15"/>
        <v>153.1</v>
      </c>
      <c r="V10">
        <f t="shared" si="15"/>
        <v>-153.1</v>
      </c>
      <c r="W10">
        <f t="shared" si="16"/>
        <v>51.033333333333339</v>
      </c>
      <c r="X10">
        <f t="shared" si="16"/>
        <v>51.033333333333339</v>
      </c>
      <c r="Y10">
        <f t="shared" si="1"/>
        <v>156.79444444444442</v>
      </c>
      <c r="Z10" s="27">
        <f t="shared" si="2"/>
        <v>156.79444444444439</v>
      </c>
      <c r="AA10">
        <f>AVERAGE($S$8:$S$10)</f>
        <v>156.16666666666666</v>
      </c>
      <c r="AB10">
        <f t="shared" si="3"/>
        <v>-3.6944444444444287</v>
      </c>
      <c r="AC10" s="6">
        <f t="shared" si="4"/>
        <v>-3.0666666666666629</v>
      </c>
      <c r="AE10">
        <f t="shared" si="5"/>
        <v>-0.33333333333333337</v>
      </c>
      <c r="AF10">
        <f t="shared" si="5"/>
        <v>0.33333333333333337</v>
      </c>
      <c r="AG10">
        <f t="shared" si="6"/>
        <v>-0.33333333333333337</v>
      </c>
      <c r="AH10">
        <f t="shared" si="7"/>
        <v>0.33333333333333337</v>
      </c>
      <c r="AI10">
        <f t="shared" si="8"/>
        <v>-0.33333333333333337</v>
      </c>
      <c r="AJ10">
        <f t="shared" si="9"/>
        <v>-0.33333333333333337</v>
      </c>
      <c r="AK10">
        <f t="shared" si="10"/>
        <v>0.11111111111111113</v>
      </c>
      <c r="AL10">
        <f t="shared" si="10"/>
        <v>0.11111111111111113</v>
      </c>
      <c r="AM10">
        <f t="shared" si="11"/>
        <v>0.11111111111111113</v>
      </c>
    </row>
    <row r="11" spans="1:39" x14ac:dyDescent="0.3">
      <c r="F11" s="7">
        <v>1</v>
      </c>
      <c r="G11" s="7">
        <f t="shared" si="17"/>
        <v>153.1</v>
      </c>
      <c r="H11" s="17">
        <f t="shared" si="12"/>
        <v>381.8</v>
      </c>
      <c r="I11" s="9">
        <f t="shared" si="12"/>
        <v>547.9</v>
      </c>
      <c r="K11" s="16"/>
      <c r="L11">
        <v>1</v>
      </c>
      <c r="M11">
        <v>1</v>
      </c>
      <c r="N11">
        <f t="shared" si="13"/>
        <v>1</v>
      </c>
      <c r="O11">
        <f t="shared" si="14"/>
        <v>1</v>
      </c>
      <c r="P11">
        <f t="shared" si="14"/>
        <v>1</v>
      </c>
      <c r="Q11">
        <f t="shared" si="0"/>
        <v>0.33333333333333337</v>
      </c>
      <c r="R11">
        <f t="shared" si="0"/>
        <v>0.33333333333333337</v>
      </c>
      <c r="S11">
        <f>I9</f>
        <v>566.4</v>
      </c>
      <c r="T11">
        <f t="shared" si="15"/>
        <v>566.4</v>
      </c>
      <c r="U11">
        <f t="shared" si="15"/>
        <v>566.4</v>
      </c>
      <c r="V11">
        <f t="shared" si="15"/>
        <v>566.4</v>
      </c>
      <c r="W11">
        <f t="shared" si="16"/>
        <v>188.8</v>
      </c>
      <c r="X11">
        <f t="shared" si="16"/>
        <v>188.8</v>
      </c>
      <c r="Y11">
        <f t="shared" si="1"/>
        <v>559.65</v>
      </c>
      <c r="Z11" s="27">
        <f t="shared" si="2"/>
        <v>559.65</v>
      </c>
      <c r="AA11">
        <f>AVERAGE($S$11:$S$13)</f>
        <v>556.9666666666667</v>
      </c>
      <c r="AB11">
        <f t="shared" si="3"/>
        <v>6.75</v>
      </c>
      <c r="AC11" s="6">
        <f t="shared" si="4"/>
        <v>9.4333333333332803</v>
      </c>
      <c r="AE11">
        <f t="shared" si="5"/>
        <v>0.33333333333333337</v>
      </c>
      <c r="AF11">
        <f t="shared" si="5"/>
        <v>0.33333333333333337</v>
      </c>
      <c r="AG11">
        <f t="shared" si="6"/>
        <v>0.33333333333333337</v>
      </c>
      <c r="AH11">
        <f t="shared" si="7"/>
        <v>0.33333333333333337</v>
      </c>
      <c r="AI11">
        <f t="shared" si="8"/>
        <v>0.33333333333333337</v>
      </c>
      <c r="AJ11">
        <f t="shared" si="9"/>
        <v>0.33333333333333337</v>
      </c>
      <c r="AK11">
        <f t="shared" si="10"/>
        <v>0.11111111111111113</v>
      </c>
      <c r="AL11">
        <f t="shared" si="10"/>
        <v>0.11111111111111113</v>
      </c>
      <c r="AM11">
        <f t="shared" si="11"/>
        <v>0.11111111111111113</v>
      </c>
    </row>
    <row r="12" spans="1:39" x14ac:dyDescent="0.3">
      <c r="K12" s="16"/>
      <c r="L12">
        <v>1</v>
      </c>
      <c r="M12">
        <v>1</v>
      </c>
      <c r="N12">
        <f t="shared" si="13"/>
        <v>1</v>
      </c>
      <c r="O12">
        <f t="shared" si="14"/>
        <v>1</v>
      </c>
      <c r="P12">
        <f t="shared" si="14"/>
        <v>1</v>
      </c>
      <c r="Q12">
        <f t="shared" si="0"/>
        <v>0.33333333333333337</v>
      </c>
      <c r="R12">
        <f t="shared" si="0"/>
        <v>0.33333333333333337</v>
      </c>
      <c r="S12">
        <f>I10</f>
        <v>556.6</v>
      </c>
      <c r="T12">
        <f t="shared" si="15"/>
        <v>556.6</v>
      </c>
      <c r="U12">
        <f t="shared" si="15"/>
        <v>556.6</v>
      </c>
      <c r="V12">
        <f t="shared" si="15"/>
        <v>556.6</v>
      </c>
      <c r="W12">
        <f t="shared" si="16"/>
        <v>185.53333333333336</v>
      </c>
      <c r="X12">
        <f t="shared" si="16"/>
        <v>185.53333333333336</v>
      </c>
      <c r="Y12">
        <f t="shared" si="1"/>
        <v>559.65</v>
      </c>
      <c r="Z12" s="27">
        <f t="shared" si="2"/>
        <v>559.65</v>
      </c>
      <c r="AA12">
        <f>AVERAGE($S$11:$S$13)</f>
        <v>556.9666666666667</v>
      </c>
      <c r="AB12">
        <f t="shared" si="3"/>
        <v>-3.0499999999999545</v>
      </c>
      <c r="AC12" s="6">
        <f t="shared" si="4"/>
        <v>-0.36666666666667425</v>
      </c>
      <c r="AE12">
        <f t="shared" si="5"/>
        <v>0.33333333333333337</v>
      </c>
      <c r="AF12">
        <f t="shared" si="5"/>
        <v>0.33333333333333337</v>
      </c>
      <c r="AG12">
        <f t="shared" si="6"/>
        <v>0.33333333333333337</v>
      </c>
      <c r="AH12">
        <f t="shared" si="7"/>
        <v>0.33333333333333337</v>
      </c>
      <c r="AI12">
        <f t="shared" si="8"/>
        <v>0.33333333333333337</v>
      </c>
      <c r="AJ12">
        <f t="shared" si="9"/>
        <v>0.33333333333333337</v>
      </c>
      <c r="AK12">
        <f t="shared" si="10"/>
        <v>0.11111111111111113</v>
      </c>
      <c r="AL12">
        <f t="shared" si="10"/>
        <v>0.11111111111111113</v>
      </c>
      <c r="AM12">
        <f t="shared" si="11"/>
        <v>0.11111111111111113</v>
      </c>
    </row>
    <row r="13" spans="1:39" x14ac:dyDescent="0.3">
      <c r="G13" s="2" t="s">
        <v>21</v>
      </c>
      <c r="H13" s="4">
        <v>2</v>
      </c>
      <c r="I13" t="s">
        <v>90</v>
      </c>
      <c r="K13" s="16"/>
      <c r="L13">
        <v>1</v>
      </c>
      <c r="M13">
        <v>1</v>
      </c>
      <c r="N13">
        <f t="shared" si="13"/>
        <v>1</v>
      </c>
      <c r="O13">
        <f t="shared" si="14"/>
        <v>1</v>
      </c>
      <c r="P13">
        <f t="shared" si="14"/>
        <v>1</v>
      </c>
      <c r="Q13">
        <f t="shared" si="0"/>
        <v>0.33333333333333337</v>
      </c>
      <c r="R13">
        <f t="shared" si="0"/>
        <v>0.33333333333333337</v>
      </c>
      <c r="S13">
        <f>I11</f>
        <v>547.9</v>
      </c>
      <c r="T13">
        <f t="shared" si="15"/>
        <v>547.9</v>
      </c>
      <c r="U13">
        <f t="shared" si="15"/>
        <v>547.9</v>
      </c>
      <c r="V13">
        <f t="shared" si="15"/>
        <v>547.9</v>
      </c>
      <c r="W13">
        <f t="shared" si="16"/>
        <v>182.63333333333335</v>
      </c>
      <c r="X13">
        <f t="shared" si="16"/>
        <v>182.63333333333335</v>
      </c>
      <c r="Y13">
        <f t="shared" si="1"/>
        <v>559.65</v>
      </c>
      <c r="Z13" s="27">
        <f t="shared" si="2"/>
        <v>559.65</v>
      </c>
      <c r="AA13">
        <f>AVERAGE($S$11:$S$13)</f>
        <v>556.9666666666667</v>
      </c>
      <c r="AB13">
        <f t="shared" si="3"/>
        <v>-11.75</v>
      </c>
      <c r="AC13" s="6">
        <f t="shared" si="4"/>
        <v>-9.0666666666667197</v>
      </c>
      <c r="AE13">
        <f t="shared" si="5"/>
        <v>0.33333333333333337</v>
      </c>
      <c r="AF13">
        <f t="shared" si="5"/>
        <v>0.33333333333333337</v>
      </c>
      <c r="AG13">
        <f t="shared" si="6"/>
        <v>0.33333333333333337</v>
      </c>
      <c r="AH13">
        <f t="shared" si="7"/>
        <v>0.33333333333333337</v>
      </c>
      <c r="AI13">
        <f t="shared" si="8"/>
        <v>0.33333333333333337</v>
      </c>
      <c r="AJ13">
        <f t="shared" si="9"/>
        <v>0.33333333333333337</v>
      </c>
      <c r="AK13">
        <f t="shared" si="10"/>
        <v>0.11111111111111113</v>
      </c>
      <c r="AL13">
        <f t="shared" si="10"/>
        <v>0.11111111111111113</v>
      </c>
      <c r="AM13">
        <f t="shared" si="11"/>
        <v>0.11111111111111113</v>
      </c>
    </row>
    <row r="14" spans="1:39" x14ac:dyDescent="0.3">
      <c r="G14" s="5" t="s">
        <v>81</v>
      </c>
      <c r="H14" s="6">
        <f>POWER(2,H13)</f>
        <v>4</v>
      </c>
      <c r="I14" t="s">
        <v>91</v>
      </c>
      <c r="K14" s="15" t="s">
        <v>61</v>
      </c>
      <c r="L14" s="3">
        <f>-$H$18</f>
        <v>-1</v>
      </c>
      <c r="M14" s="3">
        <v>0</v>
      </c>
      <c r="N14" s="3">
        <f t="shared" si="13"/>
        <v>0</v>
      </c>
      <c r="O14" s="3">
        <f t="shared" si="14"/>
        <v>1</v>
      </c>
      <c r="P14" s="3">
        <f t="shared" si="14"/>
        <v>0</v>
      </c>
      <c r="Q14" s="3">
        <f t="shared" si="0"/>
        <v>0.33333333333333337</v>
      </c>
      <c r="R14" s="3">
        <f t="shared" si="0"/>
        <v>-0.66666666666666663</v>
      </c>
      <c r="S14" s="3">
        <f>G6</f>
        <v>140.80000000000001</v>
      </c>
      <c r="T14">
        <f t="shared" si="15"/>
        <v>-140.80000000000001</v>
      </c>
      <c r="U14">
        <f t="shared" si="15"/>
        <v>0</v>
      </c>
      <c r="V14">
        <f t="shared" si="15"/>
        <v>0</v>
      </c>
      <c r="W14">
        <f t="shared" si="16"/>
        <v>46.933333333333344</v>
      </c>
      <c r="X14">
        <f t="shared" si="16"/>
        <v>-93.866666666666674</v>
      </c>
      <c r="Y14">
        <f t="shared" si="1"/>
        <v>139.21111111111111</v>
      </c>
      <c r="Z14" s="27">
        <f t="shared" si="2"/>
        <v>139.21111111111111</v>
      </c>
      <c r="AA14" s="3">
        <f>AVERAGE($S$14:$S$16)</f>
        <v>137.26666666666668</v>
      </c>
      <c r="AB14" s="3">
        <f t="shared" si="3"/>
        <v>1.5888888888889028</v>
      </c>
      <c r="AC14" s="4">
        <f t="shared" si="4"/>
        <v>3.5333333333333314</v>
      </c>
      <c r="AE14">
        <f t="shared" si="5"/>
        <v>-0.33333333333333337</v>
      </c>
      <c r="AF14">
        <f t="shared" si="5"/>
        <v>0</v>
      </c>
      <c r="AG14">
        <f t="shared" si="6"/>
        <v>0.66666666666666663</v>
      </c>
      <c r="AH14">
        <f t="shared" si="7"/>
        <v>0</v>
      </c>
      <c r="AI14">
        <f t="shared" si="8"/>
        <v>0</v>
      </c>
      <c r="AJ14">
        <f t="shared" si="9"/>
        <v>0</v>
      </c>
      <c r="AK14">
        <f t="shared" si="10"/>
        <v>0.11111111111111113</v>
      </c>
      <c r="AL14">
        <f t="shared" si="10"/>
        <v>0.44444444444444442</v>
      </c>
      <c r="AM14">
        <f t="shared" si="11"/>
        <v>-0.22222222222222224</v>
      </c>
    </row>
    <row r="15" spans="1:39" x14ac:dyDescent="0.3">
      <c r="G15" s="5" t="s">
        <v>19</v>
      </c>
      <c r="H15" s="6">
        <v>3</v>
      </c>
      <c r="I15" t="s">
        <v>92</v>
      </c>
      <c r="K15" s="16"/>
      <c r="L15">
        <f>-$H$18</f>
        <v>-1</v>
      </c>
      <c r="M15">
        <v>0</v>
      </c>
      <c r="N15">
        <f t="shared" si="13"/>
        <v>0</v>
      </c>
      <c r="O15">
        <f t="shared" si="14"/>
        <v>1</v>
      </c>
      <c r="P15">
        <f t="shared" si="14"/>
        <v>0</v>
      </c>
      <c r="Q15">
        <f t="shared" si="0"/>
        <v>0.33333333333333337</v>
      </c>
      <c r="R15">
        <f t="shared" si="0"/>
        <v>-0.66666666666666663</v>
      </c>
      <c r="S15">
        <f>G7</f>
        <v>136</v>
      </c>
      <c r="T15">
        <f t="shared" si="15"/>
        <v>-136</v>
      </c>
      <c r="U15">
        <f t="shared" si="15"/>
        <v>0</v>
      </c>
      <c r="V15">
        <f t="shared" si="15"/>
        <v>0</v>
      </c>
      <c r="W15">
        <f t="shared" si="16"/>
        <v>45.333333333333336</v>
      </c>
      <c r="X15">
        <f t="shared" si="16"/>
        <v>-90.666666666666657</v>
      </c>
      <c r="Y15">
        <f t="shared" si="1"/>
        <v>139.21111111111111</v>
      </c>
      <c r="Z15" s="27">
        <f t="shared" si="2"/>
        <v>139.21111111111111</v>
      </c>
      <c r="AA15">
        <f>AVERAGE($S$14:$S$16)</f>
        <v>137.26666666666668</v>
      </c>
      <c r="AB15">
        <f t="shared" si="3"/>
        <v>-3.2111111111111086</v>
      </c>
      <c r="AC15" s="6">
        <f t="shared" si="4"/>
        <v>-1.2666666666666799</v>
      </c>
      <c r="AE15">
        <f t="shared" si="5"/>
        <v>-0.33333333333333337</v>
      </c>
      <c r="AF15">
        <f t="shared" si="5"/>
        <v>0</v>
      </c>
      <c r="AG15">
        <f t="shared" si="6"/>
        <v>0.66666666666666663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0.11111111111111113</v>
      </c>
      <c r="AL15">
        <f t="shared" si="10"/>
        <v>0.44444444444444442</v>
      </c>
      <c r="AM15">
        <f t="shared" si="11"/>
        <v>-0.22222222222222224</v>
      </c>
    </row>
    <row r="16" spans="1:39" x14ac:dyDescent="0.3">
      <c r="H16">
        <v>6</v>
      </c>
      <c r="I16" t="s">
        <v>93</v>
      </c>
      <c r="K16" s="16"/>
      <c r="L16">
        <f>-$H$18</f>
        <v>-1</v>
      </c>
      <c r="M16">
        <v>0</v>
      </c>
      <c r="N16">
        <f t="shared" si="13"/>
        <v>0</v>
      </c>
      <c r="O16">
        <f t="shared" si="14"/>
        <v>1</v>
      </c>
      <c r="P16">
        <f t="shared" si="14"/>
        <v>0</v>
      </c>
      <c r="Q16">
        <f t="shared" si="0"/>
        <v>0.33333333333333337</v>
      </c>
      <c r="R16">
        <f t="shared" si="0"/>
        <v>-0.66666666666666663</v>
      </c>
      <c r="S16">
        <f>G8</f>
        <v>135</v>
      </c>
      <c r="T16">
        <f t="shared" si="15"/>
        <v>-135</v>
      </c>
      <c r="U16">
        <f t="shared" si="15"/>
        <v>0</v>
      </c>
      <c r="V16">
        <f t="shared" si="15"/>
        <v>0</v>
      </c>
      <c r="W16">
        <f t="shared" si="16"/>
        <v>45.000000000000007</v>
      </c>
      <c r="X16">
        <f t="shared" si="16"/>
        <v>-90</v>
      </c>
      <c r="Y16">
        <f t="shared" si="1"/>
        <v>139.21111111111111</v>
      </c>
      <c r="Z16" s="27">
        <f t="shared" si="2"/>
        <v>139.21111111111111</v>
      </c>
      <c r="AA16">
        <f>AVERAGE($S$14:$S$16)</f>
        <v>137.26666666666668</v>
      </c>
      <c r="AB16">
        <f t="shared" si="3"/>
        <v>-4.2111111111111086</v>
      </c>
      <c r="AC16" s="6">
        <f t="shared" si="4"/>
        <v>-2.2666666666666799</v>
      </c>
      <c r="AE16">
        <f t="shared" si="5"/>
        <v>-0.33333333333333337</v>
      </c>
      <c r="AF16">
        <f t="shared" si="5"/>
        <v>0</v>
      </c>
      <c r="AG16">
        <f t="shared" si="6"/>
        <v>0.66666666666666663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0.11111111111111113</v>
      </c>
      <c r="AL16">
        <f t="shared" si="10"/>
        <v>0.44444444444444442</v>
      </c>
      <c r="AM16">
        <f t="shared" si="11"/>
        <v>-0.22222222222222224</v>
      </c>
    </row>
    <row r="17" spans="6:39" x14ac:dyDescent="0.3">
      <c r="G17" s="5" t="s">
        <v>82</v>
      </c>
      <c r="H17">
        <f>H14+2*H18*H18</f>
        <v>6</v>
      </c>
      <c r="K17" s="16"/>
      <c r="L17">
        <f>$H$18</f>
        <v>1</v>
      </c>
      <c r="M17">
        <v>0</v>
      </c>
      <c r="N17">
        <f t="shared" si="13"/>
        <v>0</v>
      </c>
      <c r="O17">
        <f t="shared" si="14"/>
        <v>1</v>
      </c>
      <c r="P17">
        <f t="shared" si="14"/>
        <v>0</v>
      </c>
      <c r="Q17">
        <f t="shared" si="0"/>
        <v>0.33333333333333337</v>
      </c>
      <c r="R17">
        <f t="shared" si="0"/>
        <v>-0.66666666666666663</v>
      </c>
      <c r="S17">
        <f>I6</f>
        <v>479.9</v>
      </c>
      <c r="T17">
        <f t="shared" si="15"/>
        <v>479.9</v>
      </c>
      <c r="U17">
        <f t="shared" si="15"/>
        <v>0</v>
      </c>
      <c r="V17">
        <f t="shared" si="15"/>
        <v>0</v>
      </c>
      <c r="W17">
        <f t="shared" si="16"/>
        <v>159.96666666666667</v>
      </c>
      <c r="X17">
        <f t="shared" si="16"/>
        <v>-319.93333333333328</v>
      </c>
      <c r="Y17">
        <f t="shared" si="1"/>
        <v>482.63333333333333</v>
      </c>
      <c r="Z17" s="27">
        <f t="shared" si="2"/>
        <v>482.63333333333333</v>
      </c>
      <c r="AA17">
        <f>AVERAGE($S$17:$S$19)</f>
        <v>484.79999999999995</v>
      </c>
      <c r="AB17">
        <f t="shared" si="3"/>
        <v>-2.7333333333333485</v>
      </c>
      <c r="AC17" s="6">
        <f t="shared" si="4"/>
        <v>-4.8999999999999773</v>
      </c>
      <c r="AE17">
        <f t="shared" si="5"/>
        <v>0.33333333333333337</v>
      </c>
      <c r="AF17">
        <f t="shared" si="5"/>
        <v>0</v>
      </c>
      <c r="AG17">
        <f t="shared" si="6"/>
        <v>-0.66666666666666663</v>
      </c>
      <c r="AH17">
        <f t="shared" si="7"/>
        <v>0</v>
      </c>
      <c r="AI17">
        <f t="shared" si="8"/>
        <v>0</v>
      </c>
      <c r="AJ17">
        <f t="shared" si="9"/>
        <v>0</v>
      </c>
      <c r="AK17">
        <f t="shared" si="10"/>
        <v>0.11111111111111113</v>
      </c>
      <c r="AL17">
        <f t="shared" si="10"/>
        <v>0.44444444444444442</v>
      </c>
      <c r="AM17">
        <f t="shared" si="11"/>
        <v>-0.22222222222222224</v>
      </c>
    </row>
    <row r="18" spans="6:39" x14ac:dyDescent="0.3">
      <c r="G18" t="s">
        <v>67</v>
      </c>
      <c r="H18">
        <v>1</v>
      </c>
      <c r="K18" s="16"/>
      <c r="L18">
        <f>$H$18</f>
        <v>1</v>
      </c>
      <c r="M18">
        <v>0</v>
      </c>
      <c r="N18">
        <f t="shared" si="13"/>
        <v>0</v>
      </c>
      <c r="O18">
        <f t="shared" si="14"/>
        <v>1</v>
      </c>
      <c r="P18">
        <f t="shared" si="14"/>
        <v>0</v>
      </c>
      <c r="Q18">
        <f t="shared" si="0"/>
        <v>0.33333333333333337</v>
      </c>
      <c r="R18">
        <f t="shared" si="0"/>
        <v>-0.66666666666666663</v>
      </c>
      <c r="S18">
        <f>I7</f>
        <v>482.7</v>
      </c>
      <c r="T18">
        <f t="shared" si="15"/>
        <v>482.7</v>
      </c>
      <c r="U18">
        <f t="shared" si="15"/>
        <v>0</v>
      </c>
      <c r="V18">
        <f t="shared" si="15"/>
        <v>0</v>
      </c>
      <c r="W18">
        <f t="shared" si="16"/>
        <v>160.9</v>
      </c>
      <c r="X18">
        <f t="shared" si="16"/>
        <v>-321.79999999999995</v>
      </c>
      <c r="Y18">
        <f t="shared" si="1"/>
        <v>482.63333333333333</v>
      </c>
      <c r="Z18" s="27">
        <f t="shared" si="2"/>
        <v>482.63333333333333</v>
      </c>
      <c r="AA18">
        <f>AVERAGE($S$17:$S$19)</f>
        <v>484.79999999999995</v>
      </c>
      <c r="AB18">
        <f t="shared" si="3"/>
        <v>6.6666666666662877E-2</v>
      </c>
      <c r="AC18" s="6">
        <f t="shared" si="4"/>
        <v>-2.0999999999999659</v>
      </c>
      <c r="AE18">
        <f t="shared" si="5"/>
        <v>0.33333333333333337</v>
      </c>
      <c r="AF18">
        <f t="shared" si="5"/>
        <v>0</v>
      </c>
      <c r="AG18">
        <f t="shared" si="6"/>
        <v>-0.66666666666666663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0.11111111111111113</v>
      </c>
      <c r="AL18">
        <f t="shared" si="10"/>
        <v>0.44444444444444442</v>
      </c>
      <c r="AM18">
        <f t="shared" si="11"/>
        <v>-0.22222222222222224</v>
      </c>
    </row>
    <row r="19" spans="6:39" x14ac:dyDescent="0.3">
      <c r="G19" t="s">
        <v>68</v>
      </c>
      <c r="H19">
        <f>2/3</f>
        <v>0.66666666666666663</v>
      </c>
      <c r="K19" s="16"/>
      <c r="L19">
        <f>$H$18</f>
        <v>1</v>
      </c>
      <c r="M19">
        <v>0</v>
      </c>
      <c r="N19">
        <f t="shared" si="13"/>
        <v>0</v>
      </c>
      <c r="O19">
        <f t="shared" si="14"/>
        <v>1</v>
      </c>
      <c r="P19">
        <f t="shared" si="14"/>
        <v>0</v>
      </c>
      <c r="Q19">
        <f t="shared" si="0"/>
        <v>0.33333333333333337</v>
      </c>
      <c r="R19">
        <f t="shared" si="0"/>
        <v>-0.66666666666666663</v>
      </c>
      <c r="S19">
        <f>I8</f>
        <v>491.8</v>
      </c>
      <c r="T19">
        <f t="shared" si="15"/>
        <v>491.8</v>
      </c>
      <c r="U19">
        <f t="shared" si="15"/>
        <v>0</v>
      </c>
      <c r="V19">
        <f t="shared" si="15"/>
        <v>0</v>
      </c>
      <c r="W19">
        <f t="shared" si="16"/>
        <v>163.93333333333337</v>
      </c>
      <c r="X19">
        <f t="shared" si="16"/>
        <v>-327.86666666666667</v>
      </c>
      <c r="Y19">
        <f t="shared" si="1"/>
        <v>482.63333333333333</v>
      </c>
      <c r="Z19" s="27">
        <f t="shared" si="2"/>
        <v>482.63333333333333</v>
      </c>
      <c r="AA19">
        <f>AVERAGE($S$17:$S$19)</f>
        <v>484.79999999999995</v>
      </c>
      <c r="AB19">
        <f t="shared" si="3"/>
        <v>9.1666666666666856</v>
      </c>
      <c r="AC19" s="6">
        <f t="shared" si="4"/>
        <v>7.0000000000000568</v>
      </c>
      <c r="AE19">
        <f t="shared" si="5"/>
        <v>0.33333333333333337</v>
      </c>
      <c r="AF19">
        <f t="shared" si="5"/>
        <v>0</v>
      </c>
      <c r="AG19">
        <f t="shared" si="6"/>
        <v>-0.66666666666666663</v>
      </c>
      <c r="AH19">
        <f t="shared" si="7"/>
        <v>0</v>
      </c>
      <c r="AI19">
        <f t="shared" si="8"/>
        <v>0</v>
      </c>
      <c r="AJ19">
        <f t="shared" si="9"/>
        <v>0</v>
      </c>
      <c r="AK19">
        <f t="shared" si="10"/>
        <v>0.11111111111111113</v>
      </c>
      <c r="AL19">
        <f t="shared" si="10"/>
        <v>0.44444444444444442</v>
      </c>
      <c r="AM19">
        <f t="shared" si="11"/>
        <v>-0.22222222222222224</v>
      </c>
    </row>
    <row r="20" spans="6:39" x14ac:dyDescent="0.3">
      <c r="G20" t="s">
        <v>22</v>
      </c>
      <c r="H20">
        <f>H14+2*H13+1</f>
        <v>9</v>
      </c>
      <c r="K20" s="16"/>
      <c r="L20">
        <v>0</v>
      </c>
      <c r="M20">
        <f>-$H$18</f>
        <v>-1</v>
      </c>
      <c r="N20">
        <f t="shared" si="13"/>
        <v>0</v>
      </c>
      <c r="O20">
        <f t="shared" si="14"/>
        <v>0</v>
      </c>
      <c r="P20">
        <f t="shared" si="14"/>
        <v>1</v>
      </c>
      <c r="Q20">
        <f t="shared" si="0"/>
        <v>-0.66666666666666663</v>
      </c>
      <c r="R20">
        <f t="shared" si="0"/>
        <v>0.33333333333333337</v>
      </c>
      <c r="S20">
        <f>H3</f>
        <v>258.89999999999998</v>
      </c>
      <c r="T20">
        <f t="shared" si="15"/>
        <v>0</v>
      </c>
      <c r="U20">
        <f t="shared" si="15"/>
        <v>-258.89999999999998</v>
      </c>
      <c r="V20">
        <f t="shared" si="15"/>
        <v>0</v>
      </c>
      <c r="W20">
        <f t="shared" si="16"/>
        <v>-172.59999999999997</v>
      </c>
      <c r="X20">
        <f t="shared" si="16"/>
        <v>86.3</v>
      </c>
      <c r="Y20">
        <f t="shared" si="1"/>
        <v>266.25555555555547</v>
      </c>
      <c r="Z20" s="27">
        <f t="shared" si="2"/>
        <v>266.25555555555547</v>
      </c>
      <c r="AA20">
        <f>AVERAGE($S$20:$S$22)</f>
        <v>263.16666666666663</v>
      </c>
      <c r="AB20">
        <f t="shared" si="3"/>
        <v>-7.3555555555554974</v>
      </c>
      <c r="AC20" s="6">
        <f t="shared" si="4"/>
        <v>-4.2666666666666515</v>
      </c>
      <c r="AE20">
        <f t="shared" si="5"/>
        <v>0</v>
      </c>
      <c r="AF20">
        <f t="shared" si="5"/>
        <v>-0.33333333333333337</v>
      </c>
      <c r="AG20">
        <f t="shared" si="6"/>
        <v>0</v>
      </c>
      <c r="AH20">
        <f t="shared" si="7"/>
        <v>0.66666666666666663</v>
      </c>
      <c r="AI20">
        <f t="shared" si="8"/>
        <v>0</v>
      </c>
      <c r="AJ20">
        <f t="shared" si="9"/>
        <v>0</v>
      </c>
      <c r="AK20">
        <f t="shared" si="10"/>
        <v>0.44444444444444442</v>
      </c>
      <c r="AL20">
        <f t="shared" si="10"/>
        <v>0.11111111111111113</v>
      </c>
      <c r="AM20">
        <f t="shared" si="11"/>
        <v>-0.22222222222222224</v>
      </c>
    </row>
    <row r="21" spans="6:39" x14ac:dyDescent="0.3">
      <c r="G21" t="s">
        <v>48</v>
      </c>
      <c r="H21">
        <f>H20-H16</f>
        <v>3</v>
      </c>
      <c r="K21" s="16"/>
      <c r="L21">
        <v>0</v>
      </c>
      <c r="M21">
        <f>-$H$18</f>
        <v>-1</v>
      </c>
      <c r="N21">
        <f t="shared" si="13"/>
        <v>0</v>
      </c>
      <c r="O21">
        <f t="shared" si="14"/>
        <v>0</v>
      </c>
      <c r="P21">
        <f t="shared" si="14"/>
        <v>1</v>
      </c>
      <c r="Q21">
        <f t="shared" si="0"/>
        <v>-0.66666666666666663</v>
      </c>
      <c r="R21">
        <f t="shared" si="0"/>
        <v>0.33333333333333337</v>
      </c>
      <c r="S21">
        <f>H4</f>
        <v>269.7</v>
      </c>
      <c r="T21">
        <f t="shared" si="15"/>
        <v>0</v>
      </c>
      <c r="U21">
        <f t="shared" si="15"/>
        <v>-269.7</v>
      </c>
      <c r="V21">
        <f t="shared" si="15"/>
        <v>0</v>
      </c>
      <c r="W21">
        <f t="shared" si="16"/>
        <v>-179.79999999999998</v>
      </c>
      <c r="X21">
        <f t="shared" si="16"/>
        <v>89.9</v>
      </c>
      <c r="Y21">
        <f t="shared" si="1"/>
        <v>266.25555555555547</v>
      </c>
      <c r="Z21" s="27">
        <f t="shared" si="2"/>
        <v>266.25555555555547</v>
      </c>
      <c r="AA21">
        <f>AVERAGE($S$20:$S$22)</f>
        <v>263.16666666666663</v>
      </c>
      <c r="AB21">
        <f t="shared" si="3"/>
        <v>3.4444444444445139</v>
      </c>
      <c r="AC21" s="6">
        <f t="shared" si="4"/>
        <v>6.5333333333333599</v>
      </c>
      <c r="AE21">
        <f t="shared" si="5"/>
        <v>0</v>
      </c>
      <c r="AF21">
        <f t="shared" si="5"/>
        <v>-0.33333333333333337</v>
      </c>
      <c r="AG21">
        <f t="shared" si="6"/>
        <v>0</v>
      </c>
      <c r="AH21">
        <f t="shared" si="7"/>
        <v>0.66666666666666663</v>
      </c>
      <c r="AI21">
        <f t="shared" si="8"/>
        <v>0</v>
      </c>
      <c r="AJ21">
        <f t="shared" si="9"/>
        <v>0</v>
      </c>
      <c r="AK21">
        <f t="shared" si="10"/>
        <v>0.44444444444444442</v>
      </c>
      <c r="AL21">
        <f t="shared" si="10"/>
        <v>0.11111111111111113</v>
      </c>
      <c r="AM21">
        <f t="shared" si="11"/>
        <v>-0.22222222222222224</v>
      </c>
    </row>
    <row r="22" spans="6:39" x14ac:dyDescent="0.3">
      <c r="G22" s="5" t="s">
        <v>23</v>
      </c>
      <c r="H22" s="6">
        <f>H20-(H13+1)</f>
        <v>6</v>
      </c>
      <c r="K22" s="16"/>
      <c r="L22">
        <v>0</v>
      </c>
      <c r="M22">
        <f>-$H$18</f>
        <v>-1</v>
      </c>
      <c r="N22">
        <f t="shared" si="13"/>
        <v>0</v>
      </c>
      <c r="O22">
        <f t="shared" si="14"/>
        <v>0</v>
      </c>
      <c r="P22">
        <f t="shared" si="14"/>
        <v>1</v>
      </c>
      <c r="Q22">
        <f t="shared" si="0"/>
        <v>-0.66666666666666663</v>
      </c>
      <c r="R22">
        <f t="shared" si="0"/>
        <v>0.33333333333333337</v>
      </c>
      <c r="S22">
        <f>H5</f>
        <v>260.89999999999998</v>
      </c>
      <c r="T22">
        <f t="shared" si="15"/>
        <v>0</v>
      </c>
      <c r="U22">
        <f t="shared" si="15"/>
        <v>-260.89999999999998</v>
      </c>
      <c r="V22">
        <f t="shared" si="15"/>
        <v>0</v>
      </c>
      <c r="W22">
        <f t="shared" si="16"/>
        <v>-173.93333333333331</v>
      </c>
      <c r="X22">
        <f t="shared" si="16"/>
        <v>86.966666666666669</v>
      </c>
      <c r="Y22">
        <f t="shared" si="1"/>
        <v>266.25555555555547</v>
      </c>
      <c r="Z22" s="27">
        <f t="shared" si="2"/>
        <v>266.25555555555547</v>
      </c>
      <c r="AA22">
        <f>AVERAGE($S$20:$S$22)</f>
        <v>263.16666666666663</v>
      </c>
      <c r="AB22">
        <f t="shared" si="3"/>
        <v>-5.3555555555554974</v>
      </c>
      <c r="AC22" s="6">
        <f t="shared" si="4"/>
        <v>-2.2666666666666515</v>
      </c>
      <c r="AE22">
        <f t="shared" si="5"/>
        <v>0</v>
      </c>
      <c r="AF22">
        <f t="shared" si="5"/>
        <v>-0.33333333333333337</v>
      </c>
      <c r="AG22">
        <f t="shared" si="6"/>
        <v>0</v>
      </c>
      <c r="AH22">
        <f t="shared" si="7"/>
        <v>0.66666666666666663</v>
      </c>
      <c r="AI22">
        <f t="shared" si="8"/>
        <v>0</v>
      </c>
      <c r="AJ22">
        <f t="shared" si="9"/>
        <v>0</v>
      </c>
      <c r="AK22">
        <f t="shared" si="10"/>
        <v>0.44444444444444442</v>
      </c>
      <c r="AL22">
        <f t="shared" si="10"/>
        <v>0.11111111111111113</v>
      </c>
      <c r="AM22">
        <f t="shared" si="11"/>
        <v>-0.22222222222222224</v>
      </c>
    </row>
    <row r="23" spans="6:39" x14ac:dyDescent="0.3">
      <c r="G23" s="5" t="s">
        <v>24</v>
      </c>
      <c r="H23" s="6">
        <f>(H20-1)*H15</f>
        <v>24</v>
      </c>
      <c r="K23" s="16"/>
      <c r="L23">
        <v>0</v>
      </c>
      <c r="M23">
        <f>$H$18</f>
        <v>1</v>
      </c>
      <c r="N23">
        <f t="shared" si="13"/>
        <v>0</v>
      </c>
      <c r="O23">
        <f t="shared" si="14"/>
        <v>0</v>
      </c>
      <c r="P23">
        <f t="shared" si="14"/>
        <v>1</v>
      </c>
      <c r="Q23">
        <f t="shared" si="0"/>
        <v>-0.66666666666666663</v>
      </c>
      <c r="R23">
        <f t="shared" si="0"/>
        <v>0.33333333333333337</v>
      </c>
      <c r="S23">
        <f>H9</f>
        <v>380.7</v>
      </c>
      <c r="T23">
        <f t="shared" si="15"/>
        <v>0</v>
      </c>
      <c r="U23">
        <f t="shared" si="15"/>
        <v>380.7</v>
      </c>
      <c r="V23">
        <f t="shared" si="15"/>
        <v>0</v>
      </c>
      <c r="W23">
        <f t="shared" si="16"/>
        <v>-253.79999999999998</v>
      </c>
      <c r="X23">
        <f t="shared" si="16"/>
        <v>126.9</v>
      </c>
      <c r="Y23">
        <f t="shared" si="1"/>
        <v>372.65555555555545</v>
      </c>
      <c r="Z23" s="27">
        <f t="shared" si="2"/>
        <v>372.65555555555545</v>
      </c>
      <c r="AA23">
        <f>AVERAGE($S$23:$S$25)</f>
        <v>375.96666666666664</v>
      </c>
      <c r="AB23">
        <f t="shared" si="3"/>
        <v>8.0444444444445367</v>
      </c>
      <c r="AC23" s="6">
        <f t="shared" si="4"/>
        <v>4.7333333333333485</v>
      </c>
      <c r="AE23">
        <f t="shared" si="5"/>
        <v>0</v>
      </c>
      <c r="AF23">
        <f t="shared" si="5"/>
        <v>0.33333333333333337</v>
      </c>
      <c r="AG23">
        <f t="shared" si="6"/>
        <v>0</v>
      </c>
      <c r="AH23">
        <f t="shared" si="7"/>
        <v>-0.66666666666666663</v>
      </c>
      <c r="AI23">
        <f t="shared" si="8"/>
        <v>0</v>
      </c>
      <c r="AJ23">
        <f t="shared" si="9"/>
        <v>0</v>
      </c>
      <c r="AK23">
        <f t="shared" si="10"/>
        <v>0.44444444444444442</v>
      </c>
      <c r="AL23">
        <f t="shared" si="10"/>
        <v>0.11111111111111113</v>
      </c>
      <c r="AM23">
        <f t="shared" si="11"/>
        <v>-0.22222222222222224</v>
      </c>
    </row>
    <row r="24" spans="6:39" x14ac:dyDescent="0.3">
      <c r="G24" s="5" t="s">
        <v>25</v>
      </c>
      <c r="H24" s="6">
        <v>0.05</v>
      </c>
      <c r="K24" s="16"/>
      <c r="L24">
        <v>0</v>
      </c>
      <c r="M24">
        <f>$H$18</f>
        <v>1</v>
      </c>
      <c r="N24">
        <f t="shared" si="13"/>
        <v>0</v>
      </c>
      <c r="O24">
        <f t="shared" si="14"/>
        <v>0</v>
      </c>
      <c r="P24">
        <f t="shared" si="14"/>
        <v>1</v>
      </c>
      <c r="Q24">
        <f t="shared" si="0"/>
        <v>-0.66666666666666663</v>
      </c>
      <c r="R24">
        <f t="shared" si="0"/>
        <v>0.33333333333333337</v>
      </c>
      <c r="S24">
        <f>H10</f>
        <v>365.4</v>
      </c>
      <c r="T24">
        <f t="shared" si="15"/>
        <v>0</v>
      </c>
      <c r="U24">
        <f t="shared" si="15"/>
        <v>365.4</v>
      </c>
      <c r="V24">
        <f t="shared" si="15"/>
        <v>0</v>
      </c>
      <c r="W24">
        <f t="shared" si="16"/>
        <v>-243.59999999999997</v>
      </c>
      <c r="X24">
        <f t="shared" si="16"/>
        <v>121.80000000000001</v>
      </c>
      <c r="Y24">
        <f t="shared" si="1"/>
        <v>372.65555555555545</v>
      </c>
      <c r="Z24" s="27">
        <f t="shared" si="2"/>
        <v>372.65555555555545</v>
      </c>
      <c r="AA24">
        <f>AVERAGE($S$23:$S$25)</f>
        <v>375.96666666666664</v>
      </c>
      <c r="AB24">
        <f t="shared" si="3"/>
        <v>-7.2555555555554747</v>
      </c>
      <c r="AC24" s="6">
        <f t="shared" si="4"/>
        <v>-10.566666666666663</v>
      </c>
      <c r="AE24">
        <f t="shared" si="5"/>
        <v>0</v>
      </c>
      <c r="AF24">
        <f t="shared" si="5"/>
        <v>0.33333333333333337</v>
      </c>
      <c r="AG24">
        <f t="shared" si="6"/>
        <v>0</v>
      </c>
      <c r="AH24">
        <f t="shared" si="7"/>
        <v>-0.66666666666666663</v>
      </c>
      <c r="AI24">
        <f t="shared" si="8"/>
        <v>0</v>
      </c>
      <c r="AJ24">
        <f t="shared" si="9"/>
        <v>0</v>
      </c>
      <c r="AK24">
        <f t="shared" si="10"/>
        <v>0.44444444444444442</v>
      </c>
      <c r="AL24">
        <f t="shared" si="10"/>
        <v>0.11111111111111113</v>
      </c>
      <c r="AM24">
        <f t="shared" si="11"/>
        <v>-0.22222222222222224</v>
      </c>
    </row>
    <row r="25" spans="6:39" x14ac:dyDescent="0.3">
      <c r="K25" s="17"/>
      <c r="L25" s="8">
        <v>0</v>
      </c>
      <c r="M25" s="8">
        <f>$H$18</f>
        <v>1</v>
      </c>
      <c r="N25" s="8">
        <f t="shared" si="13"/>
        <v>0</v>
      </c>
      <c r="O25" s="8">
        <f t="shared" si="14"/>
        <v>0</v>
      </c>
      <c r="P25" s="8">
        <f t="shared" si="14"/>
        <v>1</v>
      </c>
      <c r="Q25" s="8">
        <f t="shared" si="0"/>
        <v>-0.66666666666666663</v>
      </c>
      <c r="R25" s="8">
        <f t="shared" si="0"/>
        <v>0.33333333333333337</v>
      </c>
      <c r="S25" s="8">
        <f>H11</f>
        <v>381.8</v>
      </c>
      <c r="T25">
        <f t="shared" si="15"/>
        <v>0</v>
      </c>
      <c r="U25">
        <f t="shared" si="15"/>
        <v>381.8</v>
      </c>
      <c r="V25">
        <f t="shared" si="15"/>
        <v>0</v>
      </c>
      <c r="W25">
        <f t="shared" si="16"/>
        <v>-254.53333333333333</v>
      </c>
      <c r="X25">
        <f t="shared" si="16"/>
        <v>127.26666666666668</v>
      </c>
      <c r="Y25">
        <f t="shared" si="1"/>
        <v>372.65555555555545</v>
      </c>
      <c r="Z25" s="27">
        <f t="shared" si="2"/>
        <v>372.65555555555545</v>
      </c>
      <c r="AA25" s="8">
        <f>AVERAGE($S$23:$S$25)</f>
        <v>375.96666666666664</v>
      </c>
      <c r="AB25" s="8">
        <f t="shared" si="3"/>
        <v>9.1444444444445594</v>
      </c>
      <c r="AC25" s="9">
        <f t="shared" si="4"/>
        <v>5.8333333333333712</v>
      </c>
      <c r="AE25">
        <f t="shared" si="5"/>
        <v>0</v>
      </c>
      <c r="AF25">
        <f t="shared" si="5"/>
        <v>0.33333333333333337</v>
      </c>
      <c r="AG25">
        <f t="shared" si="6"/>
        <v>0</v>
      </c>
      <c r="AH25">
        <f t="shared" si="7"/>
        <v>-0.66666666666666663</v>
      </c>
      <c r="AI25">
        <f t="shared" si="8"/>
        <v>0</v>
      </c>
      <c r="AJ25">
        <f t="shared" si="9"/>
        <v>0</v>
      </c>
      <c r="AK25">
        <f t="shared" si="10"/>
        <v>0.44444444444444442</v>
      </c>
      <c r="AL25">
        <f t="shared" si="10"/>
        <v>0.11111111111111113</v>
      </c>
      <c r="AM25">
        <f t="shared" si="11"/>
        <v>-0.22222222222222224</v>
      </c>
    </row>
    <row r="26" spans="6:39" x14ac:dyDescent="0.3">
      <c r="F26" s="2" t="s">
        <v>37</v>
      </c>
      <c r="K26" s="15" t="s">
        <v>62</v>
      </c>
      <c r="L26" s="3">
        <v>0</v>
      </c>
      <c r="M26" s="3">
        <v>0</v>
      </c>
      <c r="N26" s="3">
        <f t="shared" si="13"/>
        <v>0</v>
      </c>
      <c r="O26" s="3">
        <f t="shared" si="14"/>
        <v>0</v>
      </c>
      <c r="P26" s="3">
        <f t="shared" si="14"/>
        <v>0</v>
      </c>
      <c r="Q26" s="3">
        <f t="shared" si="0"/>
        <v>-0.66666666666666663</v>
      </c>
      <c r="R26" s="3">
        <f t="shared" si="0"/>
        <v>-0.66666666666666663</v>
      </c>
      <c r="S26" s="3">
        <f>H6</f>
        <v>327.39999999999998</v>
      </c>
      <c r="T26">
        <f t="shared" si="15"/>
        <v>0</v>
      </c>
      <c r="U26">
        <f t="shared" si="15"/>
        <v>0</v>
      </c>
      <c r="V26">
        <f t="shared" si="15"/>
        <v>0</v>
      </c>
      <c r="W26">
        <f t="shared" si="16"/>
        <v>-218.26666666666665</v>
      </c>
      <c r="X26">
        <f t="shared" si="16"/>
        <v>-218.26666666666665</v>
      </c>
      <c r="Y26">
        <f t="shared" si="1"/>
        <v>325.35555555555544</v>
      </c>
      <c r="Z26" s="27">
        <f t="shared" si="2"/>
        <v>325.35555555555544</v>
      </c>
      <c r="AA26" s="3">
        <f>AVERAGE($S$26:$S$28)</f>
        <v>325.13333333333327</v>
      </c>
      <c r="AB26" s="3">
        <f t="shared" si="3"/>
        <v>2.0444444444445367</v>
      </c>
      <c r="AC26" s="4">
        <f t="shared" si="4"/>
        <v>2.2666666666667084</v>
      </c>
      <c r="AE26">
        <f t="shared" si="5"/>
        <v>0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0.44444444444444442</v>
      </c>
      <c r="AL26">
        <f t="shared" si="10"/>
        <v>0.44444444444444442</v>
      </c>
      <c r="AM26">
        <f t="shared" si="11"/>
        <v>0.44444444444444442</v>
      </c>
    </row>
    <row r="27" spans="6:39" x14ac:dyDescent="0.3">
      <c r="G27" s="2" t="s">
        <v>94</v>
      </c>
      <c r="H27" s="4">
        <f>S29/COUNT(S2:S28)</f>
        <v>311.79999999999995</v>
      </c>
      <c r="K27" s="16"/>
      <c r="L27">
        <v>0</v>
      </c>
      <c r="M27">
        <v>0</v>
      </c>
      <c r="N27">
        <f t="shared" si="13"/>
        <v>0</v>
      </c>
      <c r="O27">
        <f t="shared" si="14"/>
        <v>0</v>
      </c>
      <c r="P27">
        <f t="shared" si="14"/>
        <v>0</v>
      </c>
      <c r="Q27">
        <f t="shared" si="0"/>
        <v>-0.66666666666666663</v>
      </c>
      <c r="R27">
        <f t="shared" si="0"/>
        <v>-0.66666666666666663</v>
      </c>
      <c r="S27">
        <f>H7</f>
        <v>330.2</v>
      </c>
      <c r="T27">
        <f t="shared" si="15"/>
        <v>0</v>
      </c>
      <c r="U27">
        <f t="shared" si="15"/>
        <v>0</v>
      </c>
      <c r="V27">
        <f t="shared" si="15"/>
        <v>0</v>
      </c>
      <c r="W27">
        <f t="shared" si="16"/>
        <v>-220.13333333333333</v>
      </c>
      <c r="X27">
        <f t="shared" si="16"/>
        <v>-220.13333333333333</v>
      </c>
      <c r="Y27">
        <f t="shared" si="1"/>
        <v>325.35555555555544</v>
      </c>
      <c r="Z27" s="27">
        <f t="shared" si="2"/>
        <v>325.35555555555544</v>
      </c>
      <c r="AA27">
        <f>AVERAGE($S$26:$S$28)</f>
        <v>325.13333333333327</v>
      </c>
      <c r="AB27">
        <f t="shared" si="3"/>
        <v>4.844444444444548</v>
      </c>
      <c r="AC27" s="6">
        <f t="shared" si="4"/>
        <v>5.0666666666667197</v>
      </c>
      <c r="AE27">
        <f t="shared" si="5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0.44444444444444442</v>
      </c>
      <c r="AL27">
        <f t="shared" si="10"/>
        <v>0.44444444444444442</v>
      </c>
      <c r="AM27">
        <f t="shared" si="11"/>
        <v>0.44444444444444442</v>
      </c>
    </row>
    <row r="28" spans="6:39" x14ac:dyDescent="0.3">
      <c r="F28" s="5"/>
      <c r="G28" s="7" t="s">
        <v>5</v>
      </c>
      <c r="H28">
        <f>H27-$H$19*SUM(H32:H33)</f>
        <v>325.35555555555544</v>
      </c>
      <c r="K28" s="17"/>
      <c r="L28" s="8">
        <v>0</v>
      </c>
      <c r="M28" s="8">
        <v>0</v>
      </c>
      <c r="N28" s="8">
        <f t="shared" si="13"/>
        <v>0</v>
      </c>
      <c r="O28" s="8">
        <f t="shared" si="14"/>
        <v>0</v>
      </c>
      <c r="P28" s="8">
        <f t="shared" si="14"/>
        <v>0</v>
      </c>
      <c r="Q28" s="8">
        <f t="shared" si="0"/>
        <v>-0.66666666666666663</v>
      </c>
      <c r="R28" s="8">
        <f t="shared" si="0"/>
        <v>-0.66666666666666663</v>
      </c>
      <c r="S28" s="8">
        <f>H8</f>
        <v>317.8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6"/>
        <v>-211.86666666666667</v>
      </c>
      <c r="X28">
        <f t="shared" si="16"/>
        <v>-211.86666666666667</v>
      </c>
      <c r="Y28">
        <f t="shared" si="1"/>
        <v>325.35555555555544</v>
      </c>
      <c r="Z28" s="27">
        <f t="shared" si="2"/>
        <v>325.35555555555544</v>
      </c>
      <c r="AA28" s="8">
        <f>AVERAGE($S$26:$S$28)</f>
        <v>325.13333333333327</v>
      </c>
      <c r="AB28" s="8">
        <f t="shared" si="3"/>
        <v>-7.5555555555554292</v>
      </c>
      <c r="AC28" s="9">
        <f t="shared" si="4"/>
        <v>-7.3333333333332575</v>
      </c>
      <c r="AE28">
        <f t="shared" si="5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K28">
        <f t="shared" si="10"/>
        <v>0.44444444444444442</v>
      </c>
      <c r="AL28">
        <f t="shared" si="10"/>
        <v>0.44444444444444442</v>
      </c>
      <c r="AM28">
        <f t="shared" si="11"/>
        <v>0.44444444444444442</v>
      </c>
    </row>
    <row r="29" spans="6:39" x14ac:dyDescent="0.3">
      <c r="F29" s="7"/>
      <c r="G29" s="5" t="s">
        <v>9</v>
      </c>
      <c r="H29" s="4">
        <f>T29/O30</f>
        <v>171.71111111111111</v>
      </c>
      <c r="K29" s="5" t="s">
        <v>3</v>
      </c>
      <c r="L29">
        <f>SUM(L2:L28)</f>
        <v>0</v>
      </c>
      <c r="M29">
        <f>SUM(M2:M28)</f>
        <v>0</v>
      </c>
      <c r="N29">
        <f t="shared" ref="N29:X29" si="18">SUM(N2:N28)</f>
        <v>0</v>
      </c>
      <c r="O29">
        <f t="shared" si="18"/>
        <v>18</v>
      </c>
      <c r="P29">
        <f t="shared" si="18"/>
        <v>18</v>
      </c>
      <c r="Q29">
        <f t="shared" si="18"/>
        <v>0</v>
      </c>
      <c r="R29">
        <f t="shared" si="18"/>
        <v>2.4424906541753444E-15</v>
      </c>
      <c r="S29">
        <f t="shared" si="18"/>
        <v>8418.5999999999985</v>
      </c>
      <c r="T29">
        <f t="shared" si="18"/>
        <v>3090.7999999999997</v>
      </c>
      <c r="U29">
        <f t="shared" si="18"/>
        <v>957.59999999999991</v>
      </c>
      <c r="V29">
        <f t="shared" si="18"/>
        <v>356.6</v>
      </c>
      <c r="W29">
        <f t="shared" si="18"/>
        <v>-86.599999999999454</v>
      </c>
      <c r="X29">
        <f t="shared" si="18"/>
        <v>-35.399999999999977</v>
      </c>
      <c r="AE29">
        <f t="shared" ref="AE29:AM29" si="19">SUM(AE2:AE28)</f>
        <v>1.1102230246251565E-16</v>
      </c>
      <c r="AF29">
        <f t="shared" si="19"/>
        <v>1.1102230246251565E-16</v>
      </c>
      <c r="AG29">
        <f t="shared" si="19"/>
        <v>2.2204460492503131E-16</v>
      </c>
      <c r="AH29">
        <f t="shared" si="19"/>
        <v>2.2204460492503131E-16</v>
      </c>
      <c r="AI29">
        <f t="shared" si="19"/>
        <v>-1.1102230246251565E-16</v>
      </c>
      <c r="AJ29">
        <f t="shared" si="19"/>
        <v>-1.1102230246251565E-16</v>
      </c>
      <c r="AK29">
        <f t="shared" si="19"/>
        <v>6.0000000000000018</v>
      </c>
      <c r="AL29">
        <f t="shared" si="19"/>
        <v>5.9999999999999991</v>
      </c>
      <c r="AM29">
        <f t="shared" si="19"/>
        <v>0</v>
      </c>
    </row>
    <row r="30" spans="6:39" x14ac:dyDescent="0.3">
      <c r="G30" s="7" t="s">
        <v>10</v>
      </c>
      <c r="H30" s="4">
        <f>U29/P30</f>
        <v>53.199999999999996</v>
      </c>
      <c r="K30" s="7" t="s">
        <v>4</v>
      </c>
      <c r="L30" s="8">
        <f>SUMSQ(L2:L28)</f>
        <v>18</v>
      </c>
      <c r="M30" s="8">
        <f t="shared" ref="M30:R30" si="20">SUMSQ(M2:M28)</f>
        <v>18</v>
      </c>
      <c r="N30" s="8">
        <f t="shared" si="20"/>
        <v>12</v>
      </c>
      <c r="O30" s="8">
        <f t="shared" si="20"/>
        <v>18</v>
      </c>
      <c r="P30" s="8">
        <f t="shared" si="20"/>
        <v>18</v>
      </c>
      <c r="Q30" s="8">
        <f t="shared" si="20"/>
        <v>6.0000000000000018</v>
      </c>
      <c r="R30" s="8">
        <f t="shared" si="20"/>
        <v>5.9999999999999991</v>
      </c>
      <c r="S30" s="8"/>
      <c r="T30" s="8"/>
      <c r="U30" s="8"/>
      <c r="Y30" s="8"/>
      <c r="Z30" s="8"/>
      <c r="AA30" s="8"/>
      <c r="AB30" s="9"/>
      <c r="AC30" s="8"/>
    </row>
    <row r="31" spans="6:39" x14ac:dyDescent="0.3">
      <c r="G31" t="s">
        <v>64</v>
      </c>
      <c r="H31" s="4">
        <f>V29/N30</f>
        <v>29.716666666666669</v>
      </c>
    </row>
    <row r="32" spans="6:39" x14ac:dyDescent="0.3">
      <c r="G32" s="5" t="s">
        <v>84</v>
      </c>
      <c r="H32" s="4">
        <f>W29/Q30</f>
        <v>-14.433333333333238</v>
      </c>
    </row>
    <row r="33" spans="7:17" x14ac:dyDescent="0.3">
      <c r="G33" s="7" t="s">
        <v>85</v>
      </c>
      <c r="H33" s="4">
        <f>X29/R30</f>
        <v>-5.8999999999999968</v>
      </c>
      <c r="J33" t="s">
        <v>95</v>
      </c>
      <c r="K33">
        <f>H37/(H15*(H20+2*H18*H18))</f>
        <v>0.80917508417508477</v>
      </c>
      <c r="M33" t="s">
        <v>47</v>
      </c>
      <c r="N33">
        <f>_xlfn.T.INV.2T(0.05,H23)</f>
        <v>2.0638985616280254</v>
      </c>
      <c r="P33" t="s">
        <v>58</v>
      </c>
      <c r="Q33" t="str">
        <f>IF(N34&gt;$N$33,"значим","незначим")</f>
        <v>значим</v>
      </c>
    </row>
    <row r="34" spans="7:17" x14ac:dyDescent="0.3">
      <c r="J34" t="s">
        <v>96</v>
      </c>
      <c r="K34">
        <f>H37/(H15*(H14+2*H18*H18))</f>
        <v>1.4834876543209887</v>
      </c>
      <c r="M34" t="s">
        <v>49</v>
      </c>
      <c r="N34">
        <f>ABS(H28)/SQRT($K$33)</f>
        <v>361.6903951444304</v>
      </c>
      <c r="P34" t="s">
        <v>59</v>
      </c>
      <c r="Q34" t="str">
        <f t="shared" ref="Q34:Q38" si="21">IF(N35&gt;$N$33,"значим","незначим")</f>
        <v>значим</v>
      </c>
    </row>
    <row r="35" spans="7:17" x14ac:dyDescent="0.3">
      <c r="J35" t="s">
        <v>97</v>
      </c>
      <c r="K35">
        <f>H37/(H15*H14)</f>
        <v>2.2252314814814831</v>
      </c>
      <c r="M35" t="s">
        <v>50</v>
      </c>
      <c r="N35">
        <f>ABS(H29)/SQRT($K$34)</f>
        <v>140.97965071653141</v>
      </c>
      <c r="P35" t="s">
        <v>60</v>
      </c>
      <c r="Q35" t="str">
        <f t="shared" si="21"/>
        <v>значим</v>
      </c>
    </row>
    <row r="36" spans="7:17" x14ac:dyDescent="0.3">
      <c r="G36" t="s">
        <v>43</v>
      </c>
      <c r="H36">
        <f>SUMSQ(AB2:AB28)/H21</f>
        <v>257.12925925925941</v>
      </c>
      <c r="J36" t="s">
        <v>98</v>
      </c>
      <c r="K36">
        <f>H37/(H15*2*POWER(H18,4))</f>
        <v>4.4504629629629662</v>
      </c>
      <c r="M36" t="s">
        <v>51</v>
      </c>
      <c r="N36">
        <f>ABS(H30)/SQRT($K$34)</f>
        <v>43.678695977141992</v>
      </c>
      <c r="P36" t="s">
        <v>103</v>
      </c>
      <c r="Q36" t="str">
        <f t="shared" si="21"/>
        <v>значим</v>
      </c>
    </row>
    <row r="37" spans="7:17" x14ac:dyDescent="0.3">
      <c r="G37" t="s">
        <v>44</v>
      </c>
      <c r="H37">
        <f>SUMSQ(AC2:AC28)/((H20-1)*H15)</f>
        <v>26.702777777777797</v>
      </c>
      <c r="M37" t="s">
        <v>100</v>
      </c>
      <c r="N37">
        <f>ABS(H31)/SQRT($K$35)</f>
        <v>19.921062363337185</v>
      </c>
      <c r="P37" s="5" t="s">
        <v>104</v>
      </c>
      <c r="Q37" t="str">
        <f t="shared" si="21"/>
        <v>значим</v>
      </c>
    </row>
    <row r="38" spans="7:17" x14ac:dyDescent="0.3">
      <c r="G38" s="28" t="s">
        <v>28</v>
      </c>
      <c r="H38" s="28">
        <f>H36/H37</f>
        <v>9.6293075349353288</v>
      </c>
      <c r="J38" t="s">
        <v>99</v>
      </c>
      <c r="M38" s="5" t="s">
        <v>101</v>
      </c>
      <c r="N38">
        <f>ABS(H32)/SQRT($K$36)</f>
        <v>6.8417003002194461</v>
      </c>
      <c r="P38" s="7" t="s">
        <v>105</v>
      </c>
      <c r="Q38" t="str">
        <f t="shared" si="21"/>
        <v>значим</v>
      </c>
    </row>
    <row r="39" spans="7:17" x14ac:dyDescent="0.3">
      <c r="G39" s="28" t="s">
        <v>26</v>
      </c>
      <c r="H39" s="28">
        <f>_xlfn.F.INV.RT(H24,H23,H22)</f>
        <v>3.8414569017957709</v>
      </c>
      <c r="M39" s="7" t="s">
        <v>102</v>
      </c>
      <c r="N39">
        <f>ABS(H33)/SQRT($K$36)</f>
        <v>2.7967227555169734</v>
      </c>
    </row>
    <row r="40" spans="7:17" x14ac:dyDescent="0.3">
      <c r="G40" s="5" t="s">
        <v>57</v>
      </c>
      <c r="H40" t="str">
        <f>IF(H38&lt;H39,"адеватна","не адеватна")</f>
        <v>не адеватна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31F8-5111-4181-BAFC-91AD80FAA46C}">
  <dimension ref="A1:Q46"/>
  <sheetViews>
    <sheetView zoomScale="85" zoomScaleNormal="85" workbookViewId="0">
      <selection sqref="A1:D10"/>
    </sheetView>
  </sheetViews>
  <sheetFormatPr defaultRowHeight="14.4" x14ac:dyDescent="0.3"/>
  <cols>
    <col min="6" max="6" width="12.21875" customWidth="1"/>
    <col min="8" max="8" width="9.6640625" customWidth="1"/>
    <col min="11" max="11" width="13" bestFit="1" customWidth="1"/>
    <col min="12" max="12" width="12.6640625" bestFit="1" customWidth="1"/>
    <col min="13" max="13" width="10.33203125" customWidth="1"/>
    <col min="15" max="15" width="13" bestFit="1" customWidth="1"/>
    <col min="19" max="19" width="12" bestFit="1" customWidth="1"/>
  </cols>
  <sheetData>
    <row r="1" spans="1:17" x14ac:dyDescent="0.3">
      <c r="A1" s="2"/>
      <c r="B1" s="3">
        <v>4.0000000000000001E-3</v>
      </c>
      <c r="C1" s="3">
        <v>4.7000000000000002E-3</v>
      </c>
      <c r="D1" s="4">
        <v>0.09</v>
      </c>
      <c r="F1" s="3" t="s">
        <v>33</v>
      </c>
      <c r="J1" s="2" t="s">
        <v>36</v>
      </c>
      <c r="K1" s="3" t="s">
        <v>1</v>
      </c>
      <c r="L1" s="3" t="s">
        <v>2</v>
      </c>
      <c r="M1" s="3" t="s">
        <v>6</v>
      </c>
      <c r="N1" s="3" t="s">
        <v>7</v>
      </c>
      <c r="O1" s="3" t="s">
        <v>8</v>
      </c>
      <c r="P1" s="3" t="s">
        <v>38</v>
      </c>
      <c r="Q1" s="4" t="s">
        <v>39</v>
      </c>
    </row>
    <row r="2" spans="1:17" x14ac:dyDescent="0.3">
      <c r="A2" s="5">
        <v>1</v>
      </c>
      <c r="B2">
        <v>0.69740000000000002</v>
      </c>
      <c r="C2">
        <v>0.78420000000000001</v>
      </c>
      <c r="D2" s="6">
        <v>0.81759999999999999</v>
      </c>
      <c r="F2" s="2" t="s">
        <v>0</v>
      </c>
      <c r="G2" s="3">
        <f>B1</f>
        <v>4.0000000000000001E-3</v>
      </c>
      <c r="H2" s="4">
        <f>D1</f>
        <v>0.09</v>
      </c>
      <c r="J2" s="15"/>
      <c r="K2" s="3">
        <v>-1</v>
      </c>
      <c r="L2" s="3">
        <v>-1</v>
      </c>
      <c r="M2" s="3">
        <f>G31</f>
        <v>-1.3229715628460055</v>
      </c>
      <c r="N2" s="3">
        <f t="shared" ref="N2:O5" si="0">K2*$M2</f>
        <v>1.3229715628460055</v>
      </c>
      <c r="O2" s="3">
        <f t="shared" si="0"/>
        <v>1.3229715628460055</v>
      </c>
      <c r="P2" s="3">
        <f>$H$35+K2*$H$36+L2*$H$37</f>
        <v>-1.3305771734625937</v>
      </c>
      <c r="Q2" s="4">
        <f>M2-P2</f>
        <v>7.6056106165882653E-3</v>
      </c>
    </row>
    <row r="3" spans="1:17" x14ac:dyDescent="0.3">
      <c r="A3" s="5">
        <v>1</v>
      </c>
      <c r="B3">
        <v>0.68920000000000003</v>
      </c>
      <c r="C3">
        <v>0.82410000000000005</v>
      </c>
      <c r="D3" s="6">
        <v>0.81689999999999996</v>
      </c>
      <c r="F3" s="5">
        <f>A2</f>
        <v>1</v>
      </c>
      <c r="G3" s="2">
        <f>B2</f>
        <v>0.69740000000000002</v>
      </c>
      <c r="H3" s="4">
        <f>D2</f>
        <v>0.81759999999999999</v>
      </c>
      <c r="J3" s="16"/>
      <c r="K3">
        <v>1</v>
      </c>
      <c r="L3">
        <v>-1</v>
      </c>
      <c r="M3">
        <f>H31</f>
        <v>-0.91799271531805893</v>
      </c>
      <c r="N3">
        <f t="shared" si="0"/>
        <v>-0.91799271531805893</v>
      </c>
      <c r="O3">
        <f t="shared" si="0"/>
        <v>0.91799271531805893</v>
      </c>
      <c r="P3">
        <f>$H$35+K3*$H$36+L3*$H$37</f>
        <v>-0.91038710470147044</v>
      </c>
      <c r="Q3" s="6">
        <f>M3-P3</f>
        <v>-7.6056106165884874E-3</v>
      </c>
    </row>
    <row r="4" spans="1:17" ht="15" thickBot="1" x14ac:dyDescent="0.35">
      <c r="A4" s="10">
        <v>1</v>
      </c>
      <c r="B4">
        <v>0.7026</v>
      </c>
      <c r="C4">
        <v>0.79059999999999997</v>
      </c>
      <c r="D4" s="6">
        <v>0.85460000000000003</v>
      </c>
      <c r="F4" s="5">
        <f t="shared" ref="F4:G5" si="1">A3</f>
        <v>1</v>
      </c>
      <c r="G4" s="5">
        <f t="shared" si="1"/>
        <v>0.68920000000000003</v>
      </c>
      <c r="H4" s="6">
        <f t="shared" ref="H4:H5" si="2">D3</f>
        <v>0.81689999999999996</v>
      </c>
      <c r="J4" s="16"/>
      <c r="K4">
        <v>-1</v>
      </c>
      <c r="L4">
        <v>1</v>
      </c>
      <c r="M4">
        <f>G32</f>
        <v>-0.58864830874567631</v>
      </c>
      <c r="N4">
        <f t="shared" si="0"/>
        <v>0.58864830874567631</v>
      </c>
      <c r="O4">
        <f t="shared" si="0"/>
        <v>-0.58864830874567631</v>
      </c>
      <c r="P4">
        <f>$H$35+K4*$H$36+L4*$H$37</f>
        <v>-0.58104269812908793</v>
      </c>
      <c r="Q4" s="6">
        <f>M4-P4</f>
        <v>-7.6056106165883763E-3</v>
      </c>
    </row>
    <row r="5" spans="1:17" x14ac:dyDescent="0.3">
      <c r="A5" s="5">
        <v>6</v>
      </c>
      <c r="B5">
        <v>0.88649999999999995</v>
      </c>
      <c r="C5">
        <v>1.1113999999999999</v>
      </c>
      <c r="D5" s="6">
        <v>1.1269</v>
      </c>
      <c r="F5" s="5">
        <f t="shared" si="1"/>
        <v>1</v>
      </c>
      <c r="G5" s="5">
        <f t="shared" si="1"/>
        <v>0.7026</v>
      </c>
      <c r="H5" s="6">
        <f t="shared" si="2"/>
        <v>0.85460000000000003</v>
      </c>
      <c r="J5" s="17"/>
      <c r="K5" s="8">
        <v>1</v>
      </c>
      <c r="L5" s="8">
        <v>1</v>
      </c>
      <c r="M5" s="8">
        <f>H32</f>
        <v>-0.15324701875137628</v>
      </c>
      <c r="N5" s="8">
        <f t="shared" si="0"/>
        <v>-0.15324701875137628</v>
      </c>
      <c r="O5" s="8">
        <f t="shared" si="0"/>
        <v>-0.15324701875137628</v>
      </c>
      <c r="P5" s="8">
        <f>$H$35+K5*$H$36+L5*$H$37</f>
        <v>-0.16085262936796463</v>
      </c>
      <c r="Q5" s="9">
        <f>M5-P5</f>
        <v>7.6056106165883486E-3</v>
      </c>
    </row>
    <row r="6" spans="1:17" x14ac:dyDescent="0.3">
      <c r="A6" s="5">
        <v>6</v>
      </c>
      <c r="B6">
        <v>0.90920000000000001</v>
      </c>
      <c r="C6">
        <v>1.0666</v>
      </c>
      <c r="D6" s="6">
        <v>1.1424000000000001</v>
      </c>
      <c r="F6" s="5">
        <f>A8</f>
        <v>11</v>
      </c>
      <c r="G6" s="5">
        <f>B8</f>
        <v>0.98040000000000005</v>
      </c>
      <c r="H6" s="6">
        <f>D8</f>
        <v>1.3008999999999999</v>
      </c>
      <c r="J6" s="15" t="s">
        <v>3</v>
      </c>
      <c r="K6" s="3">
        <f>SUM(K2:K5)</f>
        <v>0</v>
      </c>
      <c r="L6" s="3">
        <f>SUM(L2:L5)</f>
        <v>0</v>
      </c>
      <c r="M6" s="3">
        <f>SUM(M2:M5)</f>
        <v>-2.9828596056611167</v>
      </c>
      <c r="N6" s="3">
        <f>SUM(N2:N5)</f>
        <v>0.84038013752224661</v>
      </c>
      <c r="O6" s="3">
        <f>SUM(O2:O5)</f>
        <v>1.4990689506670116</v>
      </c>
      <c r="P6" s="3"/>
      <c r="Q6" s="4"/>
    </row>
    <row r="7" spans="1:17" ht="15" thickBot="1" x14ac:dyDescent="0.35">
      <c r="A7" s="10">
        <v>6</v>
      </c>
      <c r="B7">
        <v>0.9093</v>
      </c>
      <c r="C7">
        <v>1.0814999999999999</v>
      </c>
      <c r="D7" s="6">
        <v>1.1056999999999999</v>
      </c>
      <c r="F7" s="5">
        <f t="shared" ref="F7:G8" si="3">A9</f>
        <v>11</v>
      </c>
      <c r="G7" s="5">
        <f t="shared" si="3"/>
        <v>0.96750000000000003</v>
      </c>
      <c r="H7" s="6">
        <f t="shared" ref="H7:H8" si="4">D9</f>
        <v>1.2825</v>
      </c>
      <c r="J7" s="17" t="s">
        <v>4</v>
      </c>
      <c r="K7" s="8">
        <f>SUMSQ(K2:K5)</f>
        <v>4</v>
      </c>
      <c r="L7" s="8">
        <f>SUMSQ(L2:L5)</f>
        <v>4</v>
      </c>
      <c r="M7" s="8"/>
      <c r="N7" s="8"/>
      <c r="O7" s="8"/>
      <c r="P7" s="8"/>
      <c r="Q7" s="9"/>
    </row>
    <row r="8" spans="1:17" x14ac:dyDescent="0.3">
      <c r="A8" s="5">
        <v>11</v>
      </c>
      <c r="B8">
        <v>0.98040000000000005</v>
      </c>
      <c r="C8">
        <v>1.2244999999999999</v>
      </c>
      <c r="D8" s="6">
        <v>1.3008999999999999</v>
      </c>
      <c r="F8" s="7">
        <f t="shared" si="3"/>
        <v>11</v>
      </c>
      <c r="G8" s="7">
        <f t="shared" si="3"/>
        <v>1.0081</v>
      </c>
      <c r="H8" s="9">
        <f t="shared" si="4"/>
        <v>1.2805</v>
      </c>
    </row>
    <row r="9" spans="1:17" x14ac:dyDescent="0.3">
      <c r="A9" s="5">
        <v>11</v>
      </c>
      <c r="B9">
        <v>0.96750000000000003</v>
      </c>
      <c r="C9">
        <v>1.2107000000000001</v>
      </c>
      <c r="D9" s="6">
        <v>1.2825</v>
      </c>
    </row>
    <row r="10" spans="1:17" x14ac:dyDescent="0.3">
      <c r="A10" s="7">
        <v>11</v>
      </c>
      <c r="B10" s="8">
        <v>1.0081</v>
      </c>
      <c r="C10" s="8">
        <v>1.1963999999999999</v>
      </c>
      <c r="D10" s="9">
        <v>1.2805</v>
      </c>
      <c r="F10" t="s">
        <v>34</v>
      </c>
      <c r="G10" s="32" t="s">
        <v>110</v>
      </c>
    </row>
    <row r="11" spans="1:17" x14ac:dyDescent="0.3">
      <c r="G11" s="32" t="s">
        <v>112</v>
      </c>
    </row>
    <row r="12" spans="1:17" x14ac:dyDescent="0.3">
      <c r="F12" s="2" t="s">
        <v>106</v>
      </c>
      <c r="G12" s="3">
        <f>LN(G2)</f>
        <v>-5.521460917862246</v>
      </c>
      <c r="H12" s="4">
        <f>LN(H2)</f>
        <v>-2.4079456086518722</v>
      </c>
    </row>
    <row r="13" spans="1:17" x14ac:dyDescent="0.3">
      <c r="A13" s="2" t="s">
        <v>56</v>
      </c>
      <c r="B13" s="3"/>
      <c r="C13" s="3"/>
      <c r="D13" s="4"/>
      <c r="F13" s="5">
        <f t="shared" ref="F13:F18" si="5">LN(F3)</f>
        <v>0</v>
      </c>
      <c r="G13" s="2">
        <f>LN(G3-0.43)</f>
        <v>-1.3190096143142942</v>
      </c>
      <c r="H13" s="4">
        <f t="shared" ref="G13:H18" si="6">LN(H3-0.43)</f>
        <v>-0.94778139896552593</v>
      </c>
    </row>
    <row r="14" spans="1:17" x14ac:dyDescent="0.3">
      <c r="A14" s="5" t="s">
        <v>0</v>
      </c>
      <c r="B14">
        <f>B1</f>
        <v>4.0000000000000001E-3</v>
      </c>
      <c r="C14">
        <f>C1</f>
        <v>4.7000000000000002E-3</v>
      </c>
      <c r="D14" s="6">
        <f>D1</f>
        <v>0.09</v>
      </c>
      <c r="F14" s="5">
        <f t="shared" si="5"/>
        <v>0</v>
      </c>
      <c r="G14" s="5">
        <f t="shared" si="6"/>
        <v>-1.3501553145040173</v>
      </c>
      <c r="H14" s="6">
        <f t="shared" si="6"/>
        <v>-0.94958901727566991</v>
      </c>
    </row>
    <row r="15" spans="1:17" x14ac:dyDescent="0.3">
      <c r="A15" s="5">
        <f t="shared" ref="A15:A23" si="7">A2</f>
        <v>1</v>
      </c>
      <c r="B15" s="2">
        <f t="shared" ref="B15:D23" si="8">0.43+$H$44*POWER(B$14, $H$45)*POWER($A15,$H$46)</f>
        <v>0.69432465608721816</v>
      </c>
      <c r="C15" s="3">
        <f t="shared" si="8"/>
        <v>0.70014053915484831</v>
      </c>
      <c r="D15" s="4">
        <f t="shared" si="8"/>
        <v>0.83236843516930314</v>
      </c>
      <c r="F15" s="5">
        <f t="shared" si="5"/>
        <v>0</v>
      </c>
      <c r="G15" s="5">
        <f t="shared" si="6"/>
        <v>-1.2997497597197047</v>
      </c>
      <c r="H15" s="6">
        <f t="shared" si="6"/>
        <v>-0.85660772971298127</v>
      </c>
    </row>
    <row r="16" spans="1:17" x14ac:dyDescent="0.3">
      <c r="A16" s="5">
        <f t="shared" si="7"/>
        <v>1</v>
      </c>
      <c r="B16" s="5">
        <f t="shared" si="8"/>
        <v>0.69432465608721816</v>
      </c>
      <c r="C16">
        <f t="shared" si="8"/>
        <v>0.70014053915484831</v>
      </c>
      <c r="D16" s="6">
        <f t="shared" si="8"/>
        <v>0.83236843516930314</v>
      </c>
      <c r="F16" s="5">
        <f t="shared" si="5"/>
        <v>2.3978952727983707</v>
      </c>
      <c r="G16" s="5">
        <f t="shared" si="6"/>
        <v>-0.59710999236300311</v>
      </c>
      <c r="H16" s="6">
        <f t="shared" si="6"/>
        <v>-0.13822811928344314</v>
      </c>
    </row>
    <row r="17" spans="1:15" x14ac:dyDescent="0.3">
      <c r="A17" s="5">
        <f t="shared" si="7"/>
        <v>1</v>
      </c>
      <c r="B17" s="5">
        <f t="shared" si="8"/>
        <v>0.69432465608721816</v>
      </c>
      <c r="C17">
        <f t="shared" si="8"/>
        <v>0.70014053915484831</v>
      </c>
      <c r="D17" s="6">
        <f t="shared" si="8"/>
        <v>0.83236843516930314</v>
      </c>
      <c r="F17" s="5">
        <f t="shared" si="5"/>
        <v>2.3978952727983707</v>
      </c>
      <c r="G17" s="5">
        <f t="shared" si="6"/>
        <v>-0.62082651898031904</v>
      </c>
      <c r="H17" s="6">
        <f t="shared" si="6"/>
        <v>-0.15958206982446516</v>
      </c>
    </row>
    <row r="18" spans="1:15" x14ac:dyDescent="0.3">
      <c r="A18" s="5">
        <f t="shared" si="7"/>
        <v>6</v>
      </c>
      <c r="B18" s="5">
        <f t="shared" si="8"/>
        <v>0.89277758356717163</v>
      </c>
      <c r="C18">
        <f t="shared" si="8"/>
        <v>0.90295998710147907</v>
      </c>
      <c r="D18" s="6">
        <f t="shared" si="8"/>
        <v>1.1344635747862744</v>
      </c>
      <c r="F18" s="7">
        <f t="shared" si="5"/>
        <v>2.3978952727983707</v>
      </c>
      <c r="G18" s="7">
        <f t="shared" si="6"/>
        <v>-0.54800841489370655</v>
      </c>
      <c r="H18" s="9">
        <f t="shared" si="6"/>
        <v>-0.16193086714622057</v>
      </c>
    </row>
    <row r="19" spans="1:15" x14ac:dyDescent="0.3">
      <c r="A19" s="5">
        <f t="shared" si="7"/>
        <v>6</v>
      </c>
      <c r="B19" s="5">
        <f t="shared" si="8"/>
        <v>0.89277758356717163</v>
      </c>
      <c r="C19">
        <f t="shared" si="8"/>
        <v>0.90295998710147907</v>
      </c>
      <c r="D19" s="6">
        <f t="shared" si="8"/>
        <v>1.1344635747862744</v>
      </c>
    </row>
    <row r="20" spans="1:15" x14ac:dyDescent="0.3">
      <c r="A20" s="5">
        <f t="shared" si="7"/>
        <v>6</v>
      </c>
      <c r="B20" s="5">
        <f t="shared" si="8"/>
        <v>0.89277758356717163</v>
      </c>
      <c r="C20">
        <f t="shared" si="8"/>
        <v>0.90295998710147907</v>
      </c>
      <c r="D20" s="6">
        <f t="shared" si="8"/>
        <v>1.1344635747862744</v>
      </c>
      <c r="F20" t="s">
        <v>35</v>
      </c>
      <c r="G20" s="32" t="s">
        <v>111</v>
      </c>
      <c r="J20" t="s">
        <v>109</v>
      </c>
    </row>
    <row r="21" spans="1:15" x14ac:dyDescent="0.3">
      <c r="A21" s="5">
        <v>11</v>
      </c>
      <c r="B21" s="5">
        <f t="shared" si="8"/>
        <v>0.98931486584652495</v>
      </c>
      <c r="C21">
        <f t="shared" si="8"/>
        <v>1.0016213600869914</v>
      </c>
      <c r="D21" s="6">
        <f t="shared" si="8"/>
        <v>1.2814175358023956</v>
      </c>
      <c r="F21" s="2" t="s">
        <v>53</v>
      </c>
      <c r="G21" s="3">
        <v>-1</v>
      </c>
      <c r="H21" s="4">
        <v>1</v>
      </c>
      <c r="J21" s="2" t="s">
        <v>53</v>
      </c>
      <c r="K21" s="3">
        <v>-1</v>
      </c>
      <c r="L21" s="15">
        <v>1</v>
      </c>
    </row>
    <row r="22" spans="1:15" x14ac:dyDescent="0.3">
      <c r="A22" s="5">
        <v>11</v>
      </c>
      <c r="B22" s="5">
        <f t="shared" si="8"/>
        <v>0.98931486584652495</v>
      </c>
      <c r="C22">
        <f t="shared" si="8"/>
        <v>1.0016213600869914</v>
      </c>
      <c r="D22" s="6">
        <f t="shared" si="8"/>
        <v>1.2814175358023956</v>
      </c>
      <c r="F22" s="5">
        <v>-1</v>
      </c>
      <c r="G22" s="2">
        <f>G13</f>
        <v>-1.3190096143142942</v>
      </c>
      <c r="H22" s="4">
        <f>H13</f>
        <v>-0.94778139896552593</v>
      </c>
      <c r="J22" s="5">
        <v>-1</v>
      </c>
      <c r="K22" s="2">
        <f t="shared" ref="K22:L24" si="9">G22 - G$31</f>
        <v>3.961948531711279E-3</v>
      </c>
      <c r="L22" s="15">
        <f t="shared" si="9"/>
        <v>-2.9788683647467007E-2</v>
      </c>
    </row>
    <row r="23" spans="1:15" x14ac:dyDescent="0.3">
      <c r="A23" s="7">
        <v>11</v>
      </c>
      <c r="B23" s="7">
        <f t="shared" si="8"/>
        <v>0.98931486584652495</v>
      </c>
      <c r="C23" s="8">
        <f t="shared" si="8"/>
        <v>1.0016213600869914</v>
      </c>
      <c r="D23" s="9">
        <f t="shared" si="8"/>
        <v>1.2814175358023956</v>
      </c>
      <c r="F23" s="5">
        <v>-1</v>
      </c>
      <c r="G23" s="5">
        <f t="shared" ref="G23:H23" si="10">G14</f>
        <v>-1.3501553145040173</v>
      </c>
      <c r="H23" s="6">
        <f t="shared" si="10"/>
        <v>-0.94958901727566991</v>
      </c>
      <c r="J23" s="5">
        <v>-1</v>
      </c>
      <c r="K23" s="5">
        <f t="shared" si="9"/>
        <v>-2.718375165801179E-2</v>
      </c>
      <c r="L23" s="16">
        <f t="shared" si="9"/>
        <v>-3.1596301957610984E-2</v>
      </c>
    </row>
    <row r="24" spans="1:15" x14ac:dyDescent="0.3">
      <c r="F24" s="5">
        <v>-1</v>
      </c>
      <c r="G24" s="5">
        <f t="shared" ref="G24:H24" si="11">G15</f>
        <v>-1.2997497597197047</v>
      </c>
      <c r="H24" s="6">
        <f t="shared" si="11"/>
        <v>-0.85660772971298127</v>
      </c>
      <c r="J24" s="5">
        <v>-1</v>
      </c>
      <c r="K24" s="5">
        <f t="shared" si="9"/>
        <v>2.3221803126300733E-2</v>
      </c>
      <c r="L24" s="16">
        <f t="shared" si="9"/>
        <v>6.1384985605077658E-2</v>
      </c>
    </row>
    <row r="25" spans="1:15" x14ac:dyDescent="0.3">
      <c r="A25" s="2" t="s">
        <v>114</v>
      </c>
      <c r="B25" s="3"/>
      <c r="C25" s="3"/>
      <c r="D25" s="4"/>
      <c r="F25" s="5">
        <v>1</v>
      </c>
      <c r="G25" s="5">
        <f t="shared" ref="G25:H25" si="12">G16</f>
        <v>-0.59710999236300311</v>
      </c>
      <c r="H25" s="6">
        <f t="shared" si="12"/>
        <v>-0.13822811928344314</v>
      </c>
      <c r="J25" s="2">
        <v>1</v>
      </c>
      <c r="K25" s="2">
        <f t="shared" ref="K25:L27" si="13">G25 - G$32</f>
        <v>-8.4616836173267984E-3</v>
      </c>
      <c r="L25" s="15">
        <f t="shared" si="13"/>
        <v>1.5018899467933139E-2</v>
      </c>
    </row>
    <row r="26" spans="1:15" x14ac:dyDescent="0.3">
      <c r="A26" s="5" t="s">
        <v>0</v>
      </c>
      <c r="B26">
        <f>B14</f>
        <v>4.0000000000000001E-3</v>
      </c>
      <c r="C26">
        <f t="shared" ref="C26:D26" si="14">C14</f>
        <v>4.7000000000000002E-3</v>
      </c>
      <c r="D26" s="6">
        <f t="shared" si="14"/>
        <v>0.09</v>
      </c>
      <c r="F26" s="5">
        <v>1</v>
      </c>
      <c r="G26" s="5">
        <f t="shared" ref="G26:H26" si="15">G17</f>
        <v>-0.62082651898031904</v>
      </c>
      <c r="H26" s="6">
        <f t="shared" si="15"/>
        <v>-0.15958206982446516</v>
      </c>
      <c r="J26" s="5">
        <v>1</v>
      </c>
      <c r="K26" s="5">
        <f t="shared" si="13"/>
        <v>-3.2178210234642735E-2</v>
      </c>
      <c r="L26" s="16">
        <f t="shared" si="13"/>
        <v>-6.3350510730888765E-3</v>
      </c>
    </row>
    <row r="27" spans="1:15" x14ac:dyDescent="0.3">
      <c r="A27" s="5">
        <f>A15</f>
        <v>1</v>
      </c>
      <c r="B27" s="2">
        <f>B2-B15</f>
        <v>3.0753439127818583E-3</v>
      </c>
      <c r="C27" s="3">
        <f t="shared" ref="C27:D27" si="16">C2-C15</f>
        <v>8.4059460845151701E-2</v>
      </c>
      <c r="D27" s="4">
        <f t="shared" si="16"/>
        <v>-1.4768435169303151E-2</v>
      </c>
      <c r="F27" s="7">
        <v>1</v>
      </c>
      <c r="G27" s="7">
        <f t="shared" ref="G27:H27" si="17">G18</f>
        <v>-0.54800841489370655</v>
      </c>
      <c r="H27" s="9">
        <f t="shared" si="17"/>
        <v>-0.16193086714622057</v>
      </c>
      <c r="J27" s="7">
        <v>1</v>
      </c>
      <c r="K27" s="7">
        <f t="shared" si="13"/>
        <v>4.0639893851969755E-2</v>
      </c>
      <c r="L27" s="17">
        <f t="shared" si="13"/>
        <v>-8.6838483948442902E-3</v>
      </c>
    </row>
    <row r="28" spans="1:15" x14ac:dyDescent="0.3">
      <c r="A28" s="5">
        <f t="shared" ref="A28:A35" si="18">A16</f>
        <v>1</v>
      </c>
      <c r="B28" s="5">
        <f t="shared" ref="B28:D28" si="19">B3-B16</f>
        <v>-5.1246560872181268E-3</v>
      </c>
      <c r="C28">
        <f t="shared" si="19"/>
        <v>0.12395946084515175</v>
      </c>
      <c r="D28" s="6">
        <f t="shared" si="19"/>
        <v>-1.5468435169303185E-2</v>
      </c>
    </row>
    <row r="29" spans="1:15" x14ac:dyDescent="0.3">
      <c r="A29" s="5">
        <f t="shared" si="18"/>
        <v>1</v>
      </c>
      <c r="B29" s="5">
        <f t="shared" ref="B29:D29" si="20">B4-B17</f>
        <v>8.2753439127818407E-3</v>
      </c>
      <c r="C29">
        <f t="shared" si="20"/>
        <v>9.0459460845151662E-2</v>
      </c>
      <c r="D29" s="6">
        <f t="shared" si="20"/>
        <v>2.2231564830696882E-2</v>
      </c>
      <c r="F29" t="s">
        <v>107</v>
      </c>
    </row>
    <row r="30" spans="1:15" x14ac:dyDescent="0.3">
      <c r="A30" s="5">
        <f t="shared" si="18"/>
        <v>6</v>
      </c>
      <c r="B30" s="5">
        <f t="shared" ref="B30:D30" si="21">B5-B18</f>
        <v>-6.277583567171674E-3</v>
      </c>
      <c r="C30">
        <f t="shared" si="21"/>
        <v>0.20844001289852088</v>
      </c>
      <c r="D30" s="6">
        <f t="shared" si="21"/>
        <v>-7.5635747862743408E-3</v>
      </c>
      <c r="F30" s="2" t="s">
        <v>53</v>
      </c>
      <c r="G30" s="3">
        <v>-1</v>
      </c>
      <c r="H30" s="4">
        <v>1</v>
      </c>
      <c r="J30" s="2" t="s">
        <v>21</v>
      </c>
      <c r="K30" s="4">
        <v>2</v>
      </c>
      <c r="L30" t="s">
        <v>90</v>
      </c>
      <c r="N30" s="2" t="s">
        <v>46</v>
      </c>
      <c r="O30" s="4">
        <f>K40/(K31)</f>
        <v>3.1398317723453715E-4</v>
      </c>
    </row>
    <row r="31" spans="1:15" x14ac:dyDescent="0.3">
      <c r="A31" s="5">
        <f t="shared" si="18"/>
        <v>6</v>
      </c>
      <c r="B31" s="5">
        <f t="shared" ref="B31:D31" si="22">B6-B19</f>
        <v>1.6422416432828379E-2</v>
      </c>
      <c r="C31">
        <f t="shared" si="22"/>
        <v>0.16364001289852093</v>
      </c>
      <c r="D31" s="6">
        <f t="shared" si="22"/>
        <v>7.9364252137257285E-3</v>
      </c>
      <c r="F31" s="5">
        <v>-1</v>
      </c>
      <c r="G31" s="2">
        <f>AVERAGE(G22:G24)</f>
        <v>-1.3229715628460055</v>
      </c>
      <c r="H31" s="4">
        <f>AVERAGE(H22:H24)</f>
        <v>-0.91799271531805893</v>
      </c>
      <c r="J31" s="5" t="s">
        <v>22</v>
      </c>
      <c r="K31" s="6">
        <f>POWER(2,K30)</f>
        <v>4</v>
      </c>
      <c r="L31" t="s">
        <v>91</v>
      </c>
      <c r="N31" s="5" t="s">
        <v>45</v>
      </c>
      <c r="O31" s="6">
        <f>SQRT(O30)</f>
        <v>1.7719570458522328E-2</v>
      </c>
    </row>
    <row r="32" spans="1:15" x14ac:dyDescent="0.3">
      <c r="A32" s="5">
        <f t="shared" si="18"/>
        <v>6</v>
      </c>
      <c r="B32" s="5">
        <f t="shared" ref="B32:D32" si="23">B7-B20</f>
        <v>1.6522416432828368E-2</v>
      </c>
      <c r="C32">
        <f t="shared" si="23"/>
        <v>0.17854001289852084</v>
      </c>
      <c r="D32" s="6">
        <f t="shared" si="23"/>
        <v>-2.8763574786274448E-2</v>
      </c>
      <c r="F32" s="7">
        <v>1</v>
      </c>
      <c r="G32" s="7">
        <f>AVERAGE(G25:G27)</f>
        <v>-0.58864830874567631</v>
      </c>
      <c r="H32" s="9">
        <f>AVERAGE(H25:H27)</f>
        <v>-0.15324701875137628</v>
      </c>
      <c r="J32" s="5" t="s">
        <v>19</v>
      </c>
      <c r="K32" s="6">
        <v>3</v>
      </c>
      <c r="L32" t="s">
        <v>92</v>
      </c>
      <c r="N32" s="5" t="s">
        <v>47</v>
      </c>
      <c r="O32" s="6">
        <f>_xlfn.T.INV.2T(K37,K32*K31)</f>
        <v>2.1788128296672284</v>
      </c>
    </row>
    <row r="33" spans="1:15" x14ac:dyDescent="0.3">
      <c r="A33" s="5">
        <f t="shared" si="18"/>
        <v>11</v>
      </c>
      <c r="B33" s="5">
        <f t="shared" ref="B33:D33" si="24">B8-B21</f>
        <v>-8.9148658465248998E-3</v>
      </c>
      <c r="C33">
        <f t="shared" si="24"/>
        <v>0.22287863991300849</v>
      </c>
      <c r="D33" s="6">
        <f t="shared" si="24"/>
        <v>1.9482464197604354E-2</v>
      </c>
      <c r="F33" s="3"/>
      <c r="J33" s="5"/>
      <c r="K33" s="6">
        <v>3</v>
      </c>
      <c r="L33" t="s">
        <v>93</v>
      </c>
      <c r="N33" s="5" t="s">
        <v>49</v>
      </c>
      <c r="O33" s="6">
        <f>ABS(H35)/$O$31</f>
        <v>42.084253857103143</v>
      </c>
    </row>
    <row r="34" spans="1:15" x14ac:dyDescent="0.3">
      <c r="A34" s="5">
        <f t="shared" si="18"/>
        <v>11</v>
      </c>
      <c r="B34" s="5">
        <f t="shared" ref="B34:D34" si="25">B9-B22</f>
        <v>-2.1814865846524922E-2</v>
      </c>
      <c r="C34">
        <f t="shared" si="25"/>
        <v>0.20907863991300868</v>
      </c>
      <c r="D34" s="6">
        <f t="shared" si="25"/>
        <v>1.0824641976043825E-3</v>
      </c>
      <c r="F34" s="2" t="s">
        <v>108</v>
      </c>
      <c r="G34" s="3"/>
      <c r="H34" s="4"/>
      <c r="J34" s="5" t="s">
        <v>48</v>
      </c>
      <c r="K34" s="6">
        <f>K31-K33</f>
        <v>1</v>
      </c>
      <c r="N34" s="5" t="s">
        <v>50</v>
      </c>
      <c r="O34" s="6">
        <f>ABS(H36)/$O$31</f>
        <v>11.856666326779679</v>
      </c>
    </row>
    <row r="35" spans="1:15" x14ac:dyDescent="0.3">
      <c r="A35" s="7">
        <f t="shared" si="18"/>
        <v>11</v>
      </c>
      <c r="B35" s="7">
        <f t="shared" ref="B35:D35" si="26">B10-B23</f>
        <v>1.8785134153475047E-2</v>
      </c>
      <c r="C35" s="8">
        <f t="shared" si="26"/>
        <v>0.19477863991300848</v>
      </c>
      <c r="D35" s="9">
        <f t="shared" si="26"/>
        <v>-9.1753580239561927E-4</v>
      </c>
      <c r="F35" s="5"/>
      <c r="G35" s="2" t="s">
        <v>5</v>
      </c>
      <c r="H35" s="4">
        <f>M6/COUNT(M2:M5)</f>
        <v>-0.74571490141527919</v>
      </c>
      <c r="J35" s="5" t="s">
        <v>23</v>
      </c>
      <c r="K35" s="6">
        <f>K31-(K30+1)</f>
        <v>1</v>
      </c>
      <c r="N35" s="7" t="s">
        <v>51</v>
      </c>
      <c r="O35" s="9">
        <f>ABS(H37)/$O$31</f>
        <v>21.149905328913121</v>
      </c>
    </row>
    <row r="36" spans="1:15" x14ac:dyDescent="0.3">
      <c r="F36" s="5"/>
      <c r="G36" s="5" t="s">
        <v>9</v>
      </c>
      <c r="H36" s="6">
        <f>N6/COUNT(N2:N5)</f>
        <v>0.21009503438056165</v>
      </c>
      <c r="J36" s="5" t="s">
        <v>24</v>
      </c>
      <c r="K36" s="6">
        <f>K31*(K32-1)</f>
        <v>8</v>
      </c>
    </row>
    <row r="37" spans="1:15" x14ac:dyDescent="0.3">
      <c r="F37" s="7"/>
      <c r="G37" s="7" t="s">
        <v>10</v>
      </c>
      <c r="H37" s="9">
        <f>O6/COUNT(O2:O5)</f>
        <v>0.37476723766675291</v>
      </c>
      <c r="J37" s="5" t="s">
        <v>25</v>
      </c>
      <c r="K37" s="6">
        <v>0.05</v>
      </c>
      <c r="N37" s="30" t="s">
        <v>58</v>
      </c>
      <c r="O37" s="31" t="str">
        <f>IF(O33&gt;$O$32,"значим","незначим")</f>
        <v>значим</v>
      </c>
    </row>
    <row r="38" spans="1:15" x14ac:dyDescent="0.3">
      <c r="J38" s="5" t="s">
        <v>26</v>
      </c>
      <c r="K38" s="6">
        <f>_xlfn.F.INV.RT(K37,K36,K35)</f>
        <v>238.88269480252418</v>
      </c>
      <c r="N38" s="11" t="s">
        <v>59</v>
      </c>
      <c r="O38" s="12" t="str">
        <f>IF(O34&gt;$O$32,"значим","незначим")</f>
        <v>значим</v>
      </c>
    </row>
    <row r="39" spans="1:15" x14ac:dyDescent="0.3">
      <c r="F39" s="2" t="s">
        <v>113</v>
      </c>
      <c r="G39" s="3"/>
      <c r="H39" s="4"/>
      <c r="J39" s="5" t="s">
        <v>43</v>
      </c>
      <c r="K39" s="6">
        <f>SUMSQ(Q2:Q5)/K34</f>
        <v>2.3138125140464687E-4</v>
      </c>
      <c r="N39" s="13" t="s">
        <v>60</v>
      </c>
      <c r="O39" s="14" t="str">
        <f>IF(O35&gt;$O$32,"значим","незначим")</f>
        <v>значим</v>
      </c>
    </row>
    <row r="40" spans="1:15" x14ac:dyDescent="0.3">
      <c r="F40" s="5"/>
      <c r="G40" s="2" t="s">
        <v>13</v>
      </c>
      <c r="H40" s="4">
        <f>H35-H41*(H12+G12)/2-H42*(F16+F13)/2</f>
        <v>-0.58541846623696947</v>
      </c>
      <c r="J40" s="5" t="s">
        <v>44</v>
      </c>
      <c r="K40" s="6">
        <f>SUMSQ(K22:L27)/((K32-1)*K31)</f>
        <v>1.2559327089381486E-3</v>
      </c>
    </row>
    <row r="41" spans="1:15" x14ac:dyDescent="0.3">
      <c r="F41" s="5"/>
      <c r="G41" s="5" t="s">
        <v>14</v>
      </c>
      <c r="H41" s="6">
        <f>2*H36/(H12-G12)</f>
        <v>0.13495680188824533</v>
      </c>
      <c r="J41" s="7" t="s">
        <v>28</v>
      </c>
      <c r="K41" s="9">
        <f>K39/K40</f>
        <v>0.18423061184565565</v>
      </c>
    </row>
    <row r="42" spans="1:15" x14ac:dyDescent="0.3">
      <c r="F42" s="7"/>
      <c r="G42" s="7" t="s">
        <v>15</v>
      </c>
      <c r="H42" s="9">
        <f>2*H37/(F16-F13)</f>
        <v>0.31258015470324968</v>
      </c>
      <c r="J42" s="33" t="s">
        <v>57</v>
      </c>
      <c r="K42" s="34" t="str">
        <f>IF(K41&lt;K38,"адеватна","не адеватна")</f>
        <v>адеватна</v>
      </c>
    </row>
    <row r="43" spans="1:15" x14ac:dyDescent="0.3">
      <c r="K43" s="6"/>
    </row>
    <row r="44" spans="1:15" x14ac:dyDescent="0.3">
      <c r="G44" s="2" t="s">
        <v>16</v>
      </c>
      <c r="H44" s="4">
        <f>EXP(H40)</f>
        <v>0.55687278059029999</v>
      </c>
      <c r="K44" s="6"/>
    </row>
    <row r="45" spans="1:15" x14ac:dyDescent="0.3">
      <c r="G45" s="5" t="s">
        <v>18</v>
      </c>
      <c r="H45" s="6">
        <f>H41</f>
        <v>0.13495680188824533</v>
      </c>
    </row>
    <row r="46" spans="1:15" x14ac:dyDescent="0.3">
      <c r="G46" s="7" t="s">
        <v>19</v>
      </c>
      <c r="H46" s="9">
        <f>H42</f>
        <v>0.31258015470324968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85AD-EBCA-4342-880F-9FDF9F015F8E}">
  <dimension ref="A1:AK40"/>
  <sheetViews>
    <sheetView topLeftCell="A13" zoomScale="115" zoomScaleNormal="115" workbookViewId="0">
      <selection activeCell="C27" sqref="C27"/>
    </sheetView>
  </sheetViews>
  <sheetFormatPr defaultRowHeight="14.4" x14ac:dyDescent="0.3"/>
  <cols>
    <col min="4" max="4" width="9.21875" customWidth="1"/>
    <col min="7" max="9" width="11.77734375" customWidth="1"/>
    <col min="11" max="11" width="12.109375" customWidth="1"/>
    <col min="19" max="19" width="8.109375" customWidth="1"/>
    <col min="23" max="23" width="9.5546875" customWidth="1"/>
    <col min="24" max="24" width="8.33203125" customWidth="1"/>
    <col min="25" max="25" width="14.44140625" customWidth="1"/>
    <col min="28" max="28" width="11.6640625" customWidth="1"/>
    <col min="29" max="29" width="13.109375" customWidth="1"/>
    <col min="30" max="30" width="12.77734375" customWidth="1"/>
    <col min="31" max="31" width="12.44140625" bestFit="1" customWidth="1"/>
    <col min="32" max="32" width="16.109375" customWidth="1"/>
    <col min="33" max="33" width="15.44140625" customWidth="1"/>
    <col min="34" max="35" width="16.6640625" customWidth="1"/>
    <col min="36" max="36" width="17" customWidth="1"/>
  </cols>
  <sheetData>
    <row r="1" spans="1:37" x14ac:dyDescent="0.3">
      <c r="A1" s="2"/>
      <c r="B1" s="3">
        <v>4.0000000000000001E-3</v>
      </c>
      <c r="C1" s="3">
        <v>4.7000000000000002E-3</v>
      </c>
      <c r="D1" s="4">
        <v>0.09</v>
      </c>
      <c r="G1" s="2" t="s">
        <v>21</v>
      </c>
      <c r="H1" s="4">
        <v>2</v>
      </c>
      <c r="I1" t="s">
        <v>90</v>
      </c>
      <c r="K1" s="2" t="s">
        <v>36</v>
      </c>
      <c r="L1" s="3" t="s">
        <v>1</v>
      </c>
      <c r="M1" s="3" t="s">
        <v>2</v>
      </c>
      <c r="N1" s="3" t="s">
        <v>63</v>
      </c>
      <c r="O1" s="3" t="s">
        <v>65</v>
      </c>
      <c r="P1" s="3" t="s">
        <v>66</v>
      </c>
      <c r="Q1" s="3" t="s">
        <v>69</v>
      </c>
      <c r="R1" s="3" t="s">
        <v>70</v>
      </c>
      <c r="S1" s="3" t="s">
        <v>6</v>
      </c>
      <c r="T1" s="3" t="s">
        <v>7</v>
      </c>
      <c r="U1" s="3" t="s">
        <v>8</v>
      </c>
      <c r="V1" s="3" t="s">
        <v>83</v>
      </c>
      <c r="W1" s="3" t="s">
        <v>86</v>
      </c>
      <c r="X1" s="3" t="s">
        <v>87</v>
      </c>
      <c r="Y1" s="3" t="s">
        <v>89</v>
      </c>
      <c r="Z1" s="26" t="s">
        <v>38</v>
      </c>
      <c r="AA1" s="4" t="s">
        <v>39</v>
      </c>
      <c r="AB1" t="s">
        <v>71</v>
      </c>
      <c r="AC1" t="s">
        <v>72</v>
      </c>
      <c r="AD1" t="s">
        <v>73</v>
      </c>
      <c r="AE1" t="s">
        <v>75</v>
      </c>
      <c r="AF1" t="s">
        <v>74</v>
      </c>
      <c r="AG1" t="s">
        <v>78</v>
      </c>
      <c r="AH1" t="s">
        <v>77</v>
      </c>
      <c r="AI1" t="s">
        <v>79</v>
      </c>
      <c r="AJ1" t="s">
        <v>80</v>
      </c>
      <c r="AK1" t="s">
        <v>76</v>
      </c>
    </row>
    <row r="2" spans="1:37" x14ac:dyDescent="0.3">
      <c r="A2" s="5">
        <v>1</v>
      </c>
      <c r="B2">
        <v>0.69740000000000002</v>
      </c>
      <c r="C2">
        <v>0.78420000000000001</v>
      </c>
      <c r="D2" s="6">
        <v>0.81759999999999999</v>
      </c>
      <c r="G2" s="5" t="s">
        <v>81</v>
      </c>
      <c r="H2" s="6">
        <f>POWER(2,H1)</f>
        <v>4</v>
      </c>
      <c r="I2" t="s">
        <v>91</v>
      </c>
      <c r="K2" s="15" t="s">
        <v>33</v>
      </c>
      <c r="L2" s="3">
        <v>-1</v>
      </c>
      <c r="M2" s="3">
        <v>-1</v>
      </c>
      <c r="N2" s="3">
        <f t="shared" ref="N2:N10" si="0">L2*M2</f>
        <v>1</v>
      </c>
      <c r="O2" s="3">
        <f t="shared" ref="O2:O10" si="1">L2*L2</f>
        <v>1</v>
      </c>
      <c r="P2" s="3">
        <f t="shared" ref="P2:P10" si="2">M2*M2</f>
        <v>1</v>
      </c>
      <c r="Q2" s="3">
        <f t="shared" ref="Q2:Q10" si="3">O2-$H$7</f>
        <v>0.33333333333333337</v>
      </c>
      <c r="R2" s="3">
        <f t="shared" ref="R2:R10" si="4">P2-$H$7</f>
        <v>0.33333333333333337</v>
      </c>
      <c r="S2" s="3">
        <f>B26</f>
        <v>0.69640000000000002</v>
      </c>
      <c r="T2" s="3">
        <f t="shared" ref="T2:T10" si="5">L2*$S2</f>
        <v>-0.69640000000000002</v>
      </c>
      <c r="U2" s="3">
        <f t="shared" ref="U2:U10" si="6">M2*$S2</f>
        <v>-0.69640000000000002</v>
      </c>
      <c r="V2" s="3">
        <f>N2*$S2</f>
        <v>0.69640000000000002</v>
      </c>
      <c r="W2" s="3">
        <f t="shared" ref="W2:W10" si="7">Q2*$S2</f>
        <v>0.23213333333333336</v>
      </c>
      <c r="X2" s="3">
        <f t="shared" ref="X2:X10" si="8">R2*$S2</f>
        <v>0.23213333333333336</v>
      </c>
      <c r="Y2" s="3">
        <f t="shared" ref="Y2:Y10" si="9">$H$15+L2*$H$17+M2*$H$18+$H$19*N2+$H$20*Q2+$H$21*R2</f>
        <v>0.68729629629629652</v>
      </c>
      <c r="Z2" s="26">
        <f>$H$16+L2*$H$17+M2*$H$18+$H$19*N2+$H$20*O2+$H$21*P2</f>
        <v>0.68729629629629641</v>
      </c>
      <c r="AA2" s="4">
        <f t="shared" ref="AA2:AA10" si="10">S2-Y2</f>
        <v>9.1037037037035029E-3</v>
      </c>
      <c r="AB2" t="s">
        <v>88</v>
      </c>
      <c r="AC2">
        <f t="shared" ref="AC2:AC10" si="11">L2*Q2</f>
        <v>-0.33333333333333337</v>
      </c>
      <c r="AD2">
        <f t="shared" ref="AD2:AD10" si="12">M2*R2</f>
        <v>-0.33333333333333337</v>
      </c>
      <c r="AE2">
        <f t="shared" ref="AE2:AE10" si="13">L2*R2</f>
        <v>-0.33333333333333337</v>
      </c>
      <c r="AF2">
        <f t="shared" ref="AF2:AF10" si="14">M2*Q2</f>
        <v>-0.33333333333333337</v>
      </c>
      <c r="AG2">
        <f t="shared" ref="AG2:AG10" si="15">N2*Q2</f>
        <v>0.33333333333333337</v>
      </c>
      <c r="AH2">
        <f t="shared" ref="AH2:AH10" si="16">N2*R2</f>
        <v>0.33333333333333337</v>
      </c>
      <c r="AI2">
        <f t="shared" ref="AI2:AI10" si="17">Q2*Q2</f>
        <v>0.11111111111111113</v>
      </c>
      <c r="AJ2">
        <f t="shared" ref="AJ2:AJ10" si="18">R2*R2</f>
        <v>0.11111111111111113</v>
      </c>
      <c r="AK2">
        <f t="shared" ref="AK2:AK10" si="19">Q2*R2</f>
        <v>0.11111111111111113</v>
      </c>
    </row>
    <row r="3" spans="1:37" x14ac:dyDescent="0.3">
      <c r="A3" s="5">
        <v>1</v>
      </c>
      <c r="B3">
        <v>0.68920000000000003</v>
      </c>
      <c r="C3">
        <v>0.82410000000000005</v>
      </c>
      <c r="D3" s="6">
        <v>0.81689999999999996</v>
      </c>
      <c r="G3" s="5" t="s">
        <v>19</v>
      </c>
      <c r="H3" s="6">
        <v>3</v>
      </c>
      <c r="I3" t="s">
        <v>92</v>
      </c>
      <c r="K3" s="16"/>
      <c r="L3">
        <v>1</v>
      </c>
      <c r="M3">
        <v>-1</v>
      </c>
      <c r="N3">
        <f>L3*M3</f>
        <v>-1</v>
      </c>
      <c r="O3">
        <f t="shared" si="1"/>
        <v>1</v>
      </c>
      <c r="P3">
        <f t="shared" si="2"/>
        <v>1</v>
      </c>
      <c r="Q3">
        <f>O3-$H$7</f>
        <v>0.33333333333333337</v>
      </c>
      <c r="R3">
        <f t="shared" si="4"/>
        <v>0.33333333333333337</v>
      </c>
      <c r="S3">
        <f>D26</f>
        <v>0.82969999999999999</v>
      </c>
      <c r="T3">
        <f t="shared" si="5"/>
        <v>0.82969999999999999</v>
      </c>
      <c r="U3">
        <f t="shared" si="6"/>
        <v>-0.82969999999999999</v>
      </c>
      <c r="V3">
        <f t="shared" ref="V2:V10" si="20">N3*$S3</f>
        <v>-0.82969999999999999</v>
      </c>
      <c r="W3">
        <f t="shared" si="7"/>
        <v>0.27656666666666668</v>
      </c>
      <c r="X3">
        <f t="shared" si="8"/>
        <v>0.27656666666666668</v>
      </c>
      <c r="Y3">
        <f t="shared" si="9"/>
        <v>0.82238518518518544</v>
      </c>
      <c r="Z3" s="27">
        <f t="shared" ref="Z2:Z10" si="21">$H$16+L3*$H$17+M3*$H$18+$H$19*N3+$H$20*O3+$H$21*P3</f>
        <v>0.82238518518518522</v>
      </c>
      <c r="AA3" s="6">
        <f t="shared" si="10"/>
        <v>7.314814814814552E-3</v>
      </c>
      <c r="AC3">
        <f t="shared" si="11"/>
        <v>0.33333333333333337</v>
      </c>
      <c r="AD3">
        <f t="shared" si="12"/>
        <v>-0.33333333333333337</v>
      </c>
      <c r="AE3">
        <f t="shared" si="13"/>
        <v>0.33333333333333337</v>
      </c>
      <c r="AF3">
        <f t="shared" si="14"/>
        <v>-0.33333333333333337</v>
      </c>
      <c r="AG3">
        <f t="shared" si="15"/>
        <v>-0.33333333333333337</v>
      </c>
      <c r="AH3">
        <f t="shared" si="16"/>
        <v>-0.33333333333333337</v>
      </c>
      <c r="AI3">
        <f t="shared" si="17"/>
        <v>0.11111111111111113</v>
      </c>
      <c r="AJ3">
        <f t="shared" si="18"/>
        <v>0.11111111111111113</v>
      </c>
      <c r="AK3">
        <f t="shared" si="19"/>
        <v>0.11111111111111113</v>
      </c>
    </row>
    <row r="4" spans="1:37" ht="15" thickBot="1" x14ac:dyDescent="0.35">
      <c r="A4" s="10">
        <v>1</v>
      </c>
      <c r="B4">
        <v>0.7026</v>
      </c>
      <c r="C4">
        <v>0.79059999999999997</v>
      </c>
      <c r="D4" s="6">
        <v>0.85460000000000003</v>
      </c>
      <c r="G4" s="5"/>
      <c r="H4" s="6">
        <v>6</v>
      </c>
      <c r="I4" t="s">
        <v>93</v>
      </c>
      <c r="K4" s="16"/>
      <c r="L4">
        <v>-1</v>
      </c>
      <c r="M4">
        <v>1</v>
      </c>
      <c r="N4">
        <f t="shared" si="0"/>
        <v>-1</v>
      </c>
      <c r="O4">
        <f t="shared" si="1"/>
        <v>1</v>
      </c>
      <c r="P4">
        <f t="shared" si="2"/>
        <v>1</v>
      </c>
      <c r="Q4">
        <f t="shared" si="3"/>
        <v>0.33333333333333337</v>
      </c>
      <c r="R4">
        <f t="shared" si="4"/>
        <v>0.33333333333333337</v>
      </c>
      <c r="S4">
        <f>B28</f>
        <v>0.98533333333333351</v>
      </c>
      <c r="T4">
        <f t="shared" si="5"/>
        <v>-0.98533333333333351</v>
      </c>
      <c r="U4">
        <f t="shared" si="6"/>
        <v>0.98533333333333351</v>
      </c>
      <c r="V4">
        <f t="shared" si="20"/>
        <v>-0.98533333333333351</v>
      </c>
      <c r="W4">
        <f t="shared" si="7"/>
        <v>0.32844444444444454</v>
      </c>
      <c r="X4">
        <f t="shared" si="8"/>
        <v>0.32844444444444454</v>
      </c>
      <c r="Y4">
        <f t="shared" si="9"/>
        <v>0.98866296296296319</v>
      </c>
      <c r="Z4" s="27">
        <f t="shared" si="21"/>
        <v>0.98866296296296308</v>
      </c>
      <c r="AA4" s="6">
        <f t="shared" si="10"/>
        <v>-3.3296296296296823E-3</v>
      </c>
      <c r="AC4">
        <f t="shared" si="11"/>
        <v>-0.33333333333333337</v>
      </c>
      <c r="AD4">
        <f t="shared" si="12"/>
        <v>0.33333333333333337</v>
      </c>
      <c r="AE4">
        <f t="shared" si="13"/>
        <v>-0.33333333333333337</v>
      </c>
      <c r="AF4">
        <f t="shared" si="14"/>
        <v>0.33333333333333337</v>
      </c>
      <c r="AG4">
        <f t="shared" si="15"/>
        <v>-0.33333333333333337</v>
      </c>
      <c r="AH4">
        <f t="shared" si="16"/>
        <v>-0.33333333333333337</v>
      </c>
      <c r="AI4">
        <f t="shared" si="17"/>
        <v>0.11111111111111113</v>
      </c>
      <c r="AJ4">
        <f t="shared" si="18"/>
        <v>0.11111111111111113</v>
      </c>
      <c r="AK4">
        <f t="shared" si="19"/>
        <v>0.11111111111111113</v>
      </c>
    </row>
    <row r="5" spans="1:37" x14ac:dyDescent="0.3">
      <c r="A5" s="5">
        <v>6</v>
      </c>
      <c r="B5">
        <v>0.88649999999999995</v>
      </c>
      <c r="C5">
        <v>1.1113999999999999</v>
      </c>
      <c r="D5" s="6">
        <v>1.1269</v>
      </c>
      <c r="G5" s="5" t="s">
        <v>82</v>
      </c>
      <c r="H5" s="6">
        <f>H2+2*H6*H6</f>
        <v>6</v>
      </c>
      <c r="K5" s="16"/>
      <c r="L5">
        <v>1</v>
      </c>
      <c r="M5">
        <v>1</v>
      </c>
      <c r="N5">
        <f t="shared" si="0"/>
        <v>1</v>
      </c>
      <c r="O5">
        <f t="shared" si="1"/>
        <v>1</v>
      </c>
      <c r="P5">
        <f t="shared" si="2"/>
        <v>1</v>
      </c>
      <c r="Q5">
        <f t="shared" si="3"/>
        <v>0.33333333333333337</v>
      </c>
      <c r="R5">
        <f t="shared" si="4"/>
        <v>0.33333333333333337</v>
      </c>
      <c r="S5">
        <f>D28</f>
        <v>1.2879666666666667</v>
      </c>
      <c r="T5">
        <f t="shared" si="5"/>
        <v>1.2879666666666667</v>
      </c>
      <c r="U5">
        <f t="shared" si="6"/>
        <v>1.2879666666666667</v>
      </c>
      <c r="V5">
        <f t="shared" si="20"/>
        <v>1.2879666666666667</v>
      </c>
      <c r="W5">
        <f t="shared" si="7"/>
        <v>0.42932222222222227</v>
      </c>
      <c r="X5">
        <f t="shared" si="8"/>
        <v>0.42932222222222227</v>
      </c>
      <c r="Y5">
        <f t="shared" si="9"/>
        <v>1.2930851851851852</v>
      </c>
      <c r="Z5" s="27">
        <f t="shared" si="21"/>
        <v>1.2930851851851852</v>
      </c>
      <c r="AA5" s="6">
        <f t="shared" si="10"/>
        <v>-5.1185185185185222E-3</v>
      </c>
      <c r="AC5">
        <f t="shared" si="11"/>
        <v>0.33333333333333337</v>
      </c>
      <c r="AD5">
        <f t="shared" si="12"/>
        <v>0.33333333333333337</v>
      </c>
      <c r="AE5">
        <f t="shared" si="13"/>
        <v>0.33333333333333337</v>
      </c>
      <c r="AF5">
        <f t="shared" si="14"/>
        <v>0.33333333333333337</v>
      </c>
      <c r="AG5">
        <f t="shared" si="15"/>
        <v>0.33333333333333337</v>
      </c>
      <c r="AH5">
        <f t="shared" si="16"/>
        <v>0.33333333333333337</v>
      </c>
      <c r="AI5">
        <f t="shared" si="17"/>
        <v>0.11111111111111113</v>
      </c>
      <c r="AJ5">
        <f t="shared" si="18"/>
        <v>0.11111111111111113</v>
      </c>
      <c r="AK5">
        <f t="shared" si="19"/>
        <v>0.11111111111111113</v>
      </c>
    </row>
    <row r="6" spans="1:37" x14ac:dyDescent="0.3">
      <c r="A6" s="5">
        <v>6</v>
      </c>
      <c r="B6">
        <v>0.90920000000000001</v>
      </c>
      <c r="C6">
        <v>1.0666</v>
      </c>
      <c r="D6" s="6">
        <v>1.1424000000000001</v>
      </c>
      <c r="G6" s="5" t="s">
        <v>67</v>
      </c>
      <c r="H6" s="6">
        <v>1</v>
      </c>
      <c r="K6" s="15" t="s">
        <v>61</v>
      </c>
      <c r="L6" s="3">
        <f>-$H$6</f>
        <v>-1</v>
      </c>
      <c r="M6" s="3">
        <v>0</v>
      </c>
      <c r="N6" s="3">
        <f t="shared" si="0"/>
        <v>0</v>
      </c>
      <c r="O6" s="3">
        <f t="shared" si="1"/>
        <v>1</v>
      </c>
      <c r="P6" s="3">
        <f t="shared" si="2"/>
        <v>0</v>
      </c>
      <c r="Q6" s="3">
        <f t="shared" si="3"/>
        <v>0.33333333333333337</v>
      </c>
      <c r="R6" s="3">
        <f t="shared" si="4"/>
        <v>-0.66666666666666663</v>
      </c>
      <c r="S6" s="3">
        <f>B27</f>
        <v>0.90166666666666673</v>
      </c>
      <c r="T6" s="3">
        <f t="shared" si="5"/>
        <v>-0.90166666666666673</v>
      </c>
      <c r="U6" s="3">
        <f t="shared" si="6"/>
        <v>0</v>
      </c>
      <c r="V6" s="3">
        <f t="shared" si="20"/>
        <v>0</v>
      </c>
      <c r="W6" s="3">
        <f t="shared" si="7"/>
        <v>0.30055555555555563</v>
      </c>
      <c r="X6" s="3">
        <f t="shared" si="8"/>
        <v>-0.60111111111111115</v>
      </c>
      <c r="Y6" s="3">
        <f t="shared" si="9"/>
        <v>0.90744074074074088</v>
      </c>
      <c r="Z6" s="26">
        <f t="shared" si="21"/>
        <v>0.90744074074074077</v>
      </c>
      <c r="AA6" s="4">
        <f t="shared" si="10"/>
        <v>-5.7740740740741536E-3</v>
      </c>
      <c r="AC6">
        <f t="shared" si="11"/>
        <v>-0.33333333333333337</v>
      </c>
      <c r="AD6">
        <f t="shared" si="12"/>
        <v>0</v>
      </c>
      <c r="AE6">
        <f t="shared" si="13"/>
        <v>0.66666666666666663</v>
      </c>
      <c r="AF6">
        <f t="shared" si="14"/>
        <v>0</v>
      </c>
      <c r="AG6">
        <f t="shared" si="15"/>
        <v>0</v>
      </c>
      <c r="AH6">
        <f t="shared" si="16"/>
        <v>0</v>
      </c>
      <c r="AI6">
        <f t="shared" si="17"/>
        <v>0.11111111111111113</v>
      </c>
      <c r="AJ6">
        <f t="shared" si="18"/>
        <v>0.44444444444444442</v>
      </c>
      <c r="AK6">
        <f t="shared" si="19"/>
        <v>-0.22222222222222224</v>
      </c>
    </row>
    <row r="7" spans="1:37" ht="15" thickBot="1" x14ac:dyDescent="0.35">
      <c r="A7" s="10">
        <v>6</v>
      </c>
      <c r="B7">
        <v>0.9093</v>
      </c>
      <c r="C7">
        <v>1.0814999999999999</v>
      </c>
      <c r="D7" s="6">
        <v>1.1056999999999999</v>
      </c>
      <c r="G7" s="5" t="s">
        <v>68</v>
      </c>
      <c r="H7" s="6">
        <f>2/3</f>
        <v>0.66666666666666663</v>
      </c>
      <c r="K7" s="16"/>
      <c r="L7">
        <f>$H$6</f>
        <v>1</v>
      </c>
      <c r="M7">
        <v>0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0.33333333333333337</v>
      </c>
      <c r="R7">
        <f t="shared" si="4"/>
        <v>-0.66666666666666663</v>
      </c>
      <c r="S7">
        <f>D27</f>
        <v>1.125</v>
      </c>
      <c r="T7">
        <f t="shared" si="5"/>
        <v>1.125</v>
      </c>
      <c r="U7">
        <f t="shared" si="6"/>
        <v>0</v>
      </c>
      <c r="V7">
        <f t="shared" si="20"/>
        <v>0</v>
      </c>
      <c r="W7">
        <f t="shared" si="7"/>
        <v>0.37500000000000006</v>
      </c>
      <c r="X7">
        <f t="shared" si="8"/>
        <v>-0.75</v>
      </c>
      <c r="Y7">
        <f t="shared" si="9"/>
        <v>1.1271962962962963</v>
      </c>
      <c r="Z7" s="27">
        <f t="shared" si="21"/>
        <v>1.1271962962962963</v>
      </c>
      <c r="AA7" s="6">
        <f t="shared" si="10"/>
        <v>-2.1962962962962518E-3</v>
      </c>
      <c r="AC7">
        <f t="shared" si="11"/>
        <v>0.33333333333333337</v>
      </c>
      <c r="AD7">
        <f t="shared" si="12"/>
        <v>0</v>
      </c>
      <c r="AE7">
        <f t="shared" si="13"/>
        <v>-0.66666666666666663</v>
      </c>
      <c r="AF7">
        <f t="shared" si="14"/>
        <v>0</v>
      </c>
      <c r="AG7">
        <f t="shared" si="15"/>
        <v>0</v>
      </c>
      <c r="AH7">
        <f t="shared" si="16"/>
        <v>0</v>
      </c>
      <c r="AI7">
        <f t="shared" si="17"/>
        <v>0.11111111111111113</v>
      </c>
      <c r="AJ7">
        <f t="shared" si="18"/>
        <v>0.44444444444444442</v>
      </c>
      <c r="AK7">
        <f t="shared" si="19"/>
        <v>-0.22222222222222224</v>
      </c>
    </row>
    <row r="8" spans="1:37" x14ac:dyDescent="0.3">
      <c r="A8" s="5">
        <v>11</v>
      </c>
      <c r="B8">
        <v>0.98040000000000005</v>
      </c>
      <c r="C8">
        <v>1.2244999999999999</v>
      </c>
      <c r="D8" s="6">
        <v>1.3008999999999999</v>
      </c>
      <c r="G8" s="5" t="s">
        <v>22</v>
      </c>
      <c r="H8" s="6">
        <f>H2+2*H1+1</f>
        <v>9</v>
      </c>
      <c r="K8" s="16"/>
      <c r="L8">
        <v>0</v>
      </c>
      <c r="M8">
        <f>-$H$6</f>
        <v>-1</v>
      </c>
      <c r="N8">
        <f t="shared" si="0"/>
        <v>0</v>
      </c>
      <c r="O8">
        <f t="shared" si="1"/>
        <v>0</v>
      </c>
      <c r="P8">
        <f t="shared" si="2"/>
        <v>1</v>
      </c>
      <c r="Q8">
        <f t="shared" si="3"/>
        <v>-0.66666666666666663</v>
      </c>
      <c r="R8">
        <f t="shared" si="4"/>
        <v>0.33333333333333337</v>
      </c>
      <c r="S8">
        <f>C26</f>
        <v>0.79963333333333342</v>
      </c>
      <c r="T8">
        <f t="shared" si="5"/>
        <v>0</v>
      </c>
      <c r="U8">
        <f t="shared" si="6"/>
        <v>-0.79963333333333342</v>
      </c>
      <c r="V8">
        <f t="shared" si="20"/>
        <v>0</v>
      </c>
      <c r="W8">
        <f t="shared" si="7"/>
        <v>-0.53308888888888895</v>
      </c>
      <c r="X8">
        <f t="shared" si="8"/>
        <v>0.26654444444444453</v>
      </c>
      <c r="Y8">
        <f t="shared" si="9"/>
        <v>0.81605185185185181</v>
      </c>
      <c r="Z8" s="27">
        <f t="shared" si="21"/>
        <v>0.8160518518518517</v>
      </c>
      <c r="AA8" s="6">
        <f t="shared" si="10"/>
        <v>-1.6418518518518388E-2</v>
      </c>
      <c r="AC8">
        <f t="shared" si="11"/>
        <v>0</v>
      </c>
      <c r="AD8">
        <f t="shared" si="12"/>
        <v>-0.33333333333333337</v>
      </c>
      <c r="AE8">
        <f t="shared" si="13"/>
        <v>0</v>
      </c>
      <c r="AF8">
        <f t="shared" si="14"/>
        <v>0.66666666666666663</v>
      </c>
      <c r="AG8">
        <f t="shared" si="15"/>
        <v>0</v>
      </c>
      <c r="AH8">
        <f t="shared" si="16"/>
        <v>0</v>
      </c>
      <c r="AI8">
        <f t="shared" si="17"/>
        <v>0.44444444444444442</v>
      </c>
      <c r="AJ8">
        <f t="shared" si="18"/>
        <v>0.11111111111111113</v>
      </c>
      <c r="AK8">
        <f t="shared" si="19"/>
        <v>-0.22222222222222224</v>
      </c>
    </row>
    <row r="9" spans="1:37" x14ac:dyDescent="0.3">
      <c r="A9" s="5">
        <v>11</v>
      </c>
      <c r="B9">
        <v>0.96750000000000003</v>
      </c>
      <c r="C9">
        <v>1.2107000000000001</v>
      </c>
      <c r="D9" s="6">
        <v>1.2825</v>
      </c>
      <c r="G9" s="5" t="s">
        <v>48</v>
      </c>
      <c r="H9" s="6">
        <f>H8-H4</f>
        <v>3</v>
      </c>
      <c r="K9" s="17"/>
      <c r="L9" s="8">
        <v>0</v>
      </c>
      <c r="M9" s="8">
        <f>$H$6</f>
        <v>1</v>
      </c>
      <c r="N9" s="8">
        <f t="shared" si="0"/>
        <v>0</v>
      </c>
      <c r="O9" s="8">
        <f t="shared" si="1"/>
        <v>0</v>
      </c>
      <c r="P9" s="8">
        <f t="shared" si="2"/>
        <v>1</v>
      </c>
      <c r="Q9" s="8">
        <f t="shared" si="3"/>
        <v>-0.66666666666666663</v>
      </c>
      <c r="R9" s="8">
        <f t="shared" si="4"/>
        <v>0.33333333333333337</v>
      </c>
      <c r="S9" s="8">
        <f>C28</f>
        <v>1.2105333333333332</v>
      </c>
      <c r="T9" s="8">
        <f t="shared" si="5"/>
        <v>0</v>
      </c>
      <c r="U9" s="8">
        <f t="shared" si="6"/>
        <v>1.2105333333333332</v>
      </c>
      <c r="V9" s="8">
        <f t="shared" si="20"/>
        <v>0</v>
      </c>
      <c r="W9" s="8">
        <f t="shared" si="7"/>
        <v>-0.80702222222222209</v>
      </c>
      <c r="X9" s="8">
        <f t="shared" si="8"/>
        <v>0.4035111111111111</v>
      </c>
      <c r="Y9" s="8">
        <f t="shared" si="9"/>
        <v>1.202085185185185</v>
      </c>
      <c r="Z9" s="36">
        <f t="shared" si="21"/>
        <v>1.202085185185185</v>
      </c>
      <c r="AA9" s="9">
        <f t="shared" si="10"/>
        <v>8.4481481481482046E-3</v>
      </c>
      <c r="AC9">
        <f t="shared" si="11"/>
        <v>0</v>
      </c>
      <c r="AD9">
        <f t="shared" si="12"/>
        <v>0.33333333333333337</v>
      </c>
      <c r="AE9">
        <f t="shared" si="13"/>
        <v>0</v>
      </c>
      <c r="AF9">
        <f t="shared" si="14"/>
        <v>-0.66666666666666663</v>
      </c>
      <c r="AG9">
        <f t="shared" si="15"/>
        <v>0</v>
      </c>
      <c r="AH9">
        <f t="shared" si="16"/>
        <v>0</v>
      </c>
      <c r="AI9">
        <f t="shared" si="17"/>
        <v>0.44444444444444442</v>
      </c>
      <c r="AJ9">
        <f t="shared" si="18"/>
        <v>0.11111111111111113</v>
      </c>
      <c r="AK9">
        <f t="shared" si="19"/>
        <v>-0.22222222222222224</v>
      </c>
    </row>
    <row r="10" spans="1:37" x14ac:dyDescent="0.3">
      <c r="A10" s="7">
        <v>11</v>
      </c>
      <c r="B10" s="8">
        <v>1.0081</v>
      </c>
      <c r="C10" s="8">
        <v>1.1963999999999999</v>
      </c>
      <c r="D10" s="9">
        <v>1.2805</v>
      </c>
      <c r="G10" s="5" t="s">
        <v>23</v>
      </c>
      <c r="H10" s="6">
        <f>H8-(H1+1)</f>
        <v>6</v>
      </c>
      <c r="K10" s="16" t="s">
        <v>62</v>
      </c>
      <c r="L10">
        <v>0</v>
      </c>
      <c r="M10"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-0.66666666666666663</v>
      </c>
      <c r="R10">
        <f t="shared" si="4"/>
        <v>-0.66666666666666663</v>
      </c>
      <c r="S10">
        <f>C27</f>
        <v>1.0865</v>
      </c>
      <c r="T10">
        <f t="shared" si="5"/>
        <v>0</v>
      </c>
      <c r="U10">
        <f t="shared" si="6"/>
        <v>0</v>
      </c>
      <c r="V10">
        <f t="shared" si="20"/>
        <v>0</v>
      </c>
      <c r="W10">
        <f t="shared" si="7"/>
        <v>-0.72433333333333327</v>
      </c>
      <c r="X10">
        <f t="shared" si="8"/>
        <v>-0.72433333333333327</v>
      </c>
      <c r="Y10">
        <f t="shared" si="9"/>
        <v>1.0785296296296294</v>
      </c>
      <c r="Z10" s="27">
        <f t="shared" si="21"/>
        <v>1.0785296296296294</v>
      </c>
      <c r="AA10" s="6">
        <f t="shared" si="10"/>
        <v>7.9703703703706275E-3</v>
      </c>
      <c r="AC10">
        <f t="shared" si="11"/>
        <v>0</v>
      </c>
      <c r="AD10">
        <f t="shared" si="12"/>
        <v>0</v>
      </c>
      <c r="AE10">
        <f t="shared" si="13"/>
        <v>0</v>
      </c>
      <c r="AF10">
        <f t="shared" si="14"/>
        <v>0</v>
      </c>
      <c r="AG10">
        <f t="shared" si="15"/>
        <v>0</v>
      </c>
      <c r="AH10">
        <f t="shared" si="16"/>
        <v>0</v>
      </c>
      <c r="AI10">
        <f t="shared" si="17"/>
        <v>0.44444444444444442</v>
      </c>
      <c r="AJ10">
        <f t="shared" si="18"/>
        <v>0.44444444444444442</v>
      </c>
      <c r="AK10">
        <f t="shared" si="19"/>
        <v>0.44444444444444442</v>
      </c>
    </row>
    <row r="11" spans="1:37" x14ac:dyDescent="0.3">
      <c r="G11" s="5" t="s">
        <v>24</v>
      </c>
      <c r="H11" s="6">
        <f>(H3-1)*H8</f>
        <v>18</v>
      </c>
      <c r="K11" s="2" t="s">
        <v>3</v>
      </c>
      <c r="L11" s="2">
        <f t="shared" ref="L11:X11" si="22">SUM(L2:L10)</f>
        <v>0</v>
      </c>
      <c r="M11" s="3">
        <f t="shared" si="22"/>
        <v>0</v>
      </c>
      <c r="N11" s="3">
        <f t="shared" si="22"/>
        <v>0</v>
      </c>
      <c r="O11" s="3">
        <f t="shared" si="22"/>
        <v>6</v>
      </c>
      <c r="P11" s="3">
        <f t="shared" si="22"/>
        <v>6</v>
      </c>
      <c r="Q11" s="3">
        <f t="shared" si="22"/>
        <v>0</v>
      </c>
      <c r="R11" s="3">
        <f t="shared" si="22"/>
        <v>0</v>
      </c>
      <c r="S11" s="3">
        <f t="shared" si="22"/>
        <v>8.9227333333333334</v>
      </c>
      <c r="T11" s="3">
        <f t="shared" si="22"/>
        <v>0.65926666666666645</v>
      </c>
      <c r="U11" s="3">
        <f t="shared" si="22"/>
        <v>1.1581000000000001</v>
      </c>
      <c r="V11" s="3">
        <f t="shared" si="22"/>
        <v>0.16933333333333334</v>
      </c>
      <c r="W11" s="3">
        <f t="shared" si="22"/>
        <v>-0.12242222222222177</v>
      </c>
      <c r="X11" s="3">
        <f t="shared" si="22"/>
        <v>-0.13892222222222195</v>
      </c>
      <c r="Y11" s="3"/>
      <c r="Z11" s="3"/>
      <c r="AA11" s="4"/>
      <c r="AC11">
        <f t="shared" ref="AC11:AK11" si="23">SUM(AC2:AC10)</f>
        <v>0</v>
      </c>
      <c r="AD11">
        <f t="shared" si="23"/>
        <v>0</v>
      </c>
      <c r="AE11">
        <f t="shared" si="23"/>
        <v>0</v>
      </c>
      <c r="AF11">
        <f t="shared" si="23"/>
        <v>0</v>
      </c>
      <c r="AG11">
        <f t="shared" si="23"/>
        <v>0</v>
      </c>
      <c r="AH11">
        <f t="shared" si="23"/>
        <v>0</v>
      </c>
      <c r="AI11">
        <f t="shared" si="23"/>
        <v>2</v>
      </c>
      <c r="AJ11">
        <f t="shared" si="23"/>
        <v>2</v>
      </c>
      <c r="AK11">
        <f t="shared" si="23"/>
        <v>0</v>
      </c>
    </row>
    <row r="12" spans="1:37" x14ac:dyDescent="0.3">
      <c r="A12" t="s">
        <v>35</v>
      </c>
      <c r="G12" s="7" t="s">
        <v>25</v>
      </c>
      <c r="H12" s="9">
        <v>0.05</v>
      </c>
      <c r="K12" s="7" t="s">
        <v>4</v>
      </c>
      <c r="L12" s="7">
        <f t="shared" ref="L12:R12" si="24">SUMSQ(L2:L10)</f>
        <v>6</v>
      </c>
      <c r="M12" s="8">
        <f t="shared" si="24"/>
        <v>6</v>
      </c>
      <c r="N12" s="8">
        <f t="shared" si="24"/>
        <v>4</v>
      </c>
      <c r="O12" s="8">
        <f t="shared" si="24"/>
        <v>6</v>
      </c>
      <c r="P12" s="8">
        <f t="shared" si="24"/>
        <v>6</v>
      </c>
      <c r="Q12" s="8">
        <f t="shared" si="24"/>
        <v>2</v>
      </c>
      <c r="R12" s="8">
        <f t="shared" si="24"/>
        <v>2</v>
      </c>
      <c r="S12" s="8"/>
      <c r="T12" s="8"/>
      <c r="U12" s="8"/>
      <c r="V12" s="8"/>
      <c r="W12" s="8"/>
      <c r="X12" s="8"/>
      <c r="Y12" s="8"/>
      <c r="Z12" s="8"/>
      <c r="AA12" s="9"/>
    </row>
    <row r="13" spans="1:37" x14ac:dyDescent="0.3">
      <c r="A13" s="2" t="s">
        <v>53</v>
      </c>
      <c r="B13" s="3">
        <v>-1</v>
      </c>
      <c r="C13" s="15">
        <v>0</v>
      </c>
      <c r="D13" s="4">
        <v>1</v>
      </c>
    </row>
    <row r="14" spans="1:37" x14ac:dyDescent="0.3">
      <c r="A14" s="5">
        <v>-1</v>
      </c>
      <c r="B14" s="2">
        <f>B2</f>
        <v>0.69740000000000002</v>
      </c>
      <c r="C14" s="15">
        <f t="shared" ref="B14:D22" si="25">C2</f>
        <v>0.78420000000000001</v>
      </c>
      <c r="D14" s="4">
        <f t="shared" si="25"/>
        <v>0.81759999999999999</v>
      </c>
      <c r="F14" s="2" t="s">
        <v>37</v>
      </c>
    </row>
    <row r="15" spans="1:37" x14ac:dyDescent="0.3">
      <c r="A15" s="5">
        <v>-1</v>
      </c>
      <c r="B15" s="5">
        <f t="shared" si="25"/>
        <v>0.68920000000000003</v>
      </c>
      <c r="C15" s="16">
        <f t="shared" si="25"/>
        <v>0.82410000000000005</v>
      </c>
      <c r="D15" s="6">
        <f t="shared" si="25"/>
        <v>0.81689999999999996</v>
      </c>
      <c r="G15" s="2" t="s">
        <v>94</v>
      </c>
      <c r="H15" s="4">
        <f>S11/COUNT(S2:S10)</f>
        <v>0.99141481481481486</v>
      </c>
      <c r="M15" s="2" t="s">
        <v>47</v>
      </c>
      <c r="N15" s="4">
        <f>_xlfn.T.INV.2T(0.05,H8*H3)</f>
        <v>2.0518305164802859</v>
      </c>
      <c r="P15" s="30" t="s">
        <v>58</v>
      </c>
      <c r="Q15" s="31" t="str">
        <f t="shared" ref="Q15:Q20" si="26">IF(N16&gt;$N$15,"значим","незначим")</f>
        <v>значим</v>
      </c>
    </row>
    <row r="16" spans="1:37" x14ac:dyDescent="0.3">
      <c r="A16" s="5">
        <v>-1</v>
      </c>
      <c r="B16" s="5">
        <f t="shared" si="25"/>
        <v>0.7026</v>
      </c>
      <c r="C16" s="16">
        <f t="shared" si="25"/>
        <v>0.79059999999999997</v>
      </c>
      <c r="D16" s="6">
        <f t="shared" si="25"/>
        <v>0.85460000000000003</v>
      </c>
      <c r="F16" s="5"/>
      <c r="G16" s="5" t="s">
        <v>5</v>
      </c>
      <c r="H16" s="6">
        <f>H15-$H$7*SUM(H20:H21)</f>
        <v>1.0785296296296294</v>
      </c>
      <c r="J16" s="37" t="s">
        <v>13</v>
      </c>
      <c r="K16" s="38">
        <f>H16+4*H21+9*H20/4-2*H18-3*H17/2+3*H19</f>
        <v>0.23911018518518606</v>
      </c>
      <c r="M16" s="5" t="s">
        <v>49</v>
      </c>
      <c r="N16" s="6">
        <f>ABS(H16)/SQRT($K$24)</f>
        <v>408.77877128187873</v>
      </c>
      <c r="P16" s="11" t="s">
        <v>59</v>
      </c>
      <c r="Q16" s="12" t="str">
        <f t="shared" si="26"/>
        <v>значим</v>
      </c>
    </row>
    <row r="17" spans="1:21" x14ac:dyDescent="0.3">
      <c r="A17" s="2">
        <v>0</v>
      </c>
      <c r="B17" s="2">
        <f t="shared" si="25"/>
        <v>0.88649999999999995</v>
      </c>
      <c r="C17" s="15">
        <f t="shared" si="25"/>
        <v>1.1113999999999999</v>
      </c>
      <c r="D17" s="4">
        <f t="shared" si="25"/>
        <v>1.1269</v>
      </c>
      <c r="F17" s="6"/>
      <c r="G17" t="s">
        <v>9</v>
      </c>
      <c r="H17" s="6">
        <f>T11/O12</f>
        <v>0.10987777777777774</v>
      </c>
      <c r="J17" s="39" t="s">
        <v>14</v>
      </c>
      <c r="K17" s="40">
        <f>H17/40000-H19/20000-3*H20/40000</f>
        <v>5.2211111111110935E-6</v>
      </c>
      <c r="M17" s="5" t="s">
        <v>50</v>
      </c>
      <c r="N17" s="6">
        <f>ABS(H17)/SQRT($K$25)</f>
        <v>30.757101322111378</v>
      </c>
      <c r="P17" s="11" t="s">
        <v>60</v>
      </c>
      <c r="Q17" s="12" t="str">
        <f>IF(N18&gt;$N$15,"значим","незначим")</f>
        <v>значим</v>
      </c>
    </row>
    <row r="18" spans="1:21" x14ac:dyDescent="0.3">
      <c r="A18" s="5">
        <v>0</v>
      </c>
      <c r="B18" s="5">
        <f t="shared" si="25"/>
        <v>0.90920000000000001</v>
      </c>
      <c r="C18" s="16">
        <f t="shared" si="25"/>
        <v>1.0666</v>
      </c>
      <c r="D18" s="6">
        <f t="shared" si="25"/>
        <v>1.1424000000000001</v>
      </c>
      <c r="G18" s="5" t="s">
        <v>10</v>
      </c>
      <c r="H18" s="6">
        <f>U11/P12</f>
        <v>0.1930166666666667</v>
      </c>
      <c r="J18" s="39" t="s">
        <v>15</v>
      </c>
      <c r="K18" s="40">
        <f>H18/2-2*H21-3*H19/4</f>
        <v>0.20368055555555531</v>
      </c>
      <c r="M18" s="5" t="s">
        <v>51</v>
      </c>
      <c r="N18" s="6">
        <f>ABS(H18)/SQRT($K$25)</f>
        <v>54.029425181217313</v>
      </c>
      <c r="P18" s="11" t="s">
        <v>103</v>
      </c>
      <c r="Q18" s="12" t="str">
        <f t="shared" si="26"/>
        <v>значим</v>
      </c>
    </row>
    <row r="19" spans="1:21" x14ac:dyDescent="0.3">
      <c r="A19" s="7">
        <v>0</v>
      </c>
      <c r="B19" s="7">
        <f t="shared" si="25"/>
        <v>0.9093</v>
      </c>
      <c r="C19" s="17">
        <f t="shared" si="25"/>
        <v>1.0814999999999999</v>
      </c>
      <c r="D19" s="9">
        <f t="shared" si="25"/>
        <v>1.1056999999999999</v>
      </c>
      <c r="G19" s="5" t="s">
        <v>64</v>
      </c>
      <c r="H19" s="6">
        <f>V11/N12</f>
        <v>4.2333333333333334E-2</v>
      </c>
      <c r="J19" s="39" t="s">
        <v>123</v>
      </c>
      <c r="K19" s="40">
        <f>H19/80000</f>
        <v>5.2916666666666665E-7</v>
      </c>
      <c r="M19" s="5" t="s">
        <v>100</v>
      </c>
      <c r="N19" s="6">
        <f>ABS(H19)/SQRT($K$26)</f>
        <v>9.6754767258513059</v>
      </c>
      <c r="P19" s="11" t="s">
        <v>104</v>
      </c>
      <c r="Q19" s="12" t="str">
        <f t="shared" si="26"/>
        <v>значим</v>
      </c>
    </row>
    <row r="20" spans="1:21" x14ac:dyDescent="0.3">
      <c r="A20" s="5">
        <v>1</v>
      </c>
      <c r="B20" s="5">
        <f t="shared" si="25"/>
        <v>0.98040000000000005</v>
      </c>
      <c r="C20" s="16">
        <f t="shared" si="25"/>
        <v>1.2244999999999999</v>
      </c>
      <c r="D20" s="6">
        <f t="shared" si="25"/>
        <v>1.3008999999999999</v>
      </c>
      <c r="G20" s="5" t="s">
        <v>84</v>
      </c>
      <c r="H20" s="6">
        <f>W11/Q12</f>
        <v>-6.1211111111110883E-2</v>
      </c>
      <c r="J20" s="39" t="s">
        <v>124</v>
      </c>
      <c r="K20" s="40">
        <f>H20/1600000000</f>
        <v>-3.8256944444444304E-11</v>
      </c>
      <c r="M20" s="5" t="s">
        <v>101</v>
      </c>
      <c r="N20" s="6">
        <f>ABS(H20)/SQRT($K$27)</f>
        <v>9.8924797845611074</v>
      </c>
      <c r="P20" s="13" t="s">
        <v>105</v>
      </c>
      <c r="Q20" s="14" t="str">
        <f>IF(N21&gt;$N$15,"значим","незначим")</f>
        <v>значим</v>
      </c>
    </row>
    <row r="21" spans="1:21" x14ac:dyDescent="0.3">
      <c r="A21" s="5">
        <v>1</v>
      </c>
      <c r="B21" s="5">
        <f t="shared" si="25"/>
        <v>0.96750000000000003</v>
      </c>
      <c r="C21" s="16">
        <f t="shared" si="25"/>
        <v>1.2107000000000001</v>
      </c>
      <c r="D21" s="6">
        <f t="shared" si="25"/>
        <v>1.2825</v>
      </c>
      <c r="G21" s="7" t="s">
        <v>85</v>
      </c>
      <c r="H21" s="9">
        <f>X11/R12</f>
        <v>-6.9461111111110974E-2</v>
      </c>
      <c r="J21" s="41" t="s">
        <v>125</v>
      </c>
      <c r="K21" s="42">
        <f>H21/4</f>
        <v>-1.7365277777777743E-2</v>
      </c>
      <c r="M21" s="7" t="s">
        <v>102</v>
      </c>
      <c r="N21" s="9">
        <f>ABS(H21)/SQRT($K$27)</f>
        <v>11.225782786927549</v>
      </c>
    </row>
    <row r="22" spans="1:21" x14ac:dyDescent="0.3">
      <c r="A22" s="7">
        <v>1</v>
      </c>
      <c r="B22" s="7">
        <f t="shared" si="25"/>
        <v>1.0081</v>
      </c>
      <c r="C22" s="17">
        <f t="shared" si="25"/>
        <v>1.1963999999999999</v>
      </c>
      <c r="D22" s="9">
        <f t="shared" si="25"/>
        <v>1.2805</v>
      </c>
    </row>
    <row r="24" spans="1:21" x14ac:dyDescent="0.3">
      <c r="A24" t="s">
        <v>115</v>
      </c>
      <c r="G24" s="2" t="s">
        <v>43</v>
      </c>
      <c r="H24" s="4">
        <f>SUMSQ(AA2:AA10)/H9</f>
        <v>2.0543300411522445E-4</v>
      </c>
      <c r="J24" s="2" t="s">
        <v>95</v>
      </c>
      <c r="K24" s="4">
        <f>H25/(H3*(H8+2*H6*H6))</f>
        <v>6.9612542087542223E-6</v>
      </c>
      <c r="M24" s="43" t="s">
        <v>0</v>
      </c>
      <c r="N24" s="44">
        <f>B1</f>
        <v>4.0000000000000001E-3</v>
      </c>
      <c r="O24" s="45">
        <f t="shared" ref="O24:P24" si="27">C1</f>
        <v>4.7000000000000002E-3</v>
      </c>
      <c r="P24" s="46">
        <f t="shared" si="27"/>
        <v>0.09</v>
      </c>
    </row>
    <row r="25" spans="1:21" x14ac:dyDescent="0.3">
      <c r="A25" s="2" t="s">
        <v>53</v>
      </c>
      <c r="B25" s="3">
        <v>-1</v>
      </c>
      <c r="C25" s="3">
        <v>0</v>
      </c>
      <c r="D25" s="4">
        <v>1</v>
      </c>
      <c r="G25" s="5" t="s">
        <v>44</v>
      </c>
      <c r="H25" s="6">
        <f>SUMSQ(B32:D40)/((H8-1)*H3)</f>
        <v>2.2972138888888933E-4</v>
      </c>
      <c r="J25" s="5" t="s">
        <v>96</v>
      </c>
      <c r="K25" s="6">
        <f>H25/(H3*(H2+2*H6*H6))</f>
        <v>1.2762299382716074E-5</v>
      </c>
      <c r="M25" s="37">
        <f t="shared" ref="M25:M33" si="28">A2</f>
        <v>1</v>
      </c>
      <c r="N25" s="37">
        <f>$K$16+$K$17*N$24+$K$18*$M25+$K$19*N$24*$M25+$K$20*POWER(N$24,2)+$K$21*POWER($M25,2)</f>
        <v>0.42542548596407415</v>
      </c>
      <c r="O25" s="47">
        <f t="shared" ref="O25:P33" si="29">$K$16+$K$17*O$24+$K$18*$M25+$K$19*O$24*$M25+$K$20*POWER(O$24,2)+$K$21*POWER($M25,2)</f>
        <v>0.42542548998926832</v>
      </c>
      <c r="P25" s="38">
        <f t="shared" si="29"/>
        <v>0.42542598048765373</v>
      </c>
    </row>
    <row r="26" spans="1:21" x14ac:dyDescent="0.3">
      <c r="A26" s="5">
        <v>-1</v>
      </c>
      <c r="B26" s="2">
        <f>AVERAGE(B14:B16)</f>
        <v>0.69640000000000002</v>
      </c>
      <c r="C26" s="3">
        <f t="shared" ref="C26:D26" si="30">AVERAGE(C14:C16)</f>
        <v>0.79963333333333342</v>
      </c>
      <c r="D26" s="4">
        <f>AVERAGE(D14:D16)</f>
        <v>0.82969999999999999</v>
      </c>
      <c r="G26" s="5" t="s">
        <v>28</v>
      </c>
      <c r="H26" s="6">
        <f>H24/H25</f>
        <v>0.89427025105871794</v>
      </c>
      <c r="J26" s="5" t="s">
        <v>97</v>
      </c>
      <c r="K26" s="6">
        <f>H25/(H3*H2)</f>
        <v>1.914344907407411E-5</v>
      </c>
      <c r="M26" s="39">
        <f t="shared" si="28"/>
        <v>1</v>
      </c>
      <c r="N26" s="39">
        <f t="shared" ref="N26:N33" si="31">$K$16+$K$17*N$24+$K$18*$M26+$K$19*N$24*$M26+$K$20*POWER(N$24,2)+$K$21*POWER($M26,2)</f>
        <v>0.42542548596407415</v>
      </c>
      <c r="O26" s="48">
        <f t="shared" si="29"/>
        <v>0.42542548998926832</v>
      </c>
      <c r="P26" s="40">
        <f t="shared" si="29"/>
        <v>0.42542598048765373</v>
      </c>
    </row>
    <row r="27" spans="1:21" x14ac:dyDescent="0.3">
      <c r="A27" s="5">
        <v>0</v>
      </c>
      <c r="B27" s="5">
        <f>AVERAGE(B17:B19)</f>
        <v>0.90166666666666673</v>
      </c>
      <c r="C27">
        <f t="shared" ref="C27:D27" si="32">AVERAGE(C17:C19)</f>
        <v>1.0865</v>
      </c>
      <c r="D27" s="6">
        <f t="shared" si="32"/>
        <v>1.125</v>
      </c>
      <c r="G27" s="7" t="s">
        <v>26</v>
      </c>
      <c r="H27" s="9">
        <f>_xlfn.F.INV.RT(H12,H11,H10)</f>
        <v>3.8957092981022172</v>
      </c>
      <c r="J27" s="7" t="s">
        <v>98</v>
      </c>
      <c r="K27" s="9">
        <f>H25/(H3*2*POWER(H6,4))</f>
        <v>3.828689814814822E-5</v>
      </c>
      <c r="M27" s="39">
        <f t="shared" si="28"/>
        <v>1</v>
      </c>
      <c r="N27" s="39">
        <f t="shared" si="31"/>
        <v>0.42542548596407415</v>
      </c>
      <c r="O27" s="48">
        <f t="shared" si="29"/>
        <v>0.42542548998926832</v>
      </c>
      <c r="P27" s="40">
        <f t="shared" si="29"/>
        <v>0.42542598048765373</v>
      </c>
    </row>
    <row r="28" spans="1:21" x14ac:dyDescent="0.3">
      <c r="A28" s="7">
        <v>1</v>
      </c>
      <c r="B28" s="7">
        <f>AVERAGE(B20:B22)</f>
        <v>0.98533333333333351</v>
      </c>
      <c r="C28" s="8">
        <f t="shared" ref="C28:D28" si="33">AVERAGE(C20:C22)</f>
        <v>1.2105333333333332</v>
      </c>
      <c r="D28" s="9">
        <f t="shared" si="33"/>
        <v>1.2879666666666667</v>
      </c>
      <c r="G28" s="33" t="s">
        <v>57</v>
      </c>
      <c r="H28" s="34" t="str">
        <f>IF(H26&lt;H27,"адеватна","не адеватна")</f>
        <v>адеватна</v>
      </c>
      <c r="M28" s="37">
        <f t="shared" si="28"/>
        <v>6</v>
      </c>
      <c r="N28" s="37">
        <f t="shared" si="31"/>
        <v>0.83604355210296299</v>
      </c>
      <c r="O28" s="47">
        <f t="shared" si="29"/>
        <v>0.83604355798024033</v>
      </c>
      <c r="P28" s="38">
        <f t="shared" si="29"/>
        <v>0.83604427416820926</v>
      </c>
    </row>
    <row r="29" spans="1:21" x14ac:dyDescent="0.3">
      <c r="M29" s="39">
        <f t="shared" si="28"/>
        <v>6</v>
      </c>
      <c r="N29" s="39">
        <f t="shared" si="31"/>
        <v>0.83604355210296299</v>
      </c>
      <c r="O29" s="48">
        <f t="shared" si="29"/>
        <v>0.83604355798024033</v>
      </c>
      <c r="P29" s="40">
        <f t="shared" si="29"/>
        <v>0.83604427416820926</v>
      </c>
    </row>
    <row r="30" spans="1:21" x14ac:dyDescent="0.3">
      <c r="A30" t="s">
        <v>109</v>
      </c>
      <c r="F30" t="s">
        <v>116</v>
      </c>
      <c r="M30" s="41">
        <f t="shared" si="28"/>
        <v>6</v>
      </c>
      <c r="N30" s="41">
        <f t="shared" si="31"/>
        <v>0.83604355210296299</v>
      </c>
      <c r="O30" s="49">
        <f t="shared" si="29"/>
        <v>0.83604355798024033</v>
      </c>
      <c r="P30" s="42">
        <f t="shared" si="29"/>
        <v>0.83604427416820926</v>
      </c>
    </row>
    <row r="31" spans="1:21" x14ac:dyDescent="0.3">
      <c r="A31" s="2" t="s">
        <v>53</v>
      </c>
      <c r="B31" s="3">
        <v>-1</v>
      </c>
      <c r="C31" s="15">
        <v>0</v>
      </c>
      <c r="D31" s="4">
        <v>1</v>
      </c>
      <c r="F31" s="29" t="s">
        <v>53</v>
      </c>
      <c r="G31" s="35">
        <v>-1</v>
      </c>
      <c r="H31" s="15">
        <v>0</v>
      </c>
      <c r="I31" s="4">
        <v>1</v>
      </c>
      <c r="M31" s="39">
        <f t="shared" si="28"/>
        <v>11</v>
      </c>
      <c r="N31" s="39">
        <f t="shared" si="31"/>
        <v>0.37839772935296523</v>
      </c>
      <c r="O31" s="48">
        <f t="shared" si="29"/>
        <v>0.37839773708232594</v>
      </c>
      <c r="P31" s="40">
        <f t="shared" si="29"/>
        <v>0.37839867895987789</v>
      </c>
      <c r="U31" t="s">
        <v>126</v>
      </c>
    </row>
    <row r="32" spans="1:21" x14ac:dyDescent="0.3">
      <c r="A32" s="5">
        <v>-1</v>
      </c>
      <c r="B32" s="2">
        <f>B14-B$26</f>
        <v>1.0000000000000009E-3</v>
      </c>
      <c r="C32" s="15">
        <f t="shared" ref="C32:D32" si="34">C14-C$26</f>
        <v>-1.543333333333341E-2</v>
      </c>
      <c r="D32" s="4">
        <f t="shared" si="34"/>
        <v>-1.21E-2</v>
      </c>
      <c r="F32" s="16">
        <v>-1</v>
      </c>
      <c r="G32" s="15">
        <f>$H$16+G$31*$H$17+$F32*$H$18+$H$19*G$31*$F32+$H$20*POWER(G$31,2)+$H$21*POWER($F32,2)</f>
        <v>0.68729629629629641</v>
      </c>
      <c r="H32" s="4">
        <f t="shared" ref="H32:I32" si="35">$H$16+H$31*$H$17+$F32*$H$18+$H$19*H$31*$F32+$H$20*POWER(H$31,2)+$H$21*POWER($F32,2)</f>
        <v>0.8160518518518517</v>
      </c>
      <c r="I32" s="4">
        <f t="shared" si="35"/>
        <v>0.82238518518518522</v>
      </c>
      <c r="M32" s="39">
        <f t="shared" si="28"/>
        <v>11</v>
      </c>
      <c r="N32" s="39">
        <f t="shared" si="31"/>
        <v>0.37839772935296523</v>
      </c>
      <c r="O32" s="48">
        <f t="shared" si="29"/>
        <v>0.37839773708232594</v>
      </c>
      <c r="P32" s="40">
        <f t="shared" si="29"/>
        <v>0.37839867895987789</v>
      </c>
    </row>
    <row r="33" spans="1:16" x14ac:dyDescent="0.3">
      <c r="A33" s="5">
        <v>-1</v>
      </c>
      <c r="B33" s="5">
        <f t="shared" ref="B33:D33" si="36">B15-B$26</f>
        <v>-7.1999999999999842E-3</v>
      </c>
      <c r="C33" s="16">
        <f t="shared" si="36"/>
        <v>2.4466666666666637E-2</v>
      </c>
      <c r="D33" s="6">
        <f t="shared" si="36"/>
        <v>-1.2800000000000034E-2</v>
      </c>
      <c r="F33" s="16">
        <v>-1</v>
      </c>
      <c r="G33" s="16">
        <f t="shared" ref="G33:I40" si="37">$H$16+G$31*$H$17+$F33*$H$18+$H$19*G$31*$F33+$H$20*POWER(G$31,2)+$H$21*POWER($F33,2)</f>
        <v>0.68729629629629641</v>
      </c>
      <c r="H33" s="6">
        <f t="shared" si="37"/>
        <v>0.8160518518518517</v>
      </c>
      <c r="I33" s="6">
        <f t="shared" si="37"/>
        <v>0.82238518518518522</v>
      </c>
      <c r="M33" s="41">
        <f t="shared" si="28"/>
        <v>11</v>
      </c>
      <c r="N33" s="41">
        <f t="shared" si="31"/>
        <v>0.37839772935296523</v>
      </c>
      <c r="O33" s="49">
        <f t="shared" si="29"/>
        <v>0.37839773708232594</v>
      </c>
      <c r="P33" s="42">
        <f t="shared" si="29"/>
        <v>0.37839867895987789</v>
      </c>
    </row>
    <row r="34" spans="1:16" x14ac:dyDescent="0.3">
      <c r="A34" s="5">
        <v>-1</v>
      </c>
      <c r="B34" s="5">
        <f t="shared" ref="B34:D34" si="38">B16-B$26</f>
        <v>6.1999999999999833E-3</v>
      </c>
      <c r="C34" s="16">
        <f t="shared" si="38"/>
        <v>-9.0333333333334487E-3</v>
      </c>
      <c r="D34" s="6">
        <f t="shared" si="38"/>
        <v>2.4900000000000033E-2</v>
      </c>
      <c r="F34" s="16">
        <v>-1</v>
      </c>
      <c r="G34" s="16">
        <f t="shared" si="37"/>
        <v>0.68729629629629641</v>
      </c>
      <c r="H34" s="9">
        <f t="shared" si="37"/>
        <v>0.8160518518518517</v>
      </c>
      <c r="I34" s="9">
        <f t="shared" si="37"/>
        <v>0.82238518518518522</v>
      </c>
    </row>
    <row r="35" spans="1:16" x14ac:dyDescent="0.3">
      <c r="A35" s="2">
        <v>0</v>
      </c>
      <c r="B35" s="2">
        <f>B17-B$27</f>
        <v>-1.5166666666666773E-2</v>
      </c>
      <c r="C35" s="15">
        <f t="shared" ref="C35:D35" si="39">C17-C$27</f>
        <v>2.4899999999999922E-2</v>
      </c>
      <c r="D35" s="4">
        <f t="shared" si="39"/>
        <v>1.9000000000000128E-3</v>
      </c>
      <c r="F35" s="15">
        <v>0</v>
      </c>
      <c r="G35" s="15">
        <f t="shared" si="37"/>
        <v>0.90744074074074077</v>
      </c>
      <c r="H35" s="6">
        <f t="shared" si="37"/>
        <v>1.0785296296296294</v>
      </c>
      <c r="I35" s="6">
        <f t="shared" si="37"/>
        <v>1.1271962962962963</v>
      </c>
    </row>
    <row r="36" spans="1:16" x14ac:dyDescent="0.3">
      <c r="A36" s="5">
        <v>0</v>
      </c>
      <c r="B36" s="5">
        <f t="shared" ref="B36:D36" si="40">B18-B$27</f>
        <v>7.5333333333332808E-3</v>
      </c>
      <c r="C36" s="16">
        <f t="shared" si="40"/>
        <v>-1.9900000000000029E-2</v>
      </c>
      <c r="D36" s="6">
        <f t="shared" si="40"/>
        <v>1.7400000000000082E-2</v>
      </c>
      <c r="F36" s="16">
        <v>0</v>
      </c>
      <c r="G36" s="16">
        <f t="shared" si="37"/>
        <v>0.90744074074074077</v>
      </c>
      <c r="H36" s="6">
        <f t="shared" si="37"/>
        <v>1.0785296296296294</v>
      </c>
      <c r="I36" s="6">
        <f t="shared" si="37"/>
        <v>1.1271962962962963</v>
      </c>
    </row>
    <row r="37" spans="1:16" x14ac:dyDescent="0.3">
      <c r="A37" s="7">
        <v>0</v>
      </c>
      <c r="B37" s="7">
        <f t="shared" ref="B37:D37" si="41">B19-B$27</f>
        <v>7.6333333333332698E-3</v>
      </c>
      <c r="C37" s="17">
        <f t="shared" si="41"/>
        <v>-5.0000000000001155E-3</v>
      </c>
      <c r="D37" s="9">
        <f t="shared" si="41"/>
        <v>-1.9300000000000095E-2</v>
      </c>
      <c r="F37" s="17">
        <v>0</v>
      </c>
      <c r="G37" s="17">
        <f t="shared" si="37"/>
        <v>0.90744074074074077</v>
      </c>
      <c r="H37" s="9">
        <f t="shared" si="37"/>
        <v>1.0785296296296294</v>
      </c>
      <c r="I37" s="9">
        <f t="shared" si="37"/>
        <v>1.1271962962962963</v>
      </c>
    </row>
    <row r="38" spans="1:16" x14ac:dyDescent="0.3">
      <c r="A38" s="5">
        <v>1</v>
      </c>
      <c r="B38" s="5">
        <f>B20-B$28</f>
        <v>-4.9333333333334561E-3</v>
      </c>
      <c r="C38" s="16">
        <f t="shared" ref="C38:D38" si="42">C20-C$28</f>
        <v>1.3966666666666683E-2</v>
      </c>
      <c r="D38" s="6">
        <f t="shared" si="42"/>
        <v>1.2933333333333241E-2</v>
      </c>
      <c r="F38" s="16">
        <v>1</v>
      </c>
      <c r="G38" s="16">
        <f t="shared" si="37"/>
        <v>0.98866296296296308</v>
      </c>
      <c r="H38" s="6">
        <f t="shared" si="37"/>
        <v>1.202085185185185</v>
      </c>
      <c r="I38" s="6">
        <f t="shared" si="37"/>
        <v>1.2930851851851852</v>
      </c>
    </row>
    <row r="39" spans="1:16" x14ac:dyDescent="0.3">
      <c r="A39" s="5">
        <v>1</v>
      </c>
      <c r="B39" s="5">
        <f t="shared" ref="B39:D39" si="43">B21-B$28</f>
        <v>-1.7833333333333479E-2</v>
      </c>
      <c r="C39" s="16">
        <f t="shared" si="43"/>
        <v>1.6666666666687036E-4</v>
      </c>
      <c r="D39" s="6">
        <f t="shared" si="43"/>
        <v>-5.4666666666667307E-3</v>
      </c>
      <c r="F39" s="16">
        <v>1</v>
      </c>
      <c r="G39" s="16">
        <f t="shared" si="37"/>
        <v>0.98866296296296308</v>
      </c>
      <c r="H39" s="6">
        <f t="shared" si="37"/>
        <v>1.202085185185185</v>
      </c>
      <c r="I39" s="6">
        <f t="shared" si="37"/>
        <v>1.2930851851851852</v>
      </c>
    </row>
    <row r="40" spans="1:16" x14ac:dyDescent="0.3">
      <c r="A40" s="7">
        <v>1</v>
      </c>
      <c r="B40" s="7">
        <f t="shared" ref="B40:D40" si="44">B22-B$28</f>
        <v>2.2766666666666491E-2</v>
      </c>
      <c r="C40" s="17">
        <f t="shared" si="44"/>
        <v>-1.4133333333333331E-2</v>
      </c>
      <c r="D40" s="9">
        <f t="shared" si="44"/>
        <v>-7.4666666666667325E-3</v>
      </c>
      <c r="F40" s="17">
        <v>1</v>
      </c>
      <c r="G40" s="17">
        <f t="shared" si="37"/>
        <v>0.98866296296296308</v>
      </c>
      <c r="H40" s="8">
        <f t="shared" si="37"/>
        <v>1.202085185185185</v>
      </c>
      <c r="I40" s="17">
        <f t="shared" si="37"/>
        <v>1.2930851851851852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D21-EF0B-4765-98D3-11057768DF57}">
  <dimension ref="A1:R43"/>
  <sheetViews>
    <sheetView tabSelected="1" topLeftCell="A22" workbookViewId="0">
      <selection activeCell="S45" sqref="S45"/>
    </sheetView>
  </sheetViews>
  <sheetFormatPr defaultRowHeight="14.4" x14ac:dyDescent="0.3"/>
  <cols>
    <col min="7" max="7" width="10" bestFit="1" customWidth="1"/>
  </cols>
  <sheetData>
    <row r="1" spans="1:18" x14ac:dyDescent="0.3">
      <c r="A1" t="s">
        <v>119</v>
      </c>
      <c r="F1" t="s">
        <v>117</v>
      </c>
      <c r="K1" t="s">
        <v>118</v>
      </c>
    </row>
    <row r="2" spans="1:18" x14ac:dyDescent="0.3">
      <c r="A2" s="2"/>
      <c r="B2" s="3">
        <v>4.0000000000000001E-3</v>
      </c>
      <c r="C2" s="3">
        <v>4.7000000000000002E-3</v>
      </c>
      <c r="D2" s="4">
        <v>0.09</v>
      </c>
      <c r="F2" s="5" t="s">
        <v>0</v>
      </c>
      <c r="G2">
        <f>'Задание 1'!B14</f>
        <v>4.0000000000000001E-3</v>
      </c>
      <c r="H2">
        <f>'Задание 1'!C14</f>
        <v>4.7000000000000002E-3</v>
      </c>
      <c r="I2">
        <f>'Задание 1'!D14</f>
        <v>0.09</v>
      </c>
      <c r="K2" s="2" t="s">
        <v>0</v>
      </c>
      <c r="L2" s="3">
        <f>B2</f>
        <v>4.0000000000000001E-3</v>
      </c>
      <c r="M2" s="3">
        <f t="shared" ref="M2:N2" si="0">C2</f>
        <v>4.7000000000000002E-3</v>
      </c>
      <c r="N2" s="4">
        <f t="shared" si="0"/>
        <v>0.09</v>
      </c>
    </row>
    <row r="3" spans="1:18" x14ac:dyDescent="0.3">
      <c r="A3" s="5">
        <v>1</v>
      </c>
      <c r="B3">
        <v>0.69740000000000002</v>
      </c>
      <c r="C3">
        <v>0.78420000000000001</v>
      </c>
      <c r="D3" s="6">
        <v>0.81759999999999999</v>
      </c>
      <c r="F3">
        <f>'Задание 1'!A15</f>
        <v>1</v>
      </c>
      <c r="G3">
        <f>'Задание 1'!B15</f>
        <v>0.69432465608721816</v>
      </c>
      <c r="H3">
        <f>'Задание 1'!C15</f>
        <v>0.70014053915484831</v>
      </c>
      <c r="I3">
        <f>'Задание 1'!D15</f>
        <v>0.83236843516930314</v>
      </c>
      <c r="K3" s="5">
        <f>A3</f>
        <v>1</v>
      </c>
      <c r="L3" s="2">
        <f>'Задание 2'!G32</f>
        <v>0.68729629629629641</v>
      </c>
      <c r="M3" s="3">
        <f>'Задание 2'!H32</f>
        <v>0.8160518518518517</v>
      </c>
      <c r="N3" s="4">
        <f>'Задание 2'!I32</f>
        <v>0.82238518518518522</v>
      </c>
      <c r="P3">
        <f>AVERAGE(L3:L5)</f>
        <v>0.68729629629629641</v>
      </c>
      <c r="Q3">
        <f>AVERAGE(M3:M5)</f>
        <v>0.8160518518518517</v>
      </c>
      <c r="R3">
        <f>AVERAGE(N3:N5)</f>
        <v>0.82238518518518522</v>
      </c>
    </row>
    <row r="4" spans="1:18" x14ac:dyDescent="0.3">
      <c r="A4" s="5">
        <v>1</v>
      </c>
      <c r="B4">
        <v>0.68920000000000003</v>
      </c>
      <c r="C4">
        <v>0.82410000000000005</v>
      </c>
      <c r="D4" s="6">
        <v>0.81689999999999996</v>
      </c>
      <c r="F4">
        <f>'Задание 1'!A16</f>
        <v>1</v>
      </c>
      <c r="G4">
        <f>'Задание 1'!B16</f>
        <v>0.69432465608721816</v>
      </c>
      <c r="H4">
        <f>'Задание 1'!C16</f>
        <v>0.70014053915484831</v>
      </c>
      <c r="I4">
        <f>'Задание 1'!D16</f>
        <v>0.83236843516930314</v>
      </c>
      <c r="K4" s="5">
        <f t="shared" ref="K4:K11" si="1">A4</f>
        <v>1</v>
      </c>
      <c r="L4" s="5">
        <f>'Задание 2'!G33</f>
        <v>0.68729629629629641</v>
      </c>
      <c r="M4">
        <f>'Задание 2'!H33</f>
        <v>0.8160518518518517</v>
      </c>
      <c r="N4" s="6">
        <f>'Задание 2'!I33</f>
        <v>0.82238518518518522</v>
      </c>
      <c r="P4">
        <f>AVERAGE(L6:L8)</f>
        <v>0.90744074074074066</v>
      </c>
      <c r="Q4">
        <f t="shared" ref="Q4:R4" si="2">AVERAGE(M6:M8)</f>
        <v>1.0785296296296294</v>
      </c>
      <c r="R4">
        <f t="shared" si="2"/>
        <v>1.1271962962962963</v>
      </c>
    </row>
    <row r="5" spans="1:18" ht="15" thickBot="1" x14ac:dyDescent="0.35">
      <c r="A5" s="10">
        <v>1</v>
      </c>
      <c r="B5">
        <v>0.7026</v>
      </c>
      <c r="C5">
        <v>0.79059999999999997</v>
      </c>
      <c r="D5" s="6">
        <v>0.85460000000000003</v>
      </c>
      <c r="F5">
        <f>'Задание 1'!A17</f>
        <v>1</v>
      </c>
      <c r="G5">
        <f>'Задание 1'!B17</f>
        <v>0.69432465608721816</v>
      </c>
      <c r="H5">
        <f>'Задание 1'!C17</f>
        <v>0.70014053915484831</v>
      </c>
      <c r="I5">
        <f>'Задание 1'!D17</f>
        <v>0.83236843516930314</v>
      </c>
      <c r="K5" s="5">
        <f t="shared" si="1"/>
        <v>1</v>
      </c>
      <c r="L5" s="5">
        <f>'Задание 2'!G34</f>
        <v>0.68729629629629641</v>
      </c>
      <c r="M5">
        <f>'Задание 2'!H34</f>
        <v>0.8160518518518517</v>
      </c>
      <c r="N5" s="6">
        <f>'Задание 2'!I34</f>
        <v>0.82238518518518522</v>
      </c>
      <c r="P5">
        <f>AVERAGE(L9:L11)</f>
        <v>0.98866296296296297</v>
      </c>
      <c r="Q5">
        <f t="shared" ref="Q5:R5" si="3">AVERAGE(M9:M11)</f>
        <v>1.202085185185185</v>
      </c>
      <c r="R5">
        <f t="shared" si="3"/>
        <v>1.2930851851851852</v>
      </c>
    </row>
    <row r="6" spans="1:18" x14ac:dyDescent="0.3">
      <c r="A6" s="5">
        <v>6</v>
      </c>
      <c r="B6">
        <v>0.88649999999999995</v>
      </c>
      <c r="C6">
        <v>1.1113999999999999</v>
      </c>
      <c r="D6" s="6">
        <v>1.1269</v>
      </c>
      <c r="F6">
        <f>'Задание 1'!A18</f>
        <v>6</v>
      </c>
      <c r="G6">
        <f>'Задание 1'!B18</f>
        <v>0.89277758356717163</v>
      </c>
      <c r="H6">
        <f>'Задание 1'!C18</f>
        <v>0.90295998710147907</v>
      </c>
      <c r="I6">
        <f>'Задание 1'!D18</f>
        <v>1.1344635747862744</v>
      </c>
      <c r="K6" s="5">
        <f t="shared" si="1"/>
        <v>6</v>
      </c>
      <c r="L6" s="5">
        <f>'Задание 2'!G35</f>
        <v>0.90744074074074077</v>
      </c>
      <c r="M6">
        <f>'Задание 2'!H35</f>
        <v>1.0785296296296294</v>
      </c>
      <c r="N6" s="6">
        <f>'Задание 2'!I35</f>
        <v>1.1271962962962963</v>
      </c>
    </row>
    <row r="7" spans="1:18" x14ac:dyDescent="0.3">
      <c r="A7" s="5">
        <v>6</v>
      </c>
      <c r="B7">
        <v>0.90920000000000001</v>
      </c>
      <c r="C7">
        <v>1.0666</v>
      </c>
      <c r="D7" s="6">
        <v>1.1424000000000001</v>
      </c>
      <c r="F7">
        <f>'Задание 1'!A19</f>
        <v>6</v>
      </c>
      <c r="G7">
        <f>'Задание 1'!B19</f>
        <v>0.89277758356717163</v>
      </c>
      <c r="H7">
        <f>'Задание 1'!C19</f>
        <v>0.90295998710147907</v>
      </c>
      <c r="I7">
        <f>'Задание 1'!D19</f>
        <v>1.1344635747862744</v>
      </c>
      <c r="K7" s="5">
        <f t="shared" si="1"/>
        <v>6</v>
      </c>
      <c r="L7" s="5">
        <f>'Задание 2'!G36</f>
        <v>0.90744074074074077</v>
      </c>
      <c r="M7">
        <f>'Задание 2'!H36</f>
        <v>1.0785296296296294</v>
      </c>
      <c r="N7" s="6">
        <f>'Задание 2'!I36</f>
        <v>1.1271962962962963</v>
      </c>
    </row>
    <row r="8" spans="1:18" ht="15" thickBot="1" x14ac:dyDescent="0.35">
      <c r="A8" s="10">
        <v>6</v>
      </c>
      <c r="B8">
        <v>0.9093</v>
      </c>
      <c r="C8">
        <v>1.0814999999999999</v>
      </c>
      <c r="D8" s="6">
        <v>1.1056999999999999</v>
      </c>
      <c r="F8">
        <f>'Задание 1'!A20</f>
        <v>6</v>
      </c>
      <c r="G8">
        <f>'Задание 1'!B20</f>
        <v>0.89277758356717163</v>
      </c>
      <c r="H8">
        <f>'Задание 1'!C20</f>
        <v>0.90295998710147907</v>
      </c>
      <c r="I8">
        <f>'Задание 1'!D20</f>
        <v>1.1344635747862744</v>
      </c>
      <c r="K8" s="5">
        <f t="shared" si="1"/>
        <v>6</v>
      </c>
      <c r="L8" s="5">
        <f>'Задание 2'!G37</f>
        <v>0.90744074074074077</v>
      </c>
      <c r="M8">
        <f>'Задание 2'!H37</f>
        <v>1.0785296296296294</v>
      </c>
      <c r="N8" s="6">
        <f>'Задание 2'!I37</f>
        <v>1.1271962962962963</v>
      </c>
    </row>
    <row r="9" spans="1:18" x14ac:dyDescent="0.3">
      <c r="A9" s="5">
        <v>11</v>
      </c>
      <c r="B9">
        <v>0.98040000000000005</v>
      </c>
      <c r="C9">
        <v>1.2244999999999999</v>
      </c>
      <c r="D9" s="6">
        <v>1.3008999999999999</v>
      </c>
      <c r="F9">
        <f>'Задание 1'!A21</f>
        <v>11</v>
      </c>
      <c r="G9">
        <f>'Задание 1'!B21</f>
        <v>0.98931486584652495</v>
      </c>
      <c r="H9">
        <f>'Задание 1'!C21</f>
        <v>1.0016213600869914</v>
      </c>
      <c r="I9">
        <f>'Задание 1'!D21</f>
        <v>1.2814175358023956</v>
      </c>
      <c r="K9" s="5">
        <f t="shared" si="1"/>
        <v>11</v>
      </c>
      <c r="L9" s="5">
        <f>'Задание 2'!G38</f>
        <v>0.98866296296296308</v>
      </c>
      <c r="M9">
        <f>'Задание 2'!H38</f>
        <v>1.202085185185185</v>
      </c>
      <c r="N9" s="6">
        <f>'Задание 2'!I38</f>
        <v>1.2930851851851852</v>
      </c>
    </row>
    <row r="10" spans="1:18" x14ac:dyDescent="0.3">
      <c r="A10" s="5">
        <v>11</v>
      </c>
      <c r="B10">
        <v>0.96750000000000003</v>
      </c>
      <c r="C10">
        <v>1.2107000000000001</v>
      </c>
      <c r="D10" s="6">
        <v>1.2825</v>
      </c>
      <c r="F10">
        <f>'Задание 1'!A22</f>
        <v>11</v>
      </c>
      <c r="G10">
        <f>'Задание 1'!B22</f>
        <v>0.98931486584652495</v>
      </c>
      <c r="H10">
        <f>'Задание 1'!C22</f>
        <v>1.0016213600869914</v>
      </c>
      <c r="I10">
        <f>'Задание 1'!D22</f>
        <v>1.2814175358023956</v>
      </c>
      <c r="K10" s="5">
        <f t="shared" si="1"/>
        <v>11</v>
      </c>
      <c r="L10" s="5">
        <f>'Задание 2'!G39</f>
        <v>0.98866296296296308</v>
      </c>
      <c r="M10">
        <f>'Задание 2'!H39</f>
        <v>1.202085185185185</v>
      </c>
      <c r="N10" s="6">
        <f>'Задание 2'!I39</f>
        <v>1.2930851851851852</v>
      </c>
    </row>
    <row r="11" spans="1:18" x14ac:dyDescent="0.3">
      <c r="A11" s="7">
        <v>11</v>
      </c>
      <c r="B11" s="8">
        <v>1.0081</v>
      </c>
      <c r="C11" s="8">
        <v>1.1963999999999999</v>
      </c>
      <c r="D11" s="9">
        <v>1.2805</v>
      </c>
      <c r="F11">
        <f>'Задание 1'!A23</f>
        <v>11</v>
      </c>
      <c r="G11">
        <f>'Задание 1'!B23</f>
        <v>0.98931486584652495</v>
      </c>
      <c r="H11">
        <f>'Задание 1'!C23</f>
        <v>1.0016213600869914</v>
      </c>
      <c r="I11">
        <f>'Задание 1'!D23</f>
        <v>1.2814175358023956</v>
      </c>
      <c r="K11" s="7">
        <f t="shared" si="1"/>
        <v>11</v>
      </c>
      <c r="L11" s="7">
        <f>'Задание 2'!G40</f>
        <v>0.98866296296296308</v>
      </c>
      <c r="M11" s="8">
        <f>'Задание 2'!H40</f>
        <v>1.202085185185185</v>
      </c>
      <c r="N11" s="9">
        <f>'Задание 2'!I40</f>
        <v>1.2930851851851852</v>
      </c>
    </row>
    <row r="13" spans="1:18" x14ac:dyDescent="0.3">
      <c r="F13" t="s">
        <v>120</v>
      </c>
      <c r="K13" t="s">
        <v>121</v>
      </c>
    </row>
    <row r="14" spans="1:18" x14ac:dyDescent="0.3">
      <c r="F14" s="2" t="s">
        <v>0</v>
      </c>
      <c r="G14" s="3">
        <f>G2</f>
        <v>4.0000000000000001E-3</v>
      </c>
      <c r="H14" s="15">
        <f t="shared" ref="H14:I14" si="4">H2</f>
        <v>4.7000000000000002E-3</v>
      </c>
      <c r="I14" s="4">
        <f t="shared" si="4"/>
        <v>0.09</v>
      </c>
      <c r="K14" s="2" t="s">
        <v>0</v>
      </c>
      <c r="L14" s="3">
        <f>L2</f>
        <v>4.0000000000000001E-3</v>
      </c>
      <c r="M14" s="15">
        <f t="shared" ref="M14:N14" si="5">M2</f>
        <v>4.7000000000000002E-3</v>
      </c>
      <c r="N14" s="4">
        <f t="shared" si="5"/>
        <v>0.09</v>
      </c>
    </row>
    <row r="15" spans="1:18" x14ac:dyDescent="0.3">
      <c r="F15" s="5">
        <f>F3</f>
        <v>1</v>
      </c>
      <c r="G15" s="2">
        <f>B3-G3</f>
        <v>3.0753439127818583E-3</v>
      </c>
      <c r="H15" s="15">
        <f t="shared" ref="H15:I23" si="6">C3-H3</f>
        <v>8.4059460845151701E-2</v>
      </c>
      <c r="I15" s="4">
        <f t="shared" si="6"/>
        <v>-1.4768435169303151E-2</v>
      </c>
      <c r="K15" s="5">
        <f t="shared" ref="K15" si="7">K3</f>
        <v>1</v>
      </c>
      <c r="L15" s="2">
        <f>B3-L3</f>
        <v>1.0103703703703615E-2</v>
      </c>
      <c r="M15" s="15">
        <f t="shared" ref="M15:N15" si="8">C3-M3</f>
        <v>-3.1851851851851687E-2</v>
      </c>
      <c r="N15" s="4">
        <f t="shared" si="8"/>
        <v>-4.7851851851852256E-3</v>
      </c>
    </row>
    <row r="16" spans="1:18" x14ac:dyDescent="0.3">
      <c r="F16" s="5">
        <f t="shared" ref="F16:F23" si="9">F4</f>
        <v>1</v>
      </c>
      <c r="G16" s="5">
        <f t="shared" ref="G16:G23" si="10">B4-G4</f>
        <v>-5.1246560872181268E-3</v>
      </c>
      <c r="H16" s="16">
        <f t="shared" si="6"/>
        <v>0.12395946084515175</v>
      </c>
      <c r="I16" s="6">
        <f t="shared" si="6"/>
        <v>-1.5468435169303185E-2</v>
      </c>
      <c r="K16" s="5">
        <f t="shared" ref="K16" si="11">K4</f>
        <v>1</v>
      </c>
      <c r="L16" s="5">
        <f t="shared" ref="L16:L23" si="12">B4-L4</f>
        <v>1.9037037037036297E-3</v>
      </c>
      <c r="M16" s="16">
        <f t="shared" ref="M16:M23" si="13">C4-M4</f>
        <v>8.0481481481483597E-3</v>
      </c>
      <c r="N16" s="6">
        <f t="shared" ref="N16:N23" si="14">D4-N4</f>
        <v>-5.4851851851852595E-3</v>
      </c>
    </row>
    <row r="17" spans="1:14" x14ac:dyDescent="0.3">
      <c r="F17" s="5">
        <f t="shared" si="9"/>
        <v>1</v>
      </c>
      <c r="G17" s="5">
        <f t="shared" si="10"/>
        <v>8.2753439127818407E-3</v>
      </c>
      <c r="H17" s="16">
        <f t="shared" si="6"/>
        <v>9.0459460845151662E-2</v>
      </c>
      <c r="I17" s="6">
        <f t="shared" si="6"/>
        <v>2.2231564830696882E-2</v>
      </c>
      <c r="K17" s="5">
        <f t="shared" ref="K17" si="15">K5</f>
        <v>1</v>
      </c>
      <c r="L17" s="5">
        <f t="shared" si="12"/>
        <v>1.5303703703703597E-2</v>
      </c>
      <c r="M17" s="16">
        <f t="shared" si="13"/>
        <v>-2.5451851851851726E-2</v>
      </c>
      <c r="N17" s="6">
        <f t="shared" si="14"/>
        <v>3.2214814814814807E-2</v>
      </c>
    </row>
    <row r="18" spans="1:14" x14ac:dyDescent="0.3">
      <c r="F18" s="2">
        <f t="shared" si="9"/>
        <v>6</v>
      </c>
      <c r="G18" s="2">
        <f t="shared" si="10"/>
        <v>-6.277583567171674E-3</v>
      </c>
      <c r="H18" s="15">
        <f t="shared" si="6"/>
        <v>0.20844001289852088</v>
      </c>
      <c r="I18" s="4">
        <f t="shared" si="6"/>
        <v>-7.5635747862743408E-3</v>
      </c>
      <c r="K18" s="2">
        <f t="shared" ref="K18" si="16">K6</f>
        <v>6</v>
      </c>
      <c r="L18" s="2">
        <f t="shared" si="12"/>
        <v>-2.0940740740740815E-2</v>
      </c>
      <c r="M18" s="15">
        <f t="shared" si="13"/>
        <v>3.287037037037055E-2</v>
      </c>
      <c r="N18" s="4">
        <f t="shared" si="14"/>
        <v>-2.9629629629623899E-4</v>
      </c>
    </row>
    <row r="19" spans="1:14" x14ac:dyDescent="0.3">
      <c r="F19" s="5">
        <f t="shared" si="9"/>
        <v>6</v>
      </c>
      <c r="G19" s="5">
        <f t="shared" si="10"/>
        <v>1.6422416432828379E-2</v>
      </c>
      <c r="H19" s="16">
        <f t="shared" si="6"/>
        <v>0.16364001289852093</v>
      </c>
      <c r="I19" s="6">
        <f t="shared" si="6"/>
        <v>7.9364252137257285E-3</v>
      </c>
      <c r="K19" s="5">
        <f t="shared" ref="K19" si="17">K7</f>
        <v>6</v>
      </c>
      <c r="L19" s="5">
        <f t="shared" si="12"/>
        <v>1.7592592592592382E-3</v>
      </c>
      <c r="M19" s="16">
        <f t="shared" si="13"/>
        <v>-1.1929629629629401E-2</v>
      </c>
      <c r="N19" s="6">
        <f t="shared" si="14"/>
        <v>1.520370370370383E-2</v>
      </c>
    </row>
    <row r="20" spans="1:14" x14ac:dyDescent="0.3">
      <c r="F20" s="7">
        <f t="shared" si="9"/>
        <v>6</v>
      </c>
      <c r="G20" s="7">
        <f t="shared" si="10"/>
        <v>1.6522416432828368E-2</v>
      </c>
      <c r="H20" s="17">
        <f t="shared" si="6"/>
        <v>0.17854001289852084</v>
      </c>
      <c r="I20" s="9">
        <f t="shared" si="6"/>
        <v>-2.8763574786274448E-2</v>
      </c>
      <c r="K20" s="7">
        <f t="shared" ref="K20" si="18">K8</f>
        <v>6</v>
      </c>
      <c r="L20" s="7">
        <f t="shared" si="12"/>
        <v>1.8592592592592272E-3</v>
      </c>
      <c r="M20" s="17">
        <f t="shared" si="13"/>
        <v>2.970370370370512E-3</v>
      </c>
      <c r="N20" s="9">
        <f t="shared" si="14"/>
        <v>-2.1496296296296347E-2</v>
      </c>
    </row>
    <row r="21" spans="1:14" x14ac:dyDescent="0.3">
      <c r="F21" s="5">
        <f t="shared" si="9"/>
        <v>11</v>
      </c>
      <c r="G21" s="5">
        <f t="shared" si="10"/>
        <v>-8.9148658465248998E-3</v>
      </c>
      <c r="H21" s="16">
        <f t="shared" si="6"/>
        <v>0.22287863991300849</v>
      </c>
      <c r="I21" s="6">
        <f t="shared" si="6"/>
        <v>1.9482464197604354E-2</v>
      </c>
      <c r="K21" s="5">
        <f t="shared" ref="K21" si="19">K9</f>
        <v>11</v>
      </c>
      <c r="L21" s="5">
        <f t="shared" si="12"/>
        <v>-8.2629629629630275E-3</v>
      </c>
      <c r="M21" s="16">
        <f t="shared" si="13"/>
        <v>2.2414814814814887E-2</v>
      </c>
      <c r="N21" s="6">
        <f t="shared" si="14"/>
        <v>7.814814814814719E-3</v>
      </c>
    </row>
    <row r="22" spans="1:14" x14ac:dyDescent="0.3">
      <c r="F22" s="5">
        <f t="shared" si="9"/>
        <v>11</v>
      </c>
      <c r="G22" s="5">
        <f t="shared" si="10"/>
        <v>-2.1814865846524922E-2</v>
      </c>
      <c r="H22" s="16">
        <f t="shared" si="6"/>
        <v>0.20907863991300868</v>
      </c>
      <c r="I22" s="6">
        <f t="shared" si="6"/>
        <v>1.0824641976043825E-3</v>
      </c>
      <c r="K22" s="5">
        <f t="shared" ref="K22" si="20">K10</f>
        <v>11</v>
      </c>
      <c r="L22" s="5">
        <f t="shared" si="12"/>
        <v>-2.116296296296305E-2</v>
      </c>
      <c r="M22" s="16">
        <f t="shared" si="13"/>
        <v>8.6148148148150749E-3</v>
      </c>
      <c r="N22" s="6">
        <f t="shared" si="14"/>
        <v>-1.0585185185185253E-2</v>
      </c>
    </row>
    <row r="23" spans="1:14" x14ac:dyDescent="0.3">
      <c r="F23" s="7">
        <f t="shared" si="9"/>
        <v>11</v>
      </c>
      <c r="G23" s="7">
        <f t="shared" si="10"/>
        <v>1.8785134153475047E-2</v>
      </c>
      <c r="H23" s="17">
        <f t="shared" si="6"/>
        <v>0.19477863991300848</v>
      </c>
      <c r="I23" s="9">
        <f t="shared" si="6"/>
        <v>-9.1753580239561927E-4</v>
      </c>
      <c r="K23" s="7">
        <f t="shared" ref="K23" si="21">K11</f>
        <v>11</v>
      </c>
      <c r="L23" s="7">
        <f t="shared" si="12"/>
        <v>1.9437037037036919E-2</v>
      </c>
      <c r="M23" s="17">
        <f t="shared" si="13"/>
        <v>-5.6851851851851265E-3</v>
      </c>
      <c r="N23" s="9">
        <f t="shared" si="14"/>
        <v>-1.2585185185185255E-2</v>
      </c>
    </row>
    <row r="25" spans="1:14" x14ac:dyDescent="0.3">
      <c r="G25">
        <f>SUMSQ(G15:I23)/COUNT(G15:I23)</f>
        <v>9.9229424962164609E-3</v>
      </c>
      <c r="L25">
        <f>SUMSQ(L15:N23)/COUNT(L15:N23)</f>
        <v>2.7267445816186574E-4</v>
      </c>
    </row>
    <row r="29" spans="1:14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1" spans="1:14" x14ac:dyDescent="0.3">
      <c r="A31" t="s">
        <v>122</v>
      </c>
      <c r="F31" t="s">
        <v>117</v>
      </c>
      <c r="K31" t="s">
        <v>118</v>
      </c>
    </row>
    <row r="32" spans="1:14" x14ac:dyDescent="0.3">
      <c r="A32" s="2" t="s">
        <v>0</v>
      </c>
      <c r="B32" s="3">
        <v>4.0000000000000001E-3</v>
      </c>
      <c r="C32" s="3">
        <v>4.7000000000000002E-3</v>
      </c>
      <c r="D32" s="4">
        <v>0.09</v>
      </c>
      <c r="F32" s="2" t="s">
        <v>0</v>
      </c>
      <c r="G32" s="3">
        <f t="shared" ref="G32:I33" si="22">G2</f>
        <v>4.0000000000000001E-3</v>
      </c>
      <c r="H32" s="3">
        <f t="shared" si="22"/>
        <v>4.7000000000000002E-3</v>
      </c>
      <c r="I32" s="4">
        <f t="shared" si="22"/>
        <v>0.09</v>
      </c>
      <c r="K32" s="2" t="s">
        <v>0</v>
      </c>
      <c r="L32" s="3">
        <f t="shared" ref="L32:N33" si="23">L2</f>
        <v>4.0000000000000001E-3</v>
      </c>
      <c r="M32" s="3">
        <f t="shared" si="23"/>
        <v>4.7000000000000002E-3</v>
      </c>
      <c r="N32" s="4">
        <f t="shared" si="23"/>
        <v>0.09</v>
      </c>
    </row>
    <row r="33" spans="1:14" x14ac:dyDescent="0.3">
      <c r="A33" s="29">
        <v>1</v>
      </c>
      <c r="B33" s="2">
        <f>AVERAGE(B3:B5)</f>
        <v>0.69640000000000002</v>
      </c>
      <c r="C33" s="2">
        <f>AVERAGE(C3:C5)</f>
        <v>0.79963333333333342</v>
      </c>
      <c r="D33" s="15">
        <f>AVERAGE(D3:D5)</f>
        <v>0.82969999999999999</v>
      </c>
      <c r="F33" s="5">
        <f>F3</f>
        <v>1</v>
      </c>
      <c r="G33" s="2">
        <f t="shared" si="22"/>
        <v>0.69432465608721816</v>
      </c>
      <c r="H33" s="3">
        <f t="shared" si="22"/>
        <v>0.70014053915484831</v>
      </c>
      <c r="I33" s="4">
        <f t="shared" si="22"/>
        <v>0.83236843516930314</v>
      </c>
      <c r="K33" s="5">
        <f>K3</f>
        <v>1</v>
      </c>
      <c r="L33" s="2">
        <f t="shared" si="23"/>
        <v>0.68729629629629641</v>
      </c>
      <c r="M33" s="3">
        <f t="shared" si="23"/>
        <v>0.8160518518518517</v>
      </c>
      <c r="N33" s="4">
        <f t="shared" si="23"/>
        <v>0.82238518518518522</v>
      </c>
    </row>
    <row r="34" spans="1:14" x14ac:dyDescent="0.3">
      <c r="A34" s="16">
        <v>6</v>
      </c>
      <c r="B34" s="5">
        <f>AVERAGE(B6:B8)</f>
        <v>0.90166666666666673</v>
      </c>
      <c r="C34" s="5">
        <f>AVERAGE(C6:C8)</f>
        <v>1.0865</v>
      </c>
      <c r="D34" s="16">
        <f>AVERAGE(D6:D8)</f>
        <v>1.125</v>
      </c>
      <c r="F34" s="5">
        <f>F6</f>
        <v>6</v>
      </c>
      <c r="G34" s="5">
        <f>G6</f>
        <v>0.89277758356717163</v>
      </c>
      <c r="H34">
        <f>H6</f>
        <v>0.90295998710147907</v>
      </c>
      <c r="I34" s="6">
        <f>I6</f>
        <v>1.1344635747862744</v>
      </c>
      <c r="K34" s="5">
        <f>K6</f>
        <v>6</v>
      </c>
      <c r="L34" s="5">
        <f>L6</f>
        <v>0.90744074074074077</v>
      </c>
      <c r="M34">
        <f>M6</f>
        <v>1.0785296296296294</v>
      </c>
      <c r="N34" s="6">
        <f>N6</f>
        <v>1.1271962962962963</v>
      </c>
    </row>
    <row r="35" spans="1:14" x14ac:dyDescent="0.3">
      <c r="A35" s="17">
        <v>11</v>
      </c>
      <c r="B35" s="7">
        <f>AVERAGE(B9:B11)</f>
        <v>0.98533333333333351</v>
      </c>
      <c r="C35" s="7">
        <f>AVERAGE(C9:C11)</f>
        <v>1.2105333333333332</v>
      </c>
      <c r="D35" s="17">
        <f>AVERAGE(D9:D11)</f>
        <v>1.2879666666666667</v>
      </c>
      <c r="F35" s="7">
        <f>F9</f>
        <v>11</v>
      </c>
      <c r="G35" s="7">
        <f>G9</f>
        <v>0.98931486584652495</v>
      </c>
      <c r="H35" s="8">
        <f>H9</f>
        <v>1.0016213600869914</v>
      </c>
      <c r="I35" s="9">
        <f>I9</f>
        <v>1.2814175358023956</v>
      </c>
      <c r="K35" s="7">
        <f>K9</f>
        <v>11</v>
      </c>
      <c r="L35" s="7">
        <f>L9</f>
        <v>0.98866296296296308</v>
      </c>
      <c r="M35" s="8">
        <f>M9</f>
        <v>1.202085185185185</v>
      </c>
      <c r="N35" s="9">
        <f>N9</f>
        <v>1.2930851851851852</v>
      </c>
    </row>
    <row r="37" spans="1:14" x14ac:dyDescent="0.3">
      <c r="F37" t="s">
        <v>120</v>
      </c>
      <c r="K37" t="s">
        <v>121</v>
      </c>
    </row>
    <row r="38" spans="1:14" x14ac:dyDescent="0.3">
      <c r="F38" s="2" t="s">
        <v>0</v>
      </c>
      <c r="G38" s="3">
        <f>G32</f>
        <v>4.0000000000000001E-3</v>
      </c>
      <c r="H38" s="3">
        <f t="shared" ref="H38:I38" si="24">H32</f>
        <v>4.7000000000000002E-3</v>
      </c>
      <c r="I38" s="4">
        <f t="shared" si="24"/>
        <v>0.09</v>
      </c>
      <c r="K38" s="2" t="str">
        <f t="shared" ref="K38:N38" si="25">K32</f>
        <v>pr/re</v>
      </c>
      <c r="L38" s="3">
        <f t="shared" si="25"/>
        <v>4.0000000000000001E-3</v>
      </c>
      <c r="M38" s="3">
        <f t="shared" si="25"/>
        <v>4.7000000000000002E-3</v>
      </c>
      <c r="N38" s="4">
        <f t="shared" si="25"/>
        <v>0.09</v>
      </c>
    </row>
    <row r="39" spans="1:14" x14ac:dyDescent="0.3">
      <c r="F39" s="5">
        <f t="shared" ref="F39" si="26">F33</f>
        <v>1</v>
      </c>
      <c r="G39" s="2">
        <f>B33-G33</f>
        <v>2.0753439127818574E-3</v>
      </c>
      <c r="H39" s="3">
        <f t="shared" ref="H39:I39" si="27">C33-H33</f>
        <v>9.9492794178485111E-2</v>
      </c>
      <c r="I39" s="4">
        <f t="shared" si="27"/>
        <v>-2.6684351693031516E-3</v>
      </c>
      <c r="K39" s="5">
        <f t="shared" ref="K39" si="28">K33</f>
        <v>1</v>
      </c>
      <c r="L39" s="2">
        <f>B33-L33</f>
        <v>9.1037037037036139E-3</v>
      </c>
      <c r="M39" s="2">
        <f t="shared" ref="M39:N39" si="29">C33-M33</f>
        <v>-1.6418518518518277E-2</v>
      </c>
      <c r="N39" s="2">
        <f t="shared" si="29"/>
        <v>7.314814814814774E-3</v>
      </c>
    </row>
    <row r="40" spans="1:14" x14ac:dyDescent="0.3">
      <c r="F40" s="5">
        <f t="shared" ref="F40" si="30">F34</f>
        <v>6</v>
      </c>
      <c r="G40" s="5">
        <f t="shared" ref="G40:G41" si="31">B34-G34</f>
        <v>8.8890830994950987E-3</v>
      </c>
      <c r="H40">
        <f t="shared" ref="H40:H41" si="32">C34-H34</f>
        <v>0.18354001289852095</v>
      </c>
      <c r="I40" s="6">
        <f t="shared" ref="I40:I41" si="33">D34-I34</f>
        <v>-9.4635747862743536E-3</v>
      </c>
      <c r="K40" s="5">
        <f t="shared" ref="K40" si="34">K34</f>
        <v>6</v>
      </c>
      <c r="L40" s="2">
        <f t="shared" ref="L40:L41" si="35">B34-L34</f>
        <v>-5.7740740740740426E-3</v>
      </c>
      <c r="M40" s="2">
        <f t="shared" ref="M40:M41" si="36">C34-M34</f>
        <v>7.9703703703706275E-3</v>
      </c>
      <c r="N40" s="2">
        <f t="shared" ref="N40:N41" si="37">D34-N34</f>
        <v>-2.1962962962962518E-3</v>
      </c>
    </row>
    <row r="41" spans="1:14" x14ac:dyDescent="0.3">
      <c r="F41" s="7">
        <f t="shared" ref="F41" si="38">F35</f>
        <v>11</v>
      </c>
      <c r="G41" s="7">
        <f t="shared" si="31"/>
        <v>-3.9815325131914436E-3</v>
      </c>
      <c r="H41" s="8">
        <f t="shared" si="32"/>
        <v>0.20891197324634181</v>
      </c>
      <c r="I41" s="9">
        <f t="shared" si="33"/>
        <v>6.5491308642711132E-3</v>
      </c>
      <c r="K41" s="7">
        <f t="shared" ref="K41" si="39">K35</f>
        <v>11</v>
      </c>
      <c r="L41" s="2">
        <f t="shared" si="35"/>
        <v>-3.3296296296295713E-3</v>
      </c>
      <c r="M41" s="2">
        <f t="shared" si="36"/>
        <v>8.4481481481482046E-3</v>
      </c>
      <c r="N41" s="2">
        <f t="shared" si="37"/>
        <v>-5.1185185185185222E-3</v>
      </c>
    </row>
    <row r="43" spans="1:14" x14ac:dyDescent="0.3">
      <c r="G43">
        <f>SUMSQ(G39:I41)/COUNT(G39:I41)</f>
        <v>9.7187457060930061E-3</v>
      </c>
      <c r="L43">
        <f>SUMSQ(L39:N41)/COUNT(L39:N41)</f>
        <v>6.8477668038408122E-5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старое</vt:lpstr>
      <vt:lpstr>(нет (-_-) )Задание 1</vt:lpstr>
      <vt:lpstr>(снова нет) Задание 1</vt:lpstr>
      <vt:lpstr>(неееет) Задание 2</vt:lpstr>
      <vt:lpstr>Задание 1</vt:lpstr>
      <vt:lpstr>Задание 2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Равиль Султанов</dc:creator>
  <cp:lastModifiedBy>Михаил Акмурзин</cp:lastModifiedBy>
  <dcterms:created xsi:type="dcterms:W3CDTF">2015-06-05T18:19:34Z</dcterms:created>
  <dcterms:modified xsi:type="dcterms:W3CDTF">2025-04-06T10:05:41Z</dcterms:modified>
</cp:coreProperties>
</file>