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MIPT\Labs\1.2.5\"/>
    </mc:Choice>
  </mc:AlternateContent>
  <xr:revisionPtr revIDLastSave="0" documentId="13_ncr:1_{29FD89E4-E483-4F80-88BE-591C2173EB90}" xr6:coauthVersionLast="45" xr6:coauthVersionMax="45" xr10:uidLastSave="{00000000-0000-0000-0000-000000000000}"/>
  <bookViews>
    <workbookView xWindow="-98" yWindow="-98" windowWidth="19095" windowHeight="12075" xr2:uid="{00000000-000D-0000-FFFF-FFFF00000000}"/>
  </bookViews>
  <sheets>
    <sheet name="Главная таблица" sheetId="1" r:id="rId1"/>
    <sheet name="Момент инерции ротора" sheetId="2" r:id="rId2"/>
    <sheet name="Итоги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2" i="1" l="1"/>
  <c r="AC19" i="1"/>
  <c r="AC16" i="1"/>
  <c r="AE37" i="1" s="1"/>
  <c r="G9" i="2"/>
  <c r="F2" i="2"/>
  <c r="F5" i="2"/>
  <c r="B18" i="1"/>
  <c r="B15" i="1"/>
  <c r="B12" i="1"/>
  <c r="B9" i="1"/>
  <c r="B6" i="1"/>
  <c r="AK3" i="1"/>
  <c r="AJ27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8" i="1"/>
  <c r="AJ29" i="1"/>
  <c r="AJ3" i="1"/>
  <c r="AI3" i="1"/>
  <c r="AF37" i="1" l="1"/>
  <c r="Q38" i="1"/>
  <c r="N38" i="1"/>
  <c r="O38" i="1"/>
  <c r="P38" i="1"/>
  <c r="R38" i="1"/>
  <c r="S38" i="1"/>
  <c r="T38" i="1"/>
  <c r="U38" i="1"/>
  <c r="M38" i="1"/>
  <c r="P42" i="1"/>
  <c r="O42" i="1"/>
  <c r="N42" i="1"/>
  <c r="M42" i="1"/>
  <c r="L13" i="1"/>
  <c r="L12" i="1"/>
  <c r="L8" i="1"/>
  <c r="L3" i="1"/>
  <c r="L17" i="1"/>
  <c r="L16" i="1"/>
  <c r="L14" i="1"/>
  <c r="L11" i="1"/>
  <c r="L10" i="1"/>
  <c r="L9" i="1"/>
  <c r="L7" i="1"/>
  <c r="L6" i="1"/>
  <c r="L5" i="1"/>
  <c r="L4" i="1"/>
  <c r="L15" i="1"/>
  <c r="L18" i="1"/>
  <c r="L21" i="1"/>
  <c r="U43" i="1"/>
  <c r="T43" i="1"/>
  <c r="S43" i="1"/>
  <c r="R43" i="1"/>
  <c r="Q43" i="1"/>
  <c r="P43" i="1"/>
  <c r="O43" i="1"/>
  <c r="N43" i="1"/>
  <c r="M43" i="1"/>
  <c r="K6" i="1"/>
  <c r="K9" i="1"/>
  <c r="K12" i="1"/>
  <c r="K15" i="1"/>
  <c r="K18" i="1"/>
  <c r="K21" i="1"/>
  <c r="K24" i="1"/>
  <c r="K27" i="1"/>
  <c r="K3" i="1"/>
  <c r="G11" i="1"/>
  <c r="G14" i="1"/>
  <c r="C5" i="3"/>
  <c r="C6" i="3" s="1"/>
  <c r="C4" i="3"/>
  <c r="L3" i="3"/>
  <c r="L4" i="3" s="1"/>
  <c r="L5" i="3" s="1"/>
  <c r="L6" i="3" s="1"/>
  <c r="L7" i="3" s="1"/>
  <c r="L8" i="3" s="1"/>
  <c r="L9" i="3" s="1"/>
  <c r="L10" i="3" s="1"/>
  <c r="E3" i="3"/>
  <c r="D3" i="3"/>
  <c r="D4" i="3" s="1"/>
  <c r="D5" i="3" s="1"/>
  <c r="D6" i="3" s="1"/>
  <c r="D7" i="3" s="1"/>
  <c r="D8" i="3" s="1"/>
  <c r="D9" i="3" s="1"/>
  <c r="D10" i="3" s="1"/>
  <c r="C3" i="3"/>
  <c r="E5" i="2"/>
  <c r="E2" i="2"/>
  <c r="B2" i="2"/>
  <c r="F57" i="1"/>
  <c r="F58" i="1" s="1"/>
  <c r="F50" i="1"/>
  <c r="F51" i="1" s="1"/>
  <c r="G51" i="1" s="1"/>
  <c r="F39" i="1"/>
  <c r="F41" i="1" s="1"/>
  <c r="G29" i="1"/>
  <c r="G28" i="1"/>
  <c r="B28" i="1"/>
  <c r="B29" i="1" s="1"/>
  <c r="F27" i="1"/>
  <c r="G27" i="1" s="1"/>
  <c r="G26" i="1"/>
  <c r="G25" i="1"/>
  <c r="B25" i="1"/>
  <c r="B26" i="1" s="1"/>
  <c r="F24" i="1"/>
  <c r="G24" i="1" s="1"/>
  <c r="F9" i="3" s="1"/>
  <c r="G23" i="1"/>
  <c r="G22" i="1"/>
  <c r="B22" i="1"/>
  <c r="B23" i="1" s="1"/>
  <c r="F21" i="1"/>
  <c r="G21" i="1" s="1"/>
  <c r="G20" i="1"/>
  <c r="G19" i="1"/>
  <c r="F18" i="1"/>
  <c r="G18" i="1" s="1"/>
  <c r="B19" i="1"/>
  <c r="G17" i="1"/>
  <c r="G16" i="1"/>
  <c r="F15" i="1"/>
  <c r="G15" i="1" s="1"/>
  <c r="B16" i="1"/>
  <c r="F13" i="1"/>
  <c r="G13" i="1" s="1"/>
  <c r="F12" i="1"/>
  <c r="G12" i="1" s="1"/>
  <c r="H12" i="1" s="1"/>
  <c r="F10" i="1"/>
  <c r="G10" i="1" s="1"/>
  <c r="F9" i="1"/>
  <c r="G9" i="1" s="1"/>
  <c r="B10" i="1"/>
  <c r="B11" i="1" s="1"/>
  <c r="F8" i="1"/>
  <c r="G8" i="1" s="1"/>
  <c r="F7" i="1"/>
  <c r="G7" i="1" s="1"/>
  <c r="F6" i="1"/>
  <c r="G6" i="1" s="1"/>
  <c r="H6" i="1" s="1"/>
  <c r="B7" i="1"/>
  <c r="G5" i="1"/>
  <c r="B5" i="1"/>
  <c r="G4" i="1"/>
  <c r="C4" i="1"/>
  <c r="C5" i="1" s="1"/>
  <c r="C6" i="1" s="1"/>
  <c r="B4" i="1"/>
  <c r="F3" i="1"/>
  <c r="G3" i="1" s="1"/>
  <c r="E3" i="1"/>
  <c r="I3" i="1" s="1"/>
  <c r="E34" i="1"/>
  <c r="E35" i="1" s="1"/>
  <c r="E36" i="1" s="1"/>
  <c r="H27" i="1" l="1"/>
  <c r="H21" i="1"/>
  <c r="H9" i="1"/>
  <c r="I6" i="1"/>
  <c r="H15" i="1"/>
  <c r="H18" i="1"/>
  <c r="F7" i="3"/>
  <c r="F2" i="3"/>
  <c r="G2" i="3" s="1"/>
  <c r="H2" i="3" s="1"/>
  <c r="H3" i="1"/>
  <c r="J3" i="1"/>
  <c r="H24" i="1"/>
  <c r="F5" i="3"/>
  <c r="F4" i="3"/>
  <c r="G4" i="3" s="1"/>
  <c r="H4" i="3" s="1"/>
  <c r="F3" i="3"/>
  <c r="G3" i="3" s="1"/>
  <c r="H3" i="3" s="1"/>
  <c r="F6" i="3"/>
  <c r="F8" i="3"/>
  <c r="F10" i="3"/>
  <c r="B17" i="1"/>
  <c r="J5" i="1"/>
  <c r="E37" i="1"/>
  <c r="F43" i="1"/>
  <c r="G41" i="1"/>
  <c r="B8" i="1"/>
  <c r="B20" i="1"/>
  <c r="AE3" i="1" s="1"/>
  <c r="C7" i="3"/>
  <c r="J4" i="1"/>
  <c r="B13" i="1"/>
  <c r="B14" i="1" s="1"/>
  <c r="C7" i="1"/>
  <c r="E4" i="3"/>
  <c r="E5" i="3" s="1"/>
  <c r="E6" i="3" s="1"/>
  <c r="E7" i="3" s="1"/>
  <c r="E8" i="3" s="1"/>
  <c r="E9" i="3" s="1"/>
  <c r="E10" i="3" s="1"/>
  <c r="E4" i="1"/>
  <c r="G49" i="1"/>
  <c r="AF8" i="1" l="1"/>
  <c r="AF16" i="1"/>
  <c r="AF24" i="1"/>
  <c r="AF9" i="1"/>
  <c r="AF17" i="1"/>
  <c r="AF25" i="1"/>
  <c r="AF18" i="1"/>
  <c r="AF26" i="1"/>
  <c r="AF19" i="1"/>
  <c r="AF27" i="1"/>
  <c r="AF12" i="1"/>
  <c r="AF20" i="1"/>
  <c r="AF28" i="1"/>
  <c r="AF5" i="1"/>
  <c r="AF13" i="1"/>
  <c r="AF21" i="1"/>
  <c r="AF29" i="1"/>
  <c r="AF6" i="1"/>
  <c r="AF14" i="1"/>
  <c r="AF22" i="1"/>
  <c r="AF3" i="1"/>
  <c r="AF7" i="1"/>
  <c r="AF15" i="1"/>
  <c r="AF23" i="1"/>
  <c r="AF10" i="1"/>
  <c r="AF11" i="1"/>
  <c r="AF4" i="1"/>
  <c r="G5" i="3"/>
  <c r="H5" i="3" s="1"/>
  <c r="G6" i="3"/>
  <c r="H6" i="3" s="1"/>
  <c r="I4" i="1"/>
  <c r="E5" i="1"/>
  <c r="E38" i="1"/>
  <c r="J6" i="1"/>
  <c r="C8" i="1"/>
  <c r="C8" i="3"/>
  <c r="G7" i="3"/>
  <c r="H7" i="3" s="1"/>
  <c r="AG3" i="1" l="1"/>
  <c r="E39" i="1"/>
  <c r="J7" i="1"/>
  <c r="G8" i="3"/>
  <c r="H8" i="3" s="1"/>
  <c r="C9" i="3"/>
  <c r="E6" i="1"/>
  <c r="E7" i="1" s="1"/>
  <c r="I5" i="1"/>
  <c r="C9" i="1"/>
  <c r="G9" i="3" l="1"/>
  <c r="H9" i="3" s="1"/>
  <c r="C10" i="3"/>
  <c r="G10" i="3" s="1"/>
  <c r="H10" i="3" s="1"/>
  <c r="E8" i="1"/>
  <c r="I7" i="1"/>
  <c r="C10" i="1"/>
  <c r="C11" i="1" s="1"/>
  <c r="E40" i="1"/>
  <c r="J8" i="1"/>
  <c r="E9" i="1" l="1"/>
  <c r="I9" i="1" s="1"/>
  <c r="I8" i="1"/>
  <c r="E41" i="1"/>
  <c r="E42" i="1" s="1"/>
  <c r="J11" i="1" s="1"/>
  <c r="J9" i="1"/>
  <c r="J10" i="1" l="1"/>
  <c r="E10" i="1"/>
  <c r="E11" i="1" s="1"/>
  <c r="I11" i="1" s="1"/>
  <c r="C12" i="1"/>
  <c r="C13" i="1" l="1"/>
  <c r="C14" i="1" s="1"/>
  <c r="I10" i="1"/>
  <c r="E43" i="1"/>
  <c r="E44" i="1" l="1"/>
  <c r="E45" i="1" s="1"/>
  <c r="J14" i="1" s="1"/>
  <c r="J12" i="1"/>
  <c r="E12" i="1"/>
  <c r="C15" i="1" l="1"/>
  <c r="E13" i="1"/>
  <c r="E14" i="1" s="1"/>
  <c r="I14" i="1" s="1"/>
  <c r="I12" i="1"/>
  <c r="J13" i="1"/>
  <c r="E46" i="1" l="1"/>
  <c r="I13" i="1"/>
  <c r="C16" i="1"/>
  <c r="C17" i="1" l="1"/>
  <c r="E15" i="1"/>
  <c r="E47" i="1"/>
  <c r="J15" i="1"/>
  <c r="E16" i="1" l="1"/>
  <c r="I15" i="1"/>
  <c r="E48" i="1"/>
  <c r="J16" i="1"/>
  <c r="C18" i="1"/>
  <c r="C19" i="1" l="1"/>
  <c r="E49" i="1"/>
  <c r="J17" i="1"/>
  <c r="E17" i="1"/>
  <c r="I16" i="1"/>
  <c r="E18" i="1" l="1"/>
  <c r="I17" i="1"/>
  <c r="E50" i="1"/>
  <c r="J18" i="1"/>
  <c r="C20" i="1"/>
  <c r="C21" i="1" l="1"/>
  <c r="E51" i="1"/>
  <c r="J19" i="1"/>
  <c r="E19" i="1"/>
  <c r="I18" i="1"/>
  <c r="E20" i="1" l="1"/>
  <c r="I19" i="1"/>
  <c r="E52" i="1"/>
  <c r="J20" i="1"/>
  <c r="C22" i="1"/>
  <c r="J21" i="1" l="1"/>
  <c r="E53" i="1"/>
  <c r="C23" i="1"/>
  <c r="E21" i="1"/>
  <c r="I20" i="1"/>
  <c r="E22" i="1" l="1"/>
  <c r="I21" i="1"/>
  <c r="C24" i="1"/>
  <c r="E54" i="1"/>
  <c r="J22" i="1"/>
  <c r="C25" i="1" l="1"/>
  <c r="E55" i="1"/>
  <c r="J23" i="1"/>
  <c r="E23" i="1"/>
  <c r="I22" i="1"/>
  <c r="E24" i="1" l="1"/>
  <c r="I23" i="1"/>
  <c r="E56" i="1"/>
  <c r="J24" i="1"/>
  <c r="C26" i="1"/>
  <c r="E25" i="1" l="1"/>
  <c r="I24" i="1"/>
  <c r="E57" i="1"/>
  <c r="J25" i="1"/>
  <c r="C27" i="1"/>
  <c r="E58" i="1" l="1"/>
  <c r="J26" i="1"/>
  <c r="C28" i="1"/>
  <c r="E26" i="1"/>
  <c r="I25" i="1"/>
  <c r="E27" i="1" l="1"/>
  <c r="I26" i="1"/>
  <c r="C29" i="1"/>
  <c r="E59" i="1"/>
  <c r="J27" i="1"/>
  <c r="E60" i="1" l="1"/>
  <c r="J29" i="1" s="1"/>
  <c r="J28" i="1"/>
  <c r="E28" i="1"/>
  <c r="I27" i="1"/>
  <c r="E29" i="1" l="1"/>
  <c r="I29" i="1" s="1"/>
  <c r="I28" i="1"/>
</calcChain>
</file>

<file path=xl/sharedStrings.xml><?xml version="1.0" encoding="utf-8"?>
<sst xmlns="http://schemas.openxmlformats.org/spreadsheetml/2006/main" count="68" uniqueCount="60">
  <si>
    <t>№</t>
  </si>
  <si>
    <t>момент сил</t>
  </si>
  <si>
    <t>число оборотов груза</t>
  </si>
  <si>
    <t>угол/высота опускания</t>
  </si>
  <si>
    <t>время прецессии</t>
  </si>
  <si>
    <t>Скорость прецессии</t>
  </si>
  <si>
    <t>Скорость опускания</t>
  </si>
  <si>
    <t>Момент сил</t>
  </si>
  <si>
    <r>
      <t>m</t>
    </r>
    <r>
      <rPr>
        <sz val="6"/>
        <color theme="1"/>
        <rFont val="Calibri"/>
        <charset val="134"/>
        <scheme val="minor"/>
      </rPr>
      <t>гр</t>
    </r>
    <r>
      <rPr>
        <sz val="11"/>
        <color theme="1"/>
        <rFont val="Calibri"/>
        <charset val="134"/>
        <scheme val="minor"/>
      </rPr>
      <t>, грамм</t>
    </r>
  </si>
  <si>
    <t>l, мм</t>
  </si>
  <si>
    <t>L, мм</t>
  </si>
  <si>
    <t>N, шт</t>
  </si>
  <si>
    <t>α/2, радианы</t>
  </si>
  <si>
    <t>T, сек</t>
  </si>
  <si>
    <t>Ω, радиан/сек</t>
  </si>
  <si>
    <r>
      <t>υ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</rPr>
      <t>мм/сек</t>
    </r>
  </si>
  <si>
    <t xml:space="preserve">M, </t>
  </si>
  <si>
    <t>g</t>
  </si>
  <si>
    <t>pi</t>
  </si>
  <si>
    <t>L,</t>
  </si>
  <si>
    <t>a</t>
  </si>
  <si>
    <t>8,5 см от подложки</t>
  </si>
  <si>
    <t>mц,</t>
  </si>
  <si>
    <t>Rц,</t>
  </si>
  <si>
    <t>tц,</t>
  </si>
  <si>
    <t>Nц</t>
  </si>
  <si>
    <t>Tц</t>
  </si>
  <si>
    <t>Iц,</t>
  </si>
  <si>
    <t>mр,</t>
  </si>
  <si>
    <t>tр,</t>
  </si>
  <si>
    <t>Nр,</t>
  </si>
  <si>
    <t>Tр,</t>
  </si>
  <si>
    <t>Iр,</t>
  </si>
  <si>
    <t>ω</t>
  </si>
  <si>
    <r>
      <t>m</t>
    </r>
    <r>
      <rPr>
        <sz val="6"/>
        <color theme="1"/>
        <rFont val="Calibri"/>
        <charset val="134"/>
        <scheme val="minor"/>
      </rPr>
      <t>гр</t>
    </r>
    <r>
      <rPr>
        <sz val="11"/>
        <color theme="1"/>
        <rFont val="Calibri"/>
        <charset val="134"/>
        <scheme val="minor"/>
      </rPr>
      <t>,</t>
    </r>
  </si>
  <si>
    <t>I,</t>
  </si>
  <si>
    <t>Ω,</t>
  </si>
  <si>
    <t>υ,</t>
  </si>
  <si>
    <t>ω,</t>
  </si>
  <si>
    <r>
      <t>ω</t>
    </r>
    <r>
      <rPr>
        <sz val="6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,</t>
    </r>
  </si>
  <si>
    <t>Средняя скорость прец.</t>
  </si>
  <si>
    <t>Ωср, радиан/сек</t>
  </si>
  <si>
    <t>Ω</t>
  </si>
  <si>
    <t>dΩ</t>
  </si>
  <si>
    <t>dΩrnd</t>
  </si>
  <si>
    <t>dΩsyst</t>
  </si>
  <si>
    <t>Tср</t>
  </si>
  <si>
    <t>dOm</t>
  </si>
  <si>
    <t>dIo</t>
  </si>
  <si>
    <t>omeg</t>
  </si>
  <si>
    <t>msr</t>
  </si>
  <si>
    <t>osr</t>
  </si>
  <si>
    <t>dm</t>
  </si>
  <si>
    <t>do</t>
  </si>
  <si>
    <t>&lt;m&gt;</t>
  </si>
  <si>
    <t>&lt;0&gt;</t>
  </si>
  <si>
    <t>domeg</t>
  </si>
  <si>
    <t>dm/o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</si>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</sst>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9" xfId="0" applyBorder="1">
      <alignment vertical="center"/>
    </xf>
    <xf numFmtId="0" fontId="0" fillId="0" borderId="35" xfId="0" applyBorder="1">
      <alignment vertical="center"/>
    </xf>
    <xf numFmtId="0" fontId="0" fillId="0" borderId="40" xfId="0" applyBorder="1">
      <alignment vertical="center"/>
    </xf>
    <xf numFmtId="0" fontId="0" fillId="0" borderId="36" xfId="0" applyBorder="1">
      <alignment vertical="center"/>
    </xf>
    <xf numFmtId="0" fontId="0" fillId="0" borderId="41" xfId="0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Ω</a:t>
            </a:r>
            <a:r>
              <a:rPr lang="ru-RU"/>
              <a:t>(</a:t>
            </a:r>
            <a:r>
              <a:rPr lang="en-US"/>
              <a:t>M</a:t>
            </a:r>
            <a:r>
              <a:rPr lang="ru-RU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183971873206692E-2"/>
          <c:y val="1.1190972652827648E-2"/>
          <c:w val="0.92257810377194571"/>
          <c:h val="0.80909039716522102"/>
        </c:manualLayout>
      </c:layout>
      <c:scatterChart>
        <c:scatterStyle val="lineMarker"/>
        <c:varyColors val="0"/>
        <c:ser>
          <c:idx val="0"/>
          <c:order val="0"/>
          <c:tx>
            <c:v>ю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936582052100241E-2"/>
                  <c:y val="-0.14246668206754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'Главная таблица'!$G$3:$G$29</c:f>
              <c:numCache>
                <c:formatCode>General</c:formatCode>
                <c:ptCount val="27"/>
                <c:pt idx="0">
                  <c:v>0.21331172839506174</c:v>
                </c:pt>
                <c:pt idx="1">
                  <c:v>0.21265538461538461</c:v>
                </c:pt>
                <c:pt idx="2">
                  <c:v>0.21265538461538461</c:v>
                </c:pt>
                <c:pt idx="3">
                  <c:v>0.17032228915662651</c:v>
                </c:pt>
                <c:pt idx="4">
                  <c:v>0.17083685800604231</c:v>
                </c:pt>
                <c:pt idx="5">
                  <c:v>0.17399076923076925</c:v>
                </c:pt>
                <c:pt idx="6">
                  <c:v>0.13733333333333334</c:v>
                </c:pt>
                <c:pt idx="7">
                  <c:v>0.13733333333333334</c:v>
                </c:pt>
                <c:pt idx="8">
                  <c:v>0.13733333333333334</c:v>
                </c:pt>
                <c:pt idx="9">
                  <c:v>0.11219642857142857</c:v>
                </c:pt>
                <c:pt idx="10">
                  <c:v>0.11169777777777778</c:v>
                </c:pt>
                <c:pt idx="11">
                  <c:v>0.11106313131313132</c:v>
                </c:pt>
                <c:pt idx="12">
                  <c:v>8.9247159090909092E-2</c:v>
                </c:pt>
                <c:pt idx="13">
                  <c:v>8.9247159090909092E-2</c:v>
                </c:pt>
                <c:pt idx="14">
                  <c:v>8.9247159090909092E-2</c:v>
                </c:pt>
                <c:pt idx="15">
                  <c:v>7.2635838150289025E-2</c:v>
                </c:pt>
                <c:pt idx="16">
                  <c:v>7.2635838150289025E-2</c:v>
                </c:pt>
                <c:pt idx="17">
                  <c:v>7.2635838150289025E-2</c:v>
                </c:pt>
                <c:pt idx="18">
                  <c:v>5.8356037151702789E-2</c:v>
                </c:pt>
                <c:pt idx="19">
                  <c:v>5.8356037151702789E-2</c:v>
                </c:pt>
                <c:pt idx="20">
                  <c:v>5.8356037151702789E-2</c:v>
                </c:pt>
                <c:pt idx="21">
                  <c:v>4.771898734177215E-2</c:v>
                </c:pt>
                <c:pt idx="22">
                  <c:v>4.771898734177215E-2</c:v>
                </c:pt>
                <c:pt idx="23">
                  <c:v>4.771898734177215E-2</c:v>
                </c:pt>
                <c:pt idx="24">
                  <c:v>3.519887955182073E-2</c:v>
                </c:pt>
                <c:pt idx="25">
                  <c:v>3.519887955182073E-2</c:v>
                </c:pt>
                <c:pt idx="26">
                  <c:v>3.519887955182073E-2</c:v>
                </c:pt>
              </c:numCache>
            </c:numRef>
          </c:xVal>
          <c:yVal>
            <c:numRef>
              <c:f>'Главная таблица'!$B$3:$B$29</c:f>
              <c:numCache>
                <c:formatCode>General</c:formatCode>
                <c:ptCount val="27"/>
                <c:pt idx="0">
                  <c:v>0.34200000000000003</c:v>
                </c:pt>
                <c:pt idx="1">
                  <c:v>0.34200000000000003</c:v>
                </c:pt>
                <c:pt idx="2">
                  <c:v>0.34200000000000003</c:v>
                </c:pt>
                <c:pt idx="3">
                  <c:v>0.27400000000000002</c:v>
                </c:pt>
                <c:pt idx="4">
                  <c:v>0.27400000000000002</c:v>
                </c:pt>
                <c:pt idx="5">
                  <c:v>0.27400000000000002</c:v>
                </c:pt>
                <c:pt idx="6">
                  <c:v>0.22</c:v>
                </c:pt>
                <c:pt idx="7">
                  <c:v>0.22</c:v>
                </c:pt>
                <c:pt idx="8">
                  <c:v>0.22</c:v>
                </c:pt>
                <c:pt idx="9">
                  <c:v>0.17899999999999999</c:v>
                </c:pt>
                <c:pt idx="10">
                  <c:v>0.17899999999999999</c:v>
                </c:pt>
                <c:pt idx="11">
                  <c:v>0.17899999999999999</c:v>
                </c:pt>
                <c:pt idx="12">
                  <c:v>0.14199999999999999</c:v>
                </c:pt>
                <c:pt idx="13">
                  <c:v>0.14199999999999999</c:v>
                </c:pt>
                <c:pt idx="14">
                  <c:v>0.14199999999999999</c:v>
                </c:pt>
                <c:pt idx="15">
                  <c:v>0.11700000000000001</c:v>
                </c:pt>
                <c:pt idx="16">
                  <c:v>0.11700000000000001</c:v>
                </c:pt>
                <c:pt idx="17">
                  <c:v>0.11700000000000001</c:v>
                </c:pt>
                <c:pt idx="18">
                  <c:v>9.2999999999999999E-2</c:v>
                </c:pt>
                <c:pt idx="19">
                  <c:v>9.2999999999999999E-2</c:v>
                </c:pt>
                <c:pt idx="20">
                  <c:v>9.2999999999999999E-2</c:v>
                </c:pt>
                <c:pt idx="21">
                  <c:v>7.5999999999999998E-2</c:v>
                </c:pt>
                <c:pt idx="22">
                  <c:v>7.5999999999999998E-2</c:v>
                </c:pt>
                <c:pt idx="23">
                  <c:v>7.5999999999999998E-2</c:v>
                </c:pt>
                <c:pt idx="24">
                  <c:v>5.7000000000000002E-2</c:v>
                </c:pt>
                <c:pt idx="25">
                  <c:v>5.7000000000000002E-2</c:v>
                </c:pt>
                <c:pt idx="26">
                  <c:v>5.7000000000000002E-2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92-4B56-9E2B-EB6ED2647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130080"/>
        <c:axId val="1073541472"/>
      </c:scatterChart>
      <c:valAx>
        <c:axId val="10791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m,</a:t>
                </a:r>
                <a:r>
                  <a:rPr lang="en-US" baseline="0"/>
                  <a:t> gr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3541472"/>
        <c:crosses val="autoZero"/>
        <c:crossBetween val="midCat"/>
      </c:valAx>
      <c:valAx>
        <c:axId val="10735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en-US"/>
                  <a:t>, Hz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2760646713594547E-2"/>
              <c:y val="0.402466121140954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913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'Главная таблица'!$B$70:$B$80</c:f>
              <c:numCache>
                <c:formatCode>General</c:formatCode>
                <c:ptCount val="11"/>
                <c:pt idx="0">
                  <c:v>15</c:v>
                </c:pt>
                <c:pt idx="1">
                  <c:v>21</c:v>
                </c:pt>
                <c:pt idx="2">
                  <c:v>28</c:v>
                </c:pt>
                <c:pt idx="3">
                  <c:v>37</c:v>
                </c:pt>
                <c:pt idx="4">
                  <c:v>54</c:v>
                </c:pt>
                <c:pt idx="5">
                  <c:v>70</c:v>
                </c:pt>
                <c:pt idx="6">
                  <c:v>91</c:v>
                </c:pt>
                <c:pt idx="7">
                  <c:v>104</c:v>
                </c:pt>
                <c:pt idx="8">
                  <c:v>132</c:v>
                </c:pt>
                <c:pt idx="9">
                  <c:v>147</c:v>
                </c:pt>
                <c:pt idx="10">
                  <c:v>167</c:v>
                </c:pt>
              </c:numCache>
            </c:numRef>
          </c:xVal>
          <c:yVal>
            <c:numRef>
              <c:f>'Главная таблица'!$C$70:$C$80</c:f>
              <c:numCache>
                <c:formatCode>General</c:formatCode>
                <c:ptCount val="11"/>
                <c:pt idx="0">
                  <c:v>389</c:v>
                </c:pt>
                <c:pt idx="1">
                  <c:v>381</c:v>
                </c:pt>
                <c:pt idx="2">
                  <c:v>378</c:v>
                </c:pt>
                <c:pt idx="3">
                  <c:v>375</c:v>
                </c:pt>
                <c:pt idx="4">
                  <c:v>368</c:v>
                </c:pt>
                <c:pt idx="5">
                  <c:v>362</c:v>
                </c:pt>
                <c:pt idx="6">
                  <c:v>354</c:v>
                </c:pt>
                <c:pt idx="7">
                  <c:v>349</c:v>
                </c:pt>
                <c:pt idx="8">
                  <c:v>336</c:v>
                </c:pt>
                <c:pt idx="9">
                  <c:v>331</c:v>
                </c:pt>
                <c:pt idx="10">
                  <c:v>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71-4D0F-9AC3-A20D187AC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457344"/>
        <c:axId val="1242542112"/>
      </c:scatterChart>
      <c:valAx>
        <c:axId val="124845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2542112"/>
        <c:crosses val="autoZero"/>
        <c:crossBetween val="midCat"/>
      </c:valAx>
      <c:valAx>
        <c:axId val="124254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 Hz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845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413916</xdr:colOff>
      <xdr:row>4</xdr:row>
      <xdr:rowOff>57150</xdr:rowOff>
    </xdr:from>
    <xdr:to>
      <xdr:col>33</xdr:col>
      <xdr:colOff>39908</xdr:colOff>
      <xdr:row>37</xdr:row>
      <xdr:rowOff>79999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273257</xdr:colOff>
      <xdr:row>52</xdr:row>
      <xdr:rowOff>31228</xdr:rowOff>
    </xdr:from>
    <xdr:to>
      <xdr:col>20</xdr:col>
      <xdr:colOff>281063</xdr:colOff>
      <xdr:row>91</xdr:row>
      <xdr:rowOff>39036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DF346E7-E27B-43E0-9127-7DD46EBC2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0</xdr:row>
          <xdr:rowOff>0</xdr:rowOff>
        </xdr:from>
        <xdr:to>
          <xdr:col>9</xdr:col>
          <xdr:colOff>595313</xdr:colOff>
          <xdr:row>2</xdr:row>
          <xdr:rowOff>14288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0</xdr:row>
          <xdr:rowOff>0</xdr:rowOff>
        </xdr:from>
        <xdr:to>
          <xdr:col>10</xdr:col>
          <xdr:colOff>590550</xdr:colOff>
          <xdr:row>2</xdr:row>
          <xdr:rowOff>14288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"/>
  <sheetViews>
    <sheetView tabSelected="1" zoomScale="50" zoomScaleNormal="115" workbookViewId="0">
      <selection activeCell="D76" sqref="D76"/>
    </sheetView>
  </sheetViews>
  <sheetFormatPr defaultColWidth="9.1328125" defaultRowHeight="14.25"/>
  <cols>
    <col min="4" max="5" width="20.3984375" customWidth="1"/>
    <col min="6" max="6" width="22.1328125" customWidth="1"/>
    <col min="7" max="7" width="17.9296875" customWidth="1"/>
    <col min="8" max="8" width="19.3984375" customWidth="1"/>
    <col min="9" max="9" width="20.265625" customWidth="1"/>
    <col min="10" max="10" width="13.1328125" customWidth="1"/>
    <col min="11" max="11" width="19.265625" customWidth="1"/>
    <col min="12" max="12" width="12.33203125" bestFit="1" customWidth="1"/>
    <col min="21" max="21" width="11.73046875" bestFit="1" customWidth="1"/>
  </cols>
  <sheetData>
    <row r="1" spans="1:38" ht="14.65" thickBot="1">
      <c r="A1" s="12" t="s">
        <v>0</v>
      </c>
      <c r="B1" s="56" t="s">
        <v>1</v>
      </c>
      <c r="C1" s="57"/>
      <c r="D1" s="1" t="s">
        <v>2</v>
      </c>
      <c r="E1" s="1" t="s">
        <v>3</v>
      </c>
      <c r="F1" s="13" t="s">
        <v>4</v>
      </c>
      <c r="G1" s="14" t="s">
        <v>5</v>
      </c>
      <c r="H1" s="55" t="s">
        <v>40</v>
      </c>
      <c r="I1" s="1" t="s">
        <v>6</v>
      </c>
      <c r="J1" s="12" t="s">
        <v>7</v>
      </c>
    </row>
    <row r="2" spans="1:38" ht="14.65" thickBot="1">
      <c r="A2" s="15" t="s">
        <v>0</v>
      </c>
      <c r="B2" s="27" t="s">
        <v>8</v>
      </c>
      <c r="C2" s="28" t="s">
        <v>9</v>
      </c>
      <c r="D2" s="28" t="s">
        <v>11</v>
      </c>
      <c r="E2" s="28" t="s">
        <v>12</v>
      </c>
      <c r="F2" s="29" t="s">
        <v>13</v>
      </c>
      <c r="G2" s="30" t="s">
        <v>14</v>
      </c>
      <c r="H2" s="26" t="s">
        <v>41</v>
      </c>
      <c r="I2" s="31" t="s">
        <v>15</v>
      </c>
      <c r="J2" s="29" t="s">
        <v>16</v>
      </c>
      <c r="K2" s="26" t="s">
        <v>46</v>
      </c>
      <c r="L2" s="26" t="s">
        <v>47</v>
      </c>
      <c r="P2" t="s">
        <v>17</v>
      </c>
      <c r="Q2" t="s">
        <v>18</v>
      </c>
      <c r="AC2" s="58"/>
      <c r="AD2" s="35"/>
      <c r="AE2" s="35" t="s">
        <v>50</v>
      </c>
      <c r="AF2" s="35" t="s">
        <v>52</v>
      </c>
      <c r="AG2" s="35" t="s">
        <v>54</v>
      </c>
      <c r="AH2" s="35"/>
      <c r="AI2" s="35" t="s">
        <v>51</v>
      </c>
      <c r="AJ2" s="35" t="s">
        <v>53</v>
      </c>
      <c r="AK2" s="35" t="s">
        <v>55</v>
      </c>
      <c r="AL2" s="59"/>
    </row>
    <row r="3" spans="1:38" ht="14.65" thickBot="1">
      <c r="A3" s="17">
        <v>1</v>
      </c>
      <c r="B3" s="32">
        <v>0.34200000000000003</v>
      </c>
      <c r="C3" s="33">
        <v>119</v>
      </c>
      <c r="D3" s="33">
        <v>11</v>
      </c>
      <c r="E3" s="33">
        <f>0.103971551924658</f>
        <v>0.103971551924658</v>
      </c>
      <c r="F3" s="34">
        <f>5*60+24</f>
        <v>324</v>
      </c>
      <c r="G3" s="32">
        <f t="shared" ref="G3:G29" si="0">D3*2*Q3/F3</f>
        <v>0.21331172839506174</v>
      </c>
      <c r="H3" s="35">
        <f>SUM(G3:G5)/3</f>
        <v>0.21287416587527697</v>
      </c>
      <c r="I3" s="33">
        <f>2*C3*SIN(E3)/F3</f>
        <v>7.623663718965544E-2</v>
      </c>
      <c r="J3" s="36">
        <f t="shared" ref="J3:J29" si="1">B3*P3*E34/1000000</f>
        <v>3.9709137448752001E-4</v>
      </c>
      <c r="K3">
        <f>SUM(F3:F5)/3</f>
        <v>324.66666666666669</v>
      </c>
      <c r="L3" s="17">
        <f>H3-G3*-1</f>
        <v>0.42618589427033871</v>
      </c>
      <c r="P3" s="17">
        <v>9.81</v>
      </c>
      <c r="Q3" s="17">
        <v>3.1415000000000002</v>
      </c>
      <c r="AC3" s="60"/>
      <c r="AD3" s="37"/>
      <c r="AE3" s="37">
        <f>SUM(B3:B29)/27</f>
        <v>0.16666666666666666</v>
      </c>
      <c r="AF3" s="37">
        <f>(AE$3-B3)*(AE$3-B3)</f>
        <v>3.0741777777777791E-2</v>
      </c>
      <c r="AG3" s="37">
        <f>SQRT(SUM(AF3:AF29)/27/26)</f>
        <v>1.7784080079484132E-2</v>
      </c>
      <c r="AH3" s="37"/>
      <c r="AI3" s="37">
        <f>SUM(G3:G29)/27</f>
        <v>0.10408149835337363</v>
      </c>
      <c r="AJ3" s="37">
        <f>(AI$3-G3)*(AI$3-G3)</f>
        <v>1.1931243154960103E-2</v>
      </c>
      <c r="AK3" s="37">
        <f>SQRT(SUM(AJ3:AJ29)/27/26)</f>
        <v>1.1093532819632324E-2</v>
      </c>
      <c r="AL3" s="61"/>
    </row>
    <row r="4" spans="1:38" ht="14.65" thickBot="1">
      <c r="A4" s="17">
        <v>2</v>
      </c>
      <c r="B4" s="14">
        <f t="shared" ref="B4:C5" si="2">B3</f>
        <v>0.34200000000000003</v>
      </c>
      <c r="C4" s="1">
        <f t="shared" si="2"/>
        <v>119</v>
      </c>
      <c r="D4" s="1">
        <v>11</v>
      </c>
      <c r="E4" s="1">
        <f>E3</f>
        <v>0.103971551924658</v>
      </c>
      <c r="F4" s="13">
        <v>325</v>
      </c>
      <c r="G4" s="19">
        <f t="shared" si="0"/>
        <v>0.21265538461538461</v>
      </c>
      <c r="H4" s="35"/>
      <c r="I4" s="18">
        <f>2*C4*SIN(E4)/F4</f>
        <v>7.6002062921379579E-2</v>
      </c>
      <c r="J4" s="25">
        <f t="shared" si="1"/>
        <v>3.9709137448752001E-4</v>
      </c>
      <c r="L4" s="17">
        <f>H3-G4</f>
        <v>2.1878125989235886E-4</v>
      </c>
      <c r="P4" s="17">
        <v>9.81</v>
      </c>
      <c r="Q4" s="17">
        <v>3.1415000000000002</v>
      </c>
      <c r="AC4" s="60"/>
      <c r="AD4" s="37"/>
      <c r="AE4" s="37"/>
      <c r="AF4" s="37">
        <f t="shared" ref="AF4:AF39" si="3">(AE$3-B4)*(AE$3-B4)</f>
        <v>3.0741777777777791E-2</v>
      </c>
      <c r="AG4" s="37"/>
      <c r="AH4" s="37"/>
      <c r="AI4" s="37"/>
      <c r="AJ4" s="37">
        <f t="shared" ref="AJ4:AJ29" si="4">(AI$3-G4)*(AI$3-G4)</f>
        <v>1.1788288778036097E-2</v>
      </c>
      <c r="AK4" s="37"/>
      <c r="AL4" s="61"/>
    </row>
    <row r="5" spans="1:38" ht="14.65" thickBot="1">
      <c r="A5" s="44">
        <v>3</v>
      </c>
      <c r="B5" s="45">
        <f t="shared" si="2"/>
        <v>0.34200000000000003</v>
      </c>
      <c r="C5" s="28">
        <f t="shared" si="2"/>
        <v>119</v>
      </c>
      <c r="D5" s="28">
        <v>11</v>
      </c>
      <c r="E5" s="28">
        <f>E4</f>
        <v>0.103971551924658</v>
      </c>
      <c r="F5" s="46">
        <v>325</v>
      </c>
      <c r="G5" s="47">
        <f t="shared" si="0"/>
        <v>0.21265538461538461</v>
      </c>
      <c r="H5" s="35"/>
      <c r="I5" s="48">
        <f>2*C5*SIN(E5)/F5</f>
        <v>7.6002062921379579E-2</v>
      </c>
      <c r="J5" s="49">
        <f t="shared" si="1"/>
        <v>3.9709137448752001E-4</v>
      </c>
      <c r="L5" s="17">
        <f>H3-G5</f>
        <v>2.1878125989235886E-4</v>
      </c>
      <c r="P5" s="17">
        <v>9.81</v>
      </c>
      <c r="Q5" s="17">
        <v>3.1415000000000002</v>
      </c>
      <c r="AC5" s="60"/>
      <c r="AD5" s="37"/>
      <c r="AE5" s="37"/>
      <c r="AF5" s="37">
        <f t="shared" si="3"/>
        <v>3.0741777777777791E-2</v>
      </c>
      <c r="AG5" s="37"/>
      <c r="AH5" s="37"/>
      <c r="AI5" s="37"/>
      <c r="AJ5" s="37">
        <f t="shared" si="4"/>
        <v>1.1788288778036097E-2</v>
      </c>
      <c r="AK5" s="37"/>
      <c r="AL5" s="61"/>
    </row>
    <row r="6" spans="1:38" ht="14.65" thickBot="1">
      <c r="A6" s="50">
        <v>6</v>
      </c>
      <c r="B6" s="32">
        <f>0.274</f>
        <v>0.27400000000000002</v>
      </c>
      <c r="C6" s="33">
        <f t="shared" ref="C6:C11" si="5">C5</f>
        <v>119</v>
      </c>
      <c r="D6" s="33">
        <v>9</v>
      </c>
      <c r="E6" s="33">
        <f t="shared" ref="E6:E11" si="6">E5</f>
        <v>0.103971551924658</v>
      </c>
      <c r="F6" s="34">
        <f>5*60+32</f>
        <v>332</v>
      </c>
      <c r="G6" s="32">
        <f t="shared" si="0"/>
        <v>0.17032228915662651</v>
      </c>
      <c r="H6" s="35">
        <f t="shared" ref="H6" si="7">SUM(G6:G8)/3</f>
        <v>0.17171663879781271</v>
      </c>
      <c r="I6" s="33">
        <f>2*C6*SIN(E3)/F6</f>
        <v>7.4399609787495075E-2</v>
      </c>
      <c r="J6" s="36">
        <f t="shared" si="1"/>
        <v>3.1813753394614172E-4</v>
      </c>
      <c r="K6">
        <f t="shared" ref="K6:K27" si="8">SUM(F6:F8)/3</f>
        <v>329.33333333333331</v>
      </c>
      <c r="L6" s="17">
        <f>H6-G6</f>
        <v>1.3943496411862044E-3</v>
      </c>
      <c r="P6" s="17">
        <v>9.81</v>
      </c>
      <c r="Q6" s="17">
        <v>3.1415000000000002</v>
      </c>
      <c r="AC6" s="60"/>
      <c r="AD6" s="37"/>
      <c r="AE6" s="37"/>
      <c r="AF6" s="37">
        <f t="shared" si="3"/>
        <v>1.1520444444444451E-2</v>
      </c>
      <c r="AG6" s="37"/>
      <c r="AH6" s="37"/>
      <c r="AI6" s="37"/>
      <c r="AJ6" s="37">
        <f t="shared" si="4"/>
        <v>4.387842366240311E-3</v>
      </c>
      <c r="AK6" s="37"/>
      <c r="AL6" s="61"/>
    </row>
    <row r="7" spans="1:38" ht="14.65" thickBot="1">
      <c r="A7" s="51">
        <v>7</v>
      </c>
      <c r="B7" s="14">
        <f>B6</f>
        <v>0.27400000000000002</v>
      </c>
      <c r="C7" s="1">
        <f t="shared" si="5"/>
        <v>119</v>
      </c>
      <c r="D7" s="20">
        <v>9</v>
      </c>
      <c r="E7" s="1">
        <f t="shared" si="6"/>
        <v>0.103971551924658</v>
      </c>
      <c r="F7" s="13">
        <f>5*60+31</f>
        <v>331</v>
      </c>
      <c r="G7" s="19">
        <f t="shared" si="0"/>
        <v>0.17083685800604231</v>
      </c>
      <c r="H7" s="35"/>
      <c r="I7" s="18">
        <f t="shared" ref="I7:I29" si="9">2*C7*SIN(E7)/F7</f>
        <v>7.4624382022502614E-2</v>
      </c>
      <c r="J7" s="25">
        <f t="shared" si="1"/>
        <v>3.1813753394614172E-4</v>
      </c>
      <c r="L7" s="17">
        <f>H6-G7</f>
        <v>8.7978079177039592E-4</v>
      </c>
      <c r="P7" s="17">
        <v>9.81</v>
      </c>
      <c r="Q7" s="17">
        <v>3.1415000000000002</v>
      </c>
      <c r="AC7" s="60"/>
      <c r="AD7" s="37"/>
      <c r="AE7" s="37"/>
      <c r="AF7" s="37">
        <f t="shared" si="3"/>
        <v>1.1520444444444451E-2</v>
      </c>
      <c r="AG7" s="37"/>
      <c r="AH7" s="37"/>
      <c r="AI7" s="37"/>
      <c r="AJ7" s="37">
        <f t="shared" si="4"/>
        <v>4.4562780423571457E-3</v>
      </c>
      <c r="AK7" s="37"/>
      <c r="AL7" s="61"/>
    </row>
    <row r="8" spans="1:38" ht="14.65" thickBot="1">
      <c r="A8" s="52">
        <v>8</v>
      </c>
      <c r="B8" s="38">
        <f>B7</f>
        <v>0.27400000000000002</v>
      </c>
      <c r="C8" s="16">
        <f t="shared" si="5"/>
        <v>119</v>
      </c>
      <c r="D8" s="16">
        <v>9</v>
      </c>
      <c r="E8" s="16">
        <f t="shared" si="6"/>
        <v>0.103971551924658</v>
      </c>
      <c r="F8" s="39">
        <f>5*60+25</f>
        <v>325</v>
      </c>
      <c r="G8" s="40">
        <f t="shared" si="0"/>
        <v>0.17399076923076925</v>
      </c>
      <c r="H8" s="35"/>
      <c r="I8" s="42">
        <f t="shared" si="9"/>
        <v>7.6002062921379579E-2</v>
      </c>
      <c r="J8" s="43">
        <f t="shared" si="1"/>
        <v>3.1813753394614172E-4</v>
      </c>
      <c r="L8" s="17">
        <f>H6-G8*-1</f>
        <v>0.34570740802858196</v>
      </c>
      <c r="P8" s="17">
        <v>9.81</v>
      </c>
      <c r="Q8" s="17">
        <v>3.1415000000000002</v>
      </c>
      <c r="AC8" s="60"/>
      <c r="AD8" s="37"/>
      <c r="AE8" s="37"/>
      <c r="AF8" s="37">
        <f t="shared" si="3"/>
        <v>1.1520444444444451E-2</v>
      </c>
      <c r="AG8" s="37"/>
      <c r="AH8" s="37"/>
      <c r="AI8" s="37"/>
      <c r="AJ8" s="37">
        <f t="shared" si="4"/>
        <v>4.8873061546090757E-3</v>
      </c>
      <c r="AK8" s="37"/>
      <c r="AL8" s="61"/>
    </row>
    <row r="9" spans="1:38" ht="14.65" thickBot="1">
      <c r="A9" s="50">
        <v>11</v>
      </c>
      <c r="B9" s="32">
        <f>0.22</f>
        <v>0.22</v>
      </c>
      <c r="C9" s="33">
        <f t="shared" si="5"/>
        <v>119</v>
      </c>
      <c r="D9" s="33">
        <v>8</v>
      </c>
      <c r="E9" s="33">
        <f t="shared" si="6"/>
        <v>0.103971551924658</v>
      </c>
      <c r="F9" s="34">
        <f>6*60+6</f>
        <v>366</v>
      </c>
      <c r="G9" s="32">
        <f t="shared" si="0"/>
        <v>0.13733333333333334</v>
      </c>
      <c r="H9" s="35">
        <f>SUM(G9:G11)/3</f>
        <v>0.13733333333333334</v>
      </c>
      <c r="I9" s="33">
        <f t="shared" si="9"/>
        <v>6.7488170626908095E-2</v>
      </c>
      <c r="J9" s="36">
        <f t="shared" si="1"/>
        <v>2.5543889586916491E-4</v>
      </c>
      <c r="K9">
        <f t="shared" si="8"/>
        <v>366</v>
      </c>
      <c r="L9" s="17">
        <f>H9-G9</f>
        <v>0</v>
      </c>
      <c r="P9" s="17">
        <v>9.81</v>
      </c>
      <c r="Q9" s="17">
        <v>3.1415000000000002</v>
      </c>
      <c r="AC9" s="60"/>
      <c r="AD9" s="37"/>
      <c r="AE9" s="37"/>
      <c r="AF9" s="37">
        <f t="shared" si="3"/>
        <v>2.8444444444444454E-3</v>
      </c>
      <c r="AG9" s="37"/>
      <c r="AH9" s="37"/>
      <c r="AI9" s="37"/>
      <c r="AJ9" s="37">
        <f t="shared" si="4"/>
        <v>1.1056845295344718E-3</v>
      </c>
      <c r="AK9" s="37"/>
      <c r="AL9" s="61"/>
    </row>
    <row r="10" spans="1:38" ht="14.65" thickBot="1">
      <c r="A10" s="51">
        <v>12</v>
      </c>
      <c r="B10" s="14">
        <f>B9</f>
        <v>0.22</v>
      </c>
      <c r="C10" s="1">
        <f t="shared" si="5"/>
        <v>119</v>
      </c>
      <c r="D10" s="1">
        <v>8</v>
      </c>
      <c r="E10" s="1">
        <f t="shared" si="6"/>
        <v>0.103971551924658</v>
      </c>
      <c r="F10" s="13">
        <f>6*60+6</f>
        <v>366</v>
      </c>
      <c r="G10" s="19">
        <f t="shared" si="0"/>
        <v>0.13733333333333334</v>
      </c>
      <c r="H10" s="35"/>
      <c r="I10" s="18">
        <f t="shared" si="9"/>
        <v>6.7488170626908095E-2</v>
      </c>
      <c r="J10" s="25">
        <f t="shared" si="1"/>
        <v>2.5543889586916491E-4</v>
      </c>
      <c r="L10" s="17">
        <f>H9-G10</f>
        <v>0</v>
      </c>
      <c r="P10" s="17">
        <v>9.81</v>
      </c>
      <c r="Q10" s="17">
        <v>3.1415000000000002</v>
      </c>
      <c r="AC10" s="60"/>
      <c r="AD10" s="37"/>
      <c r="AE10" s="37"/>
      <c r="AF10" s="37">
        <f t="shared" si="3"/>
        <v>2.8444444444444454E-3</v>
      </c>
      <c r="AG10" s="37"/>
      <c r="AH10" s="37"/>
      <c r="AI10" s="37"/>
      <c r="AJ10" s="37">
        <f t="shared" si="4"/>
        <v>1.1056845295344718E-3</v>
      </c>
      <c r="AK10" s="37"/>
      <c r="AL10" s="61"/>
    </row>
    <row r="11" spans="1:38" ht="14.65" thickBot="1">
      <c r="A11" s="52">
        <v>13</v>
      </c>
      <c r="B11" s="38">
        <f>B10</f>
        <v>0.22</v>
      </c>
      <c r="C11" s="16">
        <f t="shared" si="5"/>
        <v>119</v>
      </c>
      <c r="D11" s="16">
        <v>8</v>
      </c>
      <c r="E11" s="16">
        <f t="shared" si="6"/>
        <v>0.103971551924658</v>
      </c>
      <c r="F11" s="39">
        <v>366</v>
      </c>
      <c r="G11" s="40">
        <f t="shared" si="0"/>
        <v>0.13733333333333334</v>
      </c>
      <c r="H11" s="35"/>
      <c r="I11" s="42">
        <f t="shared" si="9"/>
        <v>6.7488170626908095E-2</v>
      </c>
      <c r="J11" s="43">
        <f t="shared" si="1"/>
        <v>2.5543889586916491E-4</v>
      </c>
      <c r="L11" s="17">
        <f>H9-G11</f>
        <v>0</v>
      </c>
      <c r="P11" s="17">
        <v>9.81</v>
      </c>
      <c r="Q11" s="17">
        <v>3.1415000000000002</v>
      </c>
      <c r="AC11" s="60"/>
      <c r="AD11" s="37"/>
      <c r="AE11" s="37"/>
      <c r="AF11" s="37">
        <f t="shared" si="3"/>
        <v>2.8444444444444454E-3</v>
      </c>
      <c r="AG11" s="37"/>
      <c r="AH11" s="37"/>
      <c r="AI11" s="37"/>
      <c r="AJ11" s="37">
        <f t="shared" si="4"/>
        <v>1.1056845295344718E-3</v>
      </c>
      <c r="AK11" s="37"/>
      <c r="AL11" s="61"/>
    </row>
    <row r="12" spans="1:38" ht="14.65" thickBot="1">
      <c r="A12" s="50">
        <v>16</v>
      </c>
      <c r="B12" s="32">
        <f>0.179</f>
        <v>0.17899999999999999</v>
      </c>
      <c r="C12" s="33">
        <f t="shared" ref="C12:C21" si="10">C11</f>
        <v>119</v>
      </c>
      <c r="D12" s="33">
        <v>7</v>
      </c>
      <c r="E12" s="33">
        <f t="shared" ref="E12:E29" si="11">E11</f>
        <v>0.103971551924658</v>
      </c>
      <c r="F12" s="34">
        <f>6*60+32</f>
        <v>392</v>
      </c>
      <c r="G12" s="32">
        <f t="shared" si="0"/>
        <v>0.11219642857142857</v>
      </c>
      <c r="H12" s="35">
        <f>SUM(G12:G14)/3</f>
        <v>0.1116524458874459</v>
      </c>
      <c r="I12" s="33">
        <f t="shared" si="9"/>
        <v>6.3011914411858064E-2</v>
      </c>
      <c r="J12" s="36">
        <f t="shared" si="1"/>
        <v>2.0783437436627507E-4</v>
      </c>
      <c r="K12">
        <f t="shared" si="8"/>
        <v>412.66666666666669</v>
      </c>
      <c r="L12" s="17">
        <f>H12-G12*-1</f>
        <v>0.22384887445887447</v>
      </c>
      <c r="P12" s="17">
        <v>9.81</v>
      </c>
      <c r="Q12" s="17">
        <v>3.1415000000000002</v>
      </c>
      <c r="AC12" s="60"/>
      <c r="AD12" s="37"/>
      <c r="AE12" s="37"/>
      <c r="AF12" s="37">
        <f t="shared" si="3"/>
        <v>1.5211111111111116E-4</v>
      </c>
      <c r="AG12" s="37"/>
      <c r="AH12" s="37"/>
      <c r="AI12" s="37"/>
      <c r="AJ12" s="37">
        <f t="shared" si="4"/>
        <v>6.5852092443901227E-5</v>
      </c>
      <c r="AK12" s="37"/>
      <c r="AL12" s="61"/>
    </row>
    <row r="13" spans="1:38" ht="14.65" thickBot="1">
      <c r="A13" s="51">
        <v>17</v>
      </c>
      <c r="B13" s="14">
        <f>B12</f>
        <v>0.17899999999999999</v>
      </c>
      <c r="C13" s="1">
        <f t="shared" si="10"/>
        <v>119</v>
      </c>
      <c r="D13" s="1">
        <v>8</v>
      </c>
      <c r="E13" s="1">
        <f t="shared" si="11"/>
        <v>0.103971551924658</v>
      </c>
      <c r="F13" s="13">
        <f>7*60+30</f>
        <v>450</v>
      </c>
      <c r="G13" s="19">
        <f t="shared" si="0"/>
        <v>0.11169777777777778</v>
      </c>
      <c r="H13" s="35"/>
      <c r="I13" s="18">
        <f t="shared" si="9"/>
        <v>5.4890378776551917E-2</v>
      </c>
      <c r="J13" s="25">
        <f t="shared" si="1"/>
        <v>2.0783437436627507E-4</v>
      </c>
      <c r="L13" s="17">
        <f>H12-G13*-1</f>
        <v>0.22335022366522367</v>
      </c>
      <c r="P13" s="17">
        <v>9.81</v>
      </c>
      <c r="Q13" s="17">
        <v>3.1415000000000002</v>
      </c>
      <c r="AC13" s="60"/>
      <c r="AD13" s="37"/>
      <c r="AE13" s="37"/>
      <c r="AF13" s="37">
        <f t="shared" si="3"/>
        <v>1.5211111111111116E-4</v>
      </c>
      <c r="AG13" s="37"/>
      <c r="AH13" s="37"/>
      <c r="AI13" s="37"/>
      <c r="AJ13" s="37">
        <f t="shared" si="4"/>
        <v>5.8007712270602073E-5</v>
      </c>
      <c r="AK13" s="37"/>
      <c r="AL13" s="61"/>
    </row>
    <row r="14" spans="1:38" ht="14.65" thickBot="1">
      <c r="A14" s="52">
        <v>18</v>
      </c>
      <c r="B14" s="38">
        <f>B13</f>
        <v>0.17899999999999999</v>
      </c>
      <c r="C14" s="16">
        <f t="shared" si="10"/>
        <v>119</v>
      </c>
      <c r="D14" s="16">
        <v>7</v>
      </c>
      <c r="E14" s="16">
        <f t="shared" si="11"/>
        <v>0.103971551924658</v>
      </c>
      <c r="F14" s="39">
        <v>396</v>
      </c>
      <c r="G14" s="40">
        <f t="shared" si="0"/>
        <v>0.11106313131313132</v>
      </c>
      <c r="H14" s="35"/>
      <c r="I14" s="42">
        <f t="shared" si="9"/>
        <v>6.2375430427899906E-2</v>
      </c>
      <c r="J14" s="43">
        <f t="shared" si="1"/>
        <v>2.0783437436627507E-4</v>
      </c>
      <c r="L14" s="17">
        <f>H12-G14</f>
        <v>5.8931457431457557E-4</v>
      </c>
      <c r="P14" s="17">
        <v>9.81</v>
      </c>
      <c r="Q14" s="17">
        <v>3.1415000000000002</v>
      </c>
      <c r="AC14" s="60"/>
      <c r="AD14" s="37"/>
      <c r="AE14" s="37"/>
      <c r="AF14" s="37">
        <f t="shared" si="3"/>
        <v>1.5211111111111116E-4</v>
      </c>
      <c r="AG14" s="37"/>
      <c r="AH14" s="37"/>
      <c r="AI14" s="37"/>
      <c r="AJ14" s="37">
        <f t="shared" si="4"/>
        <v>4.874319878477494E-5</v>
      </c>
      <c r="AK14" s="37"/>
      <c r="AL14" s="61"/>
    </row>
    <row r="15" spans="1:38" ht="14.65" thickBot="1">
      <c r="A15" s="50">
        <v>21</v>
      </c>
      <c r="B15" s="32">
        <f>0.142</f>
        <v>0.14199999999999999</v>
      </c>
      <c r="C15" s="33">
        <f t="shared" si="10"/>
        <v>119</v>
      </c>
      <c r="D15" s="33">
        <v>5</v>
      </c>
      <c r="E15" s="33">
        <f t="shared" si="11"/>
        <v>0.103971551924658</v>
      </c>
      <c r="F15" s="34">
        <f>5*60+52</f>
        <v>352</v>
      </c>
      <c r="G15" s="32">
        <f t="shared" si="0"/>
        <v>8.9247159090909092E-2</v>
      </c>
      <c r="H15" s="35">
        <f>SUM(G15:G17)/3</f>
        <v>8.9247159090909092E-2</v>
      </c>
      <c r="I15" s="33">
        <f t="shared" si="9"/>
        <v>7.0172359231387399E-2</v>
      </c>
      <c r="J15" s="36">
        <f t="shared" si="1"/>
        <v>1.6487419642464277E-4</v>
      </c>
      <c r="K15">
        <f t="shared" si="8"/>
        <v>352</v>
      </c>
      <c r="L15" s="17">
        <f t="shared" ref="L15:L21" si="12">H15-G15</f>
        <v>0</v>
      </c>
      <c r="P15" s="17">
        <v>9.81</v>
      </c>
      <c r="Q15" s="17">
        <v>3.1415000000000002</v>
      </c>
      <c r="AC15" s="60" t="s">
        <v>49</v>
      </c>
      <c r="AD15" s="37"/>
      <c r="AE15" s="37"/>
      <c r="AF15" s="37">
        <f t="shared" si="3"/>
        <v>6.0844444444444466E-4</v>
      </c>
      <c r="AG15" s="37"/>
      <c r="AH15" s="37"/>
      <c r="AI15" s="37"/>
      <c r="AJ15" s="37">
        <f t="shared" si="4"/>
        <v>2.2005762135389695E-4</v>
      </c>
      <c r="AK15" s="37"/>
      <c r="AL15" s="61"/>
    </row>
    <row r="16" spans="1:38" ht="14.65" thickBot="1">
      <c r="A16" s="51">
        <v>22</v>
      </c>
      <c r="B16" s="14">
        <f>B15</f>
        <v>0.14199999999999999</v>
      </c>
      <c r="C16" s="1">
        <f t="shared" si="10"/>
        <v>119</v>
      </c>
      <c r="D16" s="1">
        <v>5</v>
      </c>
      <c r="E16" s="1">
        <f t="shared" si="11"/>
        <v>0.103971551924658</v>
      </c>
      <c r="F16" s="13">
        <v>352</v>
      </c>
      <c r="G16" s="19">
        <f t="shared" si="0"/>
        <v>8.9247159090909092E-2</v>
      </c>
      <c r="H16" s="35"/>
      <c r="I16" s="18">
        <f t="shared" si="9"/>
        <v>7.0172359231387399E-2</v>
      </c>
      <c r="J16" s="25">
        <f t="shared" si="1"/>
        <v>1.6487419642464277E-4</v>
      </c>
      <c r="L16" s="17">
        <f>H15-G16</f>
        <v>0</v>
      </c>
      <c r="P16" s="17">
        <v>9.81</v>
      </c>
      <c r="Q16" s="17">
        <v>3.1415000000000002</v>
      </c>
      <c r="AC16" s="60">
        <f>1.603*9.81*C3/6/1000/'Момент инерции ротора'!F5</f>
        <v>409.04252359580533</v>
      </c>
      <c r="AD16" s="37"/>
      <c r="AE16" s="37"/>
      <c r="AF16" s="37">
        <f t="shared" si="3"/>
        <v>6.0844444444444466E-4</v>
      </c>
      <c r="AG16" s="37"/>
      <c r="AH16" s="37"/>
      <c r="AI16" s="37"/>
      <c r="AJ16" s="37">
        <f t="shared" si="4"/>
        <v>2.2005762135389695E-4</v>
      </c>
      <c r="AK16" s="37"/>
      <c r="AL16" s="61"/>
    </row>
    <row r="17" spans="1:38" ht="14.65" thickBot="1">
      <c r="A17" s="52">
        <v>23</v>
      </c>
      <c r="B17" s="38">
        <f>B16</f>
        <v>0.14199999999999999</v>
      </c>
      <c r="C17" s="16">
        <f t="shared" si="10"/>
        <v>119</v>
      </c>
      <c r="D17" s="16">
        <v>5</v>
      </c>
      <c r="E17" s="16">
        <f t="shared" si="11"/>
        <v>0.103971551924658</v>
      </c>
      <c r="F17" s="39">
        <v>352</v>
      </c>
      <c r="G17" s="40">
        <f t="shared" si="0"/>
        <v>8.9247159090909092E-2</v>
      </c>
      <c r="H17" s="35"/>
      <c r="I17" s="42">
        <f t="shared" si="9"/>
        <v>7.0172359231387399E-2</v>
      </c>
      <c r="J17" s="43">
        <f t="shared" si="1"/>
        <v>1.6487419642464277E-4</v>
      </c>
      <c r="L17" s="17">
        <f>H15-G17</f>
        <v>0</v>
      </c>
      <c r="P17" s="17">
        <v>9.81</v>
      </c>
      <c r="Q17" s="17">
        <v>3.1415000000000002</v>
      </c>
      <c r="AC17" s="60"/>
      <c r="AD17" s="37"/>
      <c r="AE17" s="37"/>
      <c r="AF17" s="37">
        <f t="shared" si="3"/>
        <v>6.0844444444444466E-4</v>
      </c>
      <c r="AG17" s="37"/>
      <c r="AH17" s="37"/>
      <c r="AI17" s="37"/>
      <c r="AJ17" s="37">
        <f t="shared" si="4"/>
        <v>2.2005762135389695E-4</v>
      </c>
      <c r="AK17" s="37"/>
      <c r="AL17" s="61"/>
    </row>
    <row r="18" spans="1:38" ht="14.65" thickBot="1">
      <c r="A18" s="50">
        <v>26</v>
      </c>
      <c r="B18" s="32">
        <f>0.117</f>
        <v>0.11700000000000001</v>
      </c>
      <c r="C18" s="33">
        <f t="shared" si="10"/>
        <v>119</v>
      </c>
      <c r="D18" s="33">
        <v>4</v>
      </c>
      <c r="E18" s="33">
        <f t="shared" si="11"/>
        <v>0.103971551924658</v>
      </c>
      <c r="F18" s="34">
        <f>5*60+46</f>
        <v>346</v>
      </c>
      <c r="G18" s="32">
        <f t="shared" si="0"/>
        <v>7.2635838150289025E-2</v>
      </c>
      <c r="H18" s="35">
        <f>SUM(G18:G20)/3</f>
        <v>7.2635838150289025E-2</v>
      </c>
      <c r="I18" s="33">
        <f t="shared" si="9"/>
        <v>7.1389220952162907E-2</v>
      </c>
      <c r="J18" s="36">
        <f t="shared" si="1"/>
        <v>1.3584704916678317E-4</v>
      </c>
      <c r="K18">
        <f t="shared" si="8"/>
        <v>346</v>
      </c>
      <c r="L18" s="17">
        <f t="shared" si="12"/>
        <v>0</v>
      </c>
      <c r="P18" s="17">
        <v>9.81</v>
      </c>
      <c r="Q18" s="17">
        <v>3.1415000000000002</v>
      </c>
      <c r="AC18" s="60" t="s">
        <v>57</v>
      </c>
      <c r="AD18" s="37"/>
      <c r="AE18" s="37"/>
      <c r="AF18" s="37">
        <f t="shared" si="3"/>
        <v>2.4667777777777761E-3</v>
      </c>
      <c r="AG18" s="37"/>
      <c r="AH18" s="37"/>
      <c r="AI18" s="37"/>
      <c r="AJ18" s="37">
        <f t="shared" si="4"/>
        <v>9.888295456078589E-4</v>
      </c>
      <c r="AK18" s="37"/>
      <c r="AL18" s="61"/>
    </row>
    <row r="19" spans="1:38" ht="14.65" thickBot="1">
      <c r="A19" s="51">
        <v>27</v>
      </c>
      <c r="B19" s="14">
        <f>B18</f>
        <v>0.11700000000000001</v>
      </c>
      <c r="C19" s="1">
        <f t="shared" si="10"/>
        <v>119</v>
      </c>
      <c r="D19" s="1">
        <v>4</v>
      </c>
      <c r="E19" s="1">
        <f t="shared" si="11"/>
        <v>0.103971551924658</v>
      </c>
      <c r="F19" s="13">
        <v>346</v>
      </c>
      <c r="G19" s="19">
        <f t="shared" si="0"/>
        <v>7.2635838150289025E-2</v>
      </c>
      <c r="H19" s="35"/>
      <c r="I19" s="18">
        <f t="shared" si="9"/>
        <v>7.1389220952162907E-2</v>
      </c>
      <c r="J19" s="25">
        <f t="shared" si="1"/>
        <v>1.3584704916678317E-4</v>
      </c>
      <c r="L19" s="17">
        <v>0</v>
      </c>
      <c r="P19" s="17">
        <v>9.81</v>
      </c>
      <c r="Q19" s="17">
        <v>3.1415000000000002</v>
      </c>
      <c r="AC19" s="60">
        <f>SQRT(ABS(AG3/AK3-1.603*1.603)/26)</f>
        <v>0.19280376723554798</v>
      </c>
      <c r="AD19" s="37"/>
      <c r="AE19" s="37"/>
      <c r="AF19" s="37">
        <f t="shared" si="3"/>
        <v>2.4667777777777761E-3</v>
      </c>
      <c r="AG19" s="37"/>
      <c r="AH19" s="37"/>
      <c r="AI19" s="37"/>
      <c r="AJ19" s="37">
        <f t="shared" si="4"/>
        <v>9.888295456078589E-4</v>
      </c>
      <c r="AK19" s="37"/>
      <c r="AL19" s="61"/>
    </row>
    <row r="20" spans="1:38" ht="14.65" thickBot="1">
      <c r="A20" s="52">
        <v>28</v>
      </c>
      <c r="B20" s="38">
        <f>B19</f>
        <v>0.11700000000000001</v>
      </c>
      <c r="C20" s="16">
        <f t="shared" si="10"/>
        <v>119</v>
      </c>
      <c r="D20" s="16">
        <v>4</v>
      </c>
      <c r="E20" s="16">
        <f t="shared" si="11"/>
        <v>0.103971551924658</v>
      </c>
      <c r="F20" s="39">
        <v>346</v>
      </c>
      <c r="G20" s="40">
        <f t="shared" si="0"/>
        <v>7.2635838150289025E-2</v>
      </c>
      <c r="H20" s="35"/>
      <c r="I20" s="42">
        <f t="shared" si="9"/>
        <v>7.1389220952162907E-2</v>
      </c>
      <c r="J20" s="43">
        <f t="shared" si="1"/>
        <v>1.3584704916678317E-4</v>
      </c>
      <c r="L20" s="17">
        <v>0</v>
      </c>
      <c r="P20" s="17">
        <v>9.81</v>
      </c>
      <c r="Q20" s="17">
        <v>3.1415000000000002</v>
      </c>
      <c r="AC20" s="60"/>
      <c r="AD20" s="37"/>
      <c r="AE20" s="37"/>
      <c r="AF20" s="37">
        <f t="shared" si="3"/>
        <v>2.4667777777777761E-3</v>
      </c>
      <c r="AG20" s="37"/>
      <c r="AH20" s="37"/>
      <c r="AI20" s="37"/>
      <c r="AJ20" s="37">
        <f t="shared" si="4"/>
        <v>9.888295456078589E-4</v>
      </c>
      <c r="AK20" s="37"/>
      <c r="AL20" s="61"/>
    </row>
    <row r="21" spans="1:38" ht="14.65" thickBot="1">
      <c r="A21" s="53">
        <v>31</v>
      </c>
      <c r="B21" s="54">
        <v>9.2999999999999999E-2</v>
      </c>
      <c r="C21" s="33">
        <f t="shared" si="10"/>
        <v>119</v>
      </c>
      <c r="D21" s="33">
        <v>3</v>
      </c>
      <c r="E21" s="33">
        <f t="shared" si="11"/>
        <v>0.103971551924658</v>
      </c>
      <c r="F21" s="33">
        <f>5*60+23</f>
        <v>323</v>
      </c>
      <c r="G21" s="32">
        <f t="shared" si="0"/>
        <v>5.8356037151702789E-2</v>
      </c>
      <c r="H21" s="35">
        <f>SUM(G21:G23)/3</f>
        <v>5.8356037151702789E-2</v>
      </c>
      <c r="I21" s="33">
        <f t="shared" si="9"/>
        <v>7.6472663930180693E-2</v>
      </c>
      <c r="J21" s="36">
        <f t="shared" si="1"/>
        <v>1.0798098779923788E-4</v>
      </c>
      <c r="K21">
        <f t="shared" si="8"/>
        <v>323</v>
      </c>
      <c r="L21" s="17">
        <f t="shared" si="12"/>
        <v>0</v>
      </c>
      <c r="P21" s="17">
        <v>9.81</v>
      </c>
      <c r="Q21" s="17">
        <v>3.1415000000000002</v>
      </c>
      <c r="AC21" s="60" t="s">
        <v>56</v>
      </c>
      <c r="AD21" s="37"/>
      <c r="AE21" s="37"/>
      <c r="AF21" s="37">
        <f t="shared" si="3"/>
        <v>5.4267777777777769E-3</v>
      </c>
      <c r="AG21" s="37"/>
      <c r="AH21" s="37"/>
      <c r="AI21" s="37"/>
      <c r="AJ21" s="37">
        <f t="shared" si="4"/>
        <v>2.0908178021055053E-3</v>
      </c>
      <c r="AK21" s="37"/>
      <c r="AL21" s="61"/>
    </row>
    <row r="22" spans="1:38" ht="14.65" thickBot="1">
      <c r="A22" s="21">
        <v>32</v>
      </c>
      <c r="B22" s="22">
        <f t="shared" ref="B22:B26" si="13">B21</f>
        <v>9.2999999999999999E-2</v>
      </c>
      <c r="C22" s="1">
        <f t="shared" ref="C22:C29" si="14">C21</f>
        <v>119</v>
      </c>
      <c r="D22" s="1">
        <v>3</v>
      </c>
      <c r="E22" s="1">
        <f t="shared" si="11"/>
        <v>0.103971551924658</v>
      </c>
      <c r="F22" s="1">
        <v>323</v>
      </c>
      <c r="G22" s="19">
        <f t="shared" si="0"/>
        <v>5.8356037151702789E-2</v>
      </c>
      <c r="H22" s="35"/>
      <c r="I22" s="18">
        <f t="shared" si="9"/>
        <v>7.6472663930180693E-2</v>
      </c>
      <c r="J22" s="25">
        <f t="shared" si="1"/>
        <v>1.0798098779923788E-4</v>
      </c>
      <c r="L22" s="17">
        <v>0</v>
      </c>
      <c r="P22" s="17">
        <v>9.81</v>
      </c>
      <c r="Q22" s="17">
        <v>3.1415000000000002</v>
      </c>
      <c r="AC22" s="60">
        <f>AC16*SQRT(0.001/0.342*0.001/0.342+1/119*1/119+POWER('Момент инерции ротора'!G9/'Момент инерции ротора'!F5,2)+AC19/1.603*AC19/1.603)</f>
        <v>54.101065946788431</v>
      </c>
      <c r="AD22" s="37"/>
      <c r="AE22" s="37"/>
      <c r="AF22" s="37">
        <f t="shared" si="3"/>
        <v>5.4267777777777769E-3</v>
      </c>
      <c r="AG22" s="37"/>
      <c r="AH22" s="37"/>
      <c r="AI22" s="37"/>
      <c r="AJ22" s="37">
        <f t="shared" si="4"/>
        <v>2.0908178021055053E-3</v>
      </c>
      <c r="AK22" s="37"/>
      <c r="AL22" s="61"/>
    </row>
    <row r="23" spans="1:38" ht="14.65" thickBot="1">
      <c r="A23" s="23">
        <v>33</v>
      </c>
      <c r="B23" s="24">
        <f t="shared" si="13"/>
        <v>9.2999999999999999E-2</v>
      </c>
      <c r="C23" s="16">
        <f t="shared" si="14"/>
        <v>119</v>
      </c>
      <c r="D23" s="16">
        <v>3</v>
      </c>
      <c r="E23" s="16">
        <f t="shared" si="11"/>
        <v>0.103971551924658</v>
      </c>
      <c r="F23" s="16">
        <v>323</v>
      </c>
      <c r="G23" s="40">
        <f t="shared" si="0"/>
        <v>5.8356037151702789E-2</v>
      </c>
      <c r="H23" s="35"/>
      <c r="I23" s="42">
        <f t="shared" si="9"/>
        <v>7.6472663930180693E-2</v>
      </c>
      <c r="J23" s="43">
        <f t="shared" si="1"/>
        <v>1.0798098779923788E-4</v>
      </c>
      <c r="L23" s="17">
        <v>0</v>
      </c>
      <c r="P23" s="17">
        <v>9.81</v>
      </c>
      <c r="Q23" s="17">
        <v>3.1415000000000002</v>
      </c>
      <c r="AC23" s="60"/>
      <c r="AD23" s="37"/>
      <c r="AE23" s="37"/>
      <c r="AF23" s="37">
        <f t="shared" si="3"/>
        <v>5.4267777777777769E-3</v>
      </c>
      <c r="AG23" s="37"/>
      <c r="AH23" s="37"/>
      <c r="AI23" s="37"/>
      <c r="AJ23" s="37">
        <f t="shared" si="4"/>
        <v>2.0908178021055053E-3</v>
      </c>
      <c r="AK23" s="37"/>
      <c r="AL23" s="61"/>
    </row>
    <row r="24" spans="1:38" ht="14.65" thickBot="1">
      <c r="A24" s="53">
        <v>34</v>
      </c>
      <c r="B24" s="54">
        <v>7.5999999999999998E-2</v>
      </c>
      <c r="C24" s="33">
        <f t="shared" si="14"/>
        <v>119</v>
      </c>
      <c r="D24" s="33">
        <v>3</v>
      </c>
      <c r="E24" s="33">
        <f t="shared" si="11"/>
        <v>0.103971551924658</v>
      </c>
      <c r="F24" s="33">
        <f>6*60+35</f>
        <v>395</v>
      </c>
      <c r="G24" s="32">
        <f t="shared" si="0"/>
        <v>4.771898734177215E-2</v>
      </c>
      <c r="H24" s="35">
        <f>SUM(G24:G26)/3</f>
        <v>4.771898734177215E-2</v>
      </c>
      <c r="I24" s="33">
        <f t="shared" si="9"/>
        <v>6.2533342909995862E-2</v>
      </c>
      <c r="J24" s="36">
        <f t="shared" si="1"/>
        <v>8.8242527663893319E-5</v>
      </c>
      <c r="K24">
        <f t="shared" si="8"/>
        <v>395</v>
      </c>
      <c r="L24" s="17">
        <v>0</v>
      </c>
      <c r="P24" s="17">
        <v>9.81</v>
      </c>
      <c r="Q24" s="17">
        <v>3.1415000000000002</v>
      </c>
      <c r="AC24" s="60"/>
      <c r="AD24" s="37"/>
      <c r="AE24" s="37"/>
      <c r="AF24" s="37">
        <f t="shared" si="3"/>
        <v>8.2204444444444434E-3</v>
      </c>
      <c r="AG24" s="37"/>
      <c r="AH24" s="37"/>
      <c r="AI24" s="37"/>
      <c r="AJ24" s="37">
        <f t="shared" si="4"/>
        <v>3.1767326475328982E-3</v>
      </c>
      <c r="AK24" s="37"/>
      <c r="AL24" s="61"/>
    </row>
    <row r="25" spans="1:38" ht="14.65" thickBot="1">
      <c r="A25" s="21">
        <v>35</v>
      </c>
      <c r="B25" s="22">
        <f t="shared" si="13"/>
        <v>7.5999999999999998E-2</v>
      </c>
      <c r="C25" s="1">
        <f t="shared" si="14"/>
        <v>119</v>
      </c>
      <c r="D25" s="1">
        <v>3</v>
      </c>
      <c r="E25" s="1">
        <f t="shared" si="11"/>
        <v>0.103971551924658</v>
      </c>
      <c r="F25" s="1">
        <v>395</v>
      </c>
      <c r="G25" s="19">
        <f t="shared" si="0"/>
        <v>4.771898734177215E-2</v>
      </c>
      <c r="H25" s="35"/>
      <c r="I25" s="18">
        <f t="shared" si="9"/>
        <v>6.2533342909995862E-2</v>
      </c>
      <c r="J25" s="25">
        <f t="shared" si="1"/>
        <v>8.8242527663893319E-5</v>
      </c>
      <c r="L25" s="17">
        <v>0</v>
      </c>
      <c r="P25" s="17">
        <v>9.81</v>
      </c>
      <c r="Q25" s="17">
        <v>3.1415000000000002</v>
      </c>
      <c r="AC25" s="60"/>
      <c r="AD25" s="37"/>
      <c r="AE25" s="37"/>
      <c r="AF25" s="37">
        <f t="shared" si="3"/>
        <v>8.2204444444444434E-3</v>
      </c>
      <c r="AG25" s="37"/>
      <c r="AH25" s="37"/>
      <c r="AI25" s="37"/>
      <c r="AJ25" s="37">
        <f t="shared" si="4"/>
        <v>3.1767326475328982E-3</v>
      </c>
      <c r="AK25" s="37"/>
      <c r="AL25" s="61"/>
    </row>
    <row r="26" spans="1:38" ht="14.65" thickBot="1">
      <c r="A26" s="23">
        <v>36</v>
      </c>
      <c r="B26" s="24">
        <f t="shared" si="13"/>
        <v>7.5999999999999998E-2</v>
      </c>
      <c r="C26" s="16">
        <f t="shared" si="14"/>
        <v>119</v>
      </c>
      <c r="D26" s="16">
        <v>3</v>
      </c>
      <c r="E26" s="16">
        <f t="shared" si="11"/>
        <v>0.103971551924658</v>
      </c>
      <c r="F26" s="16">
        <v>395</v>
      </c>
      <c r="G26" s="40">
        <f t="shared" si="0"/>
        <v>4.771898734177215E-2</v>
      </c>
      <c r="H26" s="35"/>
      <c r="I26" s="42">
        <f t="shared" si="9"/>
        <v>6.2533342909995862E-2</v>
      </c>
      <c r="J26" s="43">
        <f t="shared" si="1"/>
        <v>8.8242527663893319E-5</v>
      </c>
      <c r="L26" s="17">
        <v>0</v>
      </c>
      <c r="P26" s="17">
        <v>9.81</v>
      </c>
      <c r="Q26" s="17">
        <v>3.1415000000000002</v>
      </c>
      <c r="AC26" s="60"/>
      <c r="AD26" s="37"/>
      <c r="AE26" s="37"/>
      <c r="AF26" s="37">
        <f t="shared" si="3"/>
        <v>8.2204444444444434E-3</v>
      </c>
      <c r="AG26" s="37"/>
      <c r="AH26" s="37"/>
      <c r="AI26" s="37"/>
      <c r="AJ26" s="37">
        <f t="shared" si="4"/>
        <v>3.1767326475328982E-3</v>
      </c>
      <c r="AK26" s="37"/>
      <c r="AL26" s="61"/>
    </row>
    <row r="27" spans="1:38">
      <c r="A27" s="53">
        <v>37</v>
      </c>
      <c r="B27" s="54">
        <v>5.7000000000000002E-2</v>
      </c>
      <c r="C27" s="33">
        <f t="shared" si="14"/>
        <v>119</v>
      </c>
      <c r="D27" s="33">
        <v>2</v>
      </c>
      <c r="E27" s="33">
        <f t="shared" si="11"/>
        <v>0.103971551924658</v>
      </c>
      <c r="F27" s="33">
        <f>5*60+57</f>
        <v>357</v>
      </c>
      <c r="G27" s="32">
        <f t="shared" si="0"/>
        <v>3.519887955182073E-2</v>
      </c>
      <c r="H27" s="35">
        <f>SUM(G27:G29)/3</f>
        <v>3.519887955182073E-2</v>
      </c>
      <c r="I27" s="33">
        <f t="shared" si="9"/>
        <v>6.9189553079687299E-2</v>
      </c>
      <c r="J27" s="36">
        <f t="shared" si="1"/>
        <v>6.6181895747919993E-5</v>
      </c>
      <c r="K27">
        <f t="shared" si="8"/>
        <v>357</v>
      </c>
      <c r="L27" s="17">
        <v>0</v>
      </c>
      <c r="P27" s="17">
        <v>9.81</v>
      </c>
      <c r="Q27" s="17">
        <v>3.1415000000000002</v>
      </c>
      <c r="AC27" s="60"/>
      <c r="AD27" s="37"/>
      <c r="AE27" s="37"/>
      <c r="AF27" s="37">
        <f t="shared" si="3"/>
        <v>1.2026777777777777E-2</v>
      </c>
      <c r="AG27" s="37"/>
      <c r="AH27" s="37"/>
      <c r="AI27" s="37"/>
      <c r="AJ27" s="37">
        <f>(AI$3-G27)*(AI$3-G27)</f>
        <v>4.7448151729600494E-3</v>
      </c>
      <c r="AK27" s="37"/>
      <c r="AL27" s="61"/>
    </row>
    <row r="28" spans="1:38">
      <c r="A28" s="21">
        <v>38</v>
      </c>
      <c r="B28" s="22">
        <f>B27</f>
        <v>5.7000000000000002E-2</v>
      </c>
      <c r="C28" s="1">
        <f t="shared" si="14"/>
        <v>119</v>
      </c>
      <c r="D28" s="1">
        <v>2</v>
      </c>
      <c r="E28" s="1">
        <f t="shared" si="11"/>
        <v>0.103971551924658</v>
      </c>
      <c r="F28" s="1">
        <v>357</v>
      </c>
      <c r="G28" s="19">
        <f t="shared" si="0"/>
        <v>3.519887955182073E-2</v>
      </c>
      <c r="H28" s="37"/>
      <c r="I28" s="18">
        <f t="shared" si="9"/>
        <v>6.9189553079687299E-2</v>
      </c>
      <c r="J28" s="25">
        <f t="shared" si="1"/>
        <v>6.6181895747919993E-5</v>
      </c>
      <c r="L28" s="17">
        <v>0</v>
      </c>
      <c r="P28" s="17">
        <v>9.81</v>
      </c>
      <c r="Q28" s="17">
        <v>3.1415000000000002</v>
      </c>
      <c r="AC28" s="60"/>
      <c r="AD28" s="37"/>
      <c r="AE28" s="37"/>
      <c r="AF28" s="37">
        <f t="shared" si="3"/>
        <v>1.2026777777777777E-2</v>
      </c>
      <c r="AG28" s="37"/>
      <c r="AH28" s="37"/>
      <c r="AI28" s="37"/>
      <c r="AJ28" s="37">
        <f t="shared" si="4"/>
        <v>4.7448151729600494E-3</v>
      </c>
      <c r="AK28" s="37"/>
      <c r="AL28" s="61"/>
    </row>
    <row r="29" spans="1:38" ht="14.65" thickBot="1">
      <c r="A29" s="23">
        <v>39</v>
      </c>
      <c r="B29" s="24">
        <f>B28</f>
        <v>5.7000000000000002E-2</v>
      </c>
      <c r="C29" s="16">
        <f t="shared" si="14"/>
        <v>119</v>
      </c>
      <c r="D29" s="16">
        <v>2</v>
      </c>
      <c r="E29" s="16">
        <f t="shared" si="11"/>
        <v>0.103971551924658</v>
      </c>
      <c r="F29" s="16">
        <v>357</v>
      </c>
      <c r="G29" s="40">
        <f t="shared" si="0"/>
        <v>3.519887955182073E-2</v>
      </c>
      <c r="H29" s="41"/>
      <c r="I29" s="42">
        <f t="shared" si="9"/>
        <v>6.9189553079687299E-2</v>
      </c>
      <c r="J29" s="43">
        <f t="shared" si="1"/>
        <v>6.6181895747919993E-5</v>
      </c>
      <c r="L29" s="17">
        <v>0</v>
      </c>
      <c r="P29" s="17">
        <v>9.81</v>
      </c>
      <c r="Q29" s="17">
        <v>3.1415000000000002</v>
      </c>
      <c r="AC29" s="62"/>
      <c r="AD29" s="41"/>
      <c r="AE29" s="41"/>
      <c r="AF29" s="41">
        <f t="shared" si="3"/>
        <v>1.2026777777777777E-2</v>
      </c>
      <c r="AG29" s="41"/>
      <c r="AH29" s="41"/>
      <c r="AI29" s="41"/>
      <c r="AJ29" s="41">
        <f t="shared" si="4"/>
        <v>4.7448151729600494E-3</v>
      </c>
      <c r="AK29" s="41"/>
      <c r="AL29" s="63"/>
    </row>
    <row r="32" spans="1:38">
      <c r="E32" s="1"/>
    </row>
    <row r="33" spans="3:32" ht="14.65" thickBot="1">
      <c r="E33" s="28" t="s">
        <v>10</v>
      </c>
    </row>
    <row r="34" spans="3:32">
      <c r="E34" s="33">
        <f>C3*0.994599825520508</f>
        <v>118.35737923694045</v>
      </c>
    </row>
    <row r="35" spans="3:32">
      <c r="E35" s="1">
        <f>E34</f>
        <v>118.35737923694045</v>
      </c>
    </row>
    <row r="36" spans="3:32" ht="14.65" thickBot="1">
      <c r="E36" s="28">
        <f>E35</f>
        <v>118.35737923694045</v>
      </c>
      <c r="AE36" t="s">
        <v>49</v>
      </c>
      <c r="AF36" t="s">
        <v>56</v>
      </c>
    </row>
    <row r="37" spans="3:32">
      <c r="C37" t="s">
        <v>19</v>
      </c>
      <c r="E37" s="33">
        <f t="shared" ref="E37:E42" si="15">E36</f>
        <v>118.35737923694045</v>
      </c>
      <c r="L37" t="s">
        <v>42</v>
      </c>
      <c r="M37">
        <v>0.21287416587527697</v>
      </c>
      <c r="N37">
        <v>0.17171663879781271</v>
      </c>
      <c r="O37">
        <v>0.13733333333333334</v>
      </c>
      <c r="P37">
        <v>0.1116524458874459</v>
      </c>
      <c r="Q37">
        <v>8.9247159090909092E-2</v>
      </c>
      <c r="R37">
        <v>7.2635838150289025E-2</v>
      </c>
      <c r="S37">
        <v>5.8356037151702789E-2</v>
      </c>
      <c r="T37">
        <v>4.771898734177215E-2</v>
      </c>
      <c r="U37">
        <v>3.519887955182073E-2</v>
      </c>
      <c r="AE37">
        <f>AC16</f>
        <v>409.04252359580533</v>
      </c>
      <c r="AF37">
        <f>AC22</f>
        <v>54.101065946788431</v>
      </c>
    </row>
    <row r="38" spans="3:32">
      <c r="C38">
        <v>119</v>
      </c>
      <c r="E38" s="1">
        <f t="shared" si="15"/>
        <v>118.35737923694045</v>
      </c>
      <c r="L38" t="s">
        <v>43</v>
      </c>
      <c r="M38">
        <f>SQRT(M42*M42+M43*M43)</f>
        <v>0.26665396934615199</v>
      </c>
      <c r="N38">
        <f t="shared" ref="N38:U38" si="16">SQRT(N42*N42+N43*N43)</f>
        <v>0.24082606782068267</v>
      </c>
      <c r="O38">
        <f t="shared" si="16"/>
        <v>3.7522768670309652E-4</v>
      </c>
      <c r="P38">
        <f t="shared" si="16"/>
        <v>0.27318761926721591</v>
      </c>
      <c r="Q38">
        <f>SQRT(Q42*Q42+Q43*Q43)</f>
        <v>2.5354306559917356E-4</v>
      </c>
      <c r="R38">
        <f t="shared" si="16"/>
        <v>2.0993016806441914E-4</v>
      </c>
      <c r="S38">
        <f t="shared" si="16"/>
        <v>1.8066884567090647E-4</v>
      </c>
      <c r="T38">
        <f t="shared" si="16"/>
        <v>1.2080756289056241E-4</v>
      </c>
      <c r="U38">
        <f t="shared" si="16"/>
        <v>9.859630126560429E-5</v>
      </c>
    </row>
    <row r="39" spans="3:32" ht="14.65" thickBot="1">
      <c r="C39" t="s">
        <v>20</v>
      </c>
      <c r="E39" s="16">
        <f t="shared" si="15"/>
        <v>118.35737923694045</v>
      </c>
      <c r="F39">
        <f>85*115/30</f>
        <v>325.83333333333331</v>
      </c>
    </row>
    <row r="40" spans="3:32">
      <c r="C40" t="s">
        <v>21</v>
      </c>
      <c r="E40" s="33">
        <f t="shared" si="15"/>
        <v>118.35737923694045</v>
      </c>
    </row>
    <row r="41" spans="3:32">
      <c r="E41" s="1">
        <f t="shared" si="15"/>
        <v>118.35737923694045</v>
      </c>
      <c r="F41">
        <f>ATAN(85/F39)</f>
        <v>0.25518239062081838</v>
      </c>
      <c r="G41">
        <f>COS(F41)</f>
        <v>0.96761727239684392</v>
      </c>
      <c r="H41">
        <v>0.96761727239684403</v>
      </c>
    </row>
    <row r="42" spans="3:32" ht="14.65" thickBot="1">
      <c r="E42" s="16">
        <f t="shared" si="15"/>
        <v>118.35737923694045</v>
      </c>
      <c r="L42" t="s">
        <v>44</v>
      </c>
      <c r="M42">
        <f>SQRT(SUM(L3:L5)/6)</f>
        <v>0.26665316323835458</v>
      </c>
      <c r="N42">
        <f>SQRT(SUM(L6:L8)/6)</f>
        <v>0.24082550337728578</v>
      </c>
      <c r="O42">
        <f>SQRT(SUM(L9:L11)/6)</f>
        <v>0</v>
      </c>
      <c r="P42">
        <f>SQRT(SUM(L12:L14)/6)</f>
        <v>0.27318748528510989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3:32">
      <c r="E43" s="33">
        <f t="shared" ref="E43:E51" si="17">E42</f>
        <v>118.35737923694045</v>
      </c>
      <c r="F43">
        <f>F41*58</f>
        <v>14.800578656007467</v>
      </c>
      <c r="L43" t="s">
        <v>45</v>
      </c>
      <c r="M43">
        <f>M37*1/K3</f>
        <v>6.5566991542693109E-4</v>
      </c>
      <c r="N43">
        <f>N37*1/K6</f>
        <v>5.2140679796906699E-4</v>
      </c>
      <c r="O43">
        <f>O37*1/K9</f>
        <v>3.7522768670309652E-4</v>
      </c>
      <c r="P43">
        <f>P37*1/K12</f>
        <v>2.7056327759478004E-4</v>
      </c>
      <c r="Q43">
        <f>Q37*1/K15</f>
        <v>2.5354306559917356E-4</v>
      </c>
      <c r="R43">
        <f>R37*1/K18</f>
        <v>2.0993016806441914E-4</v>
      </c>
      <c r="S43">
        <f>S37*1/K21</f>
        <v>1.8066884567090647E-4</v>
      </c>
      <c r="T43">
        <f>T37*1/K24</f>
        <v>1.2080756289056241E-4</v>
      </c>
      <c r="U43">
        <f>U37*1/K27</f>
        <v>9.859630126560429E-5</v>
      </c>
    </row>
    <row r="44" spans="3:32">
      <c r="E44" s="1">
        <f t="shared" si="17"/>
        <v>118.35737923694045</v>
      </c>
    </row>
    <row r="45" spans="3:32" ht="14.65" thickBot="1">
      <c r="E45" s="16">
        <f t="shared" si="17"/>
        <v>118.35737923694045</v>
      </c>
    </row>
    <row r="46" spans="3:32">
      <c r="E46" s="33">
        <f t="shared" si="17"/>
        <v>118.35737923694045</v>
      </c>
    </row>
    <row r="47" spans="3:32">
      <c r="E47" s="1">
        <f t="shared" si="17"/>
        <v>118.35737923694045</v>
      </c>
    </row>
    <row r="48" spans="3:32" ht="14.65" thickBot="1">
      <c r="E48" s="16">
        <f t="shared" si="17"/>
        <v>118.35737923694045</v>
      </c>
    </row>
    <row r="49" spans="2:12">
      <c r="E49" s="33">
        <f t="shared" si="17"/>
        <v>118.35737923694045</v>
      </c>
      <c r="G49">
        <f>2*F51</f>
        <v>0.20794310384931661</v>
      </c>
    </row>
    <row r="50" spans="2:12">
      <c r="E50" s="1">
        <f t="shared" si="17"/>
        <v>118.35737923694045</v>
      </c>
      <c r="F50">
        <f>115*103/12</f>
        <v>987.08333333333337</v>
      </c>
      <c r="L50" t="s">
        <v>48</v>
      </c>
    </row>
    <row r="51" spans="2:12" ht="14.65" thickBot="1">
      <c r="E51" s="16">
        <f t="shared" si="17"/>
        <v>118.35737923694045</v>
      </c>
      <c r="F51">
        <f>ATAN(103/F50)</f>
        <v>0.1039715519246583</v>
      </c>
      <c r="G51">
        <f>COS(F51)</f>
        <v>0.99459982552050774</v>
      </c>
      <c r="H51">
        <v>0.99459982552050796</v>
      </c>
    </row>
    <row r="52" spans="2:12">
      <c r="E52" s="33">
        <f t="shared" ref="E52:E60" si="18">E51</f>
        <v>118.35737923694045</v>
      </c>
    </row>
    <row r="53" spans="2:12">
      <c r="E53" s="1">
        <f t="shared" si="18"/>
        <v>118.35737923694045</v>
      </c>
    </row>
    <row r="54" spans="2:12" ht="14.65" thickBot="1">
      <c r="E54" s="16">
        <f t="shared" si="18"/>
        <v>118.35737923694045</v>
      </c>
    </row>
    <row r="55" spans="2:12">
      <c r="E55" s="33">
        <f t="shared" si="18"/>
        <v>118.35737923694045</v>
      </c>
    </row>
    <row r="56" spans="2:12">
      <c r="E56" s="1">
        <f t="shared" si="18"/>
        <v>118.35737923694045</v>
      </c>
    </row>
    <row r="57" spans="2:12" ht="14.65" thickBot="1">
      <c r="E57" s="16">
        <f t="shared" si="18"/>
        <v>118.35737923694045</v>
      </c>
      <c r="F57">
        <f>5*60+10</f>
        <v>310</v>
      </c>
    </row>
    <row r="58" spans="2:12">
      <c r="B58">
        <v>10.3</v>
      </c>
      <c r="E58" s="33">
        <f t="shared" si="18"/>
        <v>118.35737923694045</v>
      </c>
      <c r="F58">
        <f>F57/15.5*16</f>
        <v>320</v>
      </c>
    </row>
    <row r="59" spans="2:12">
      <c r="E59" s="1">
        <f t="shared" si="18"/>
        <v>118.35737923694045</v>
      </c>
    </row>
    <row r="60" spans="2:12" ht="14.65" thickBot="1">
      <c r="E60" s="16">
        <f t="shared" si="18"/>
        <v>118.35737923694045</v>
      </c>
    </row>
    <row r="69" spans="2:3">
      <c r="B69" t="s">
        <v>58</v>
      </c>
      <c r="C69" t="s">
        <v>59</v>
      </c>
    </row>
    <row r="70" spans="2:3">
      <c r="B70">
        <v>15</v>
      </c>
      <c r="C70">
        <v>389</v>
      </c>
    </row>
    <row r="71" spans="2:3">
      <c r="B71">
        <v>21</v>
      </c>
      <c r="C71">
        <v>381</v>
      </c>
    </row>
    <row r="72" spans="2:3">
      <c r="B72">
        <v>28</v>
      </c>
      <c r="C72">
        <v>378</v>
      </c>
    </row>
    <row r="73" spans="2:3">
      <c r="B73">
        <v>37</v>
      </c>
      <c r="C73">
        <v>375</v>
      </c>
    </row>
    <row r="74" spans="2:3">
      <c r="B74">
        <v>54</v>
      </c>
      <c r="C74">
        <v>368</v>
      </c>
    </row>
    <row r="75" spans="2:3">
      <c r="B75">
        <v>70</v>
      </c>
      <c r="C75">
        <v>362</v>
      </c>
    </row>
    <row r="76" spans="2:3">
      <c r="B76">
        <v>91</v>
      </c>
      <c r="C76">
        <v>354</v>
      </c>
    </row>
    <row r="77" spans="2:3">
      <c r="B77">
        <v>104</v>
      </c>
      <c r="C77">
        <v>349</v>
      </c>
    </row>
    <row r="78" spans="2:3">
      <c r="B78">
        <v>132</v>
      </c>
      <c r="C78">
        <v>336</v>
      </c>
    </row>
    <row r="79" spans="2:3">
      <c r="B79">
        <v>147</v>
      </c>
      <c r="C79">
        <v>331</v>
      </c>
    </row>
    <row r="80" spans="2:3">
      <c r="B80">
        <v>167</v>
      </c>
      <c r="C80">
        <v>323</v>
      </c>
    </row>
  </sheetData>
  <mergeCells count="1">
    <mergeCell ref="B1:C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129" zoomScaleNormal="190" workbookViewId="0">
      <selection activeCell="G9" sqref="G9"/>
    </sheetView>
  </sheetViews>
  <sheetFormatPr defaultColWidth="9.1328125" defaultRowHeight="14.25"/>
  <cols>
    <col min="6" max="6" width="12.86328125"/>
    <col min="7" max="7" width="11.59765625" bestFit="1" customWidth="1"/>
    <col min="9" max="9" width="12.86328125"/>
  </cols>
  <sheetData>
    <row r="1" spans="1:7">
      <c r="A1" s="6" t="s">
        <v>22</v>
      </c>
      <c r="B1" s="6" t="s">
        <v>23</v>
      </c>
      <c r="C1" s="7" t="s">
        <v>24</v>
      </c>
      <c r="D1" s="8" t="s">
        <v>25</v>
      </c>
      <c r="E1" s="8" t="s">
        <v>26</v>
      </c>
      <c r="F1" s="9" t="s">
        <v>27</v>
      </c>
    </row>
    <row r="2" spans="1:7">
      <c r="A2" s="6">
        <v>1.6167</v>
      </c>
      <c r="B2" s="6">
        <f>(78/2)/1000</f>
        <v>3.9E-2</v>
      </c>
      <c r="C2" s="6">
        <v>80</v>
      </c>
      <c r="D2" s="8">
        <v>20</v>
      </c>
      <c r="E2" s="8">
        <f>C2/D2</f>
        <v>4</v>
      </c>
      <c r="F2" s="9">
        <f>A2*B2^2/2</f>
        <v>1.22950035E-3</v>
      </c>
    </row>
    <row r="4" spans="1:7">
      <c r="A4" s="10" t="s">
        <v>28</v>
      </c>
      <c r="B4" s="5"/>
      <c r="C4" s="5" t="s">
        <v>29</v>
      </c>
      <c r="D4" s="5" t="s">
        <v>30</v>
      </c>
      <c r="E4" s="11" t="s">
        <v>31</v>
      </c>
      <c r="F4" s="9" t="s">
        <v>32</v>
      </c>
    </row>
    <row r="5" spans="1:7">
      <c r="A5" s="5">
        <v>1.083</v>
      </c>
      <c r="B5" s="5"/>
      <c r="C5" s="5">
        <v>63</v>
      </c>
      <c r="D5" s="5">
        <v>20</v>
      </c>
      <c r="E5" s="11">
        <f>C5/D5</f>
        <v>3.15</v>
      </c>
      <c r="F5" s="9">
        <f>F2*(E5/E2)^2</f>
        <v>7.6248232642968752E-4</v>
      </c>
    </row>
    <row r="8" spans="1:7">
      <c r="A8" s="4" t="s">
        <v>33</v>
      </c>
    </row>
    <row r="9" spans="1:7">
      <c r="F9" t="s">
        <v>48</v>
      </c>
      <c r="G9">
        <f>F5*SQRT((0.0001/A2*0.0001/A2 + 4* 0.001/B2*0.001/B2)/2 + 4*0.05/E2*0.05/E2 + 4*0.05/E5*0.05/E5)</f>
        <v>4.1397502014144871E-5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zoomScale="89" zoomScaleNormal="175" workbookViewId="0">
      <selection activeCell="F14" sqref="F14"/>
    </sheetView>
  </sheetViews>
  <sheetFormatPr defaultColWidth="9.1328125" defaultRowHeight="14.25"/>
  <cols>
    <col min="5" max="6" width="12.86328125"/>
    <col min="8" max="8" width="12.86328125"/>
  </cols>
  <sheetData>
    <row r="1" spans="1:12">
      <c r="A1" s="1" t="s">
        <v>0</v>
      </c>
      <c r="B1" s="2" t="s">
        <v>34</v>
      </c>
      <c r="C1" s="1" t="s">
        <v>17</v>
      </c>
      <c r="D1" s="1" t="s">
        <v>19</v>
      </c>
      <c r="E1" s="1" t="s">
        <v>35</v>
      </c>
      <c r="F1" s="1" t="s">
        <v>36</v>
      </c>
      <c r="G1" s="3" t="s">
        <v>37</v>
      </c>
      <c r="H1" s="4" t="s">
        <v>38</v>
      </c>
      <c r="I1" s="4" t="s">
        <v>39</v>
      </c>
      <c r="L1" t="s">
        <v>18</v>
      </c>
    </row>
    <row r="2" spans="1:12">
      <c r="A2" s="1">
        <v>1</v>
      </c>
      <c r="B2" s="5">
        <v>0.34200000000000003</v>
      </c>
      <c r="C2" s="5">
        <v>9.81</v>
      </c>
      <c r="D2" s="5">
        <v>0.11799999999999999</v>
      </c>
      <c r="E2" s="5">
        <v>7.6248232642968795E-4</v>
      </c>
      <c r="F2" s="5">
        <f>AVERAGE('Главная таблица'!G3:G5)</f>
        <v>0.21287416587527697</v>
      </c>
      <c r="G2" s="5">
        <f t="shared" ref="G2:G10" si="0">(B2*C2*D2)/(E2*F2)</f>
        <v>2439.0706479131313</v>
      </c>
      <c r="H2" s="5">
        <f>G2/(2*L2)</f>
        <v>388.20159922220773</v>
      </c>
      <c r="I2" s="5"/>
      <c r="L2">
        <v>3.1415000000000002</v>
      </c>
    </row>
    <row r="3" spans="1:12">
      <c r="A3" s="1">
        <v>2</v>
      </c>
      <c r="B3" s="5">
        <v>0.27400000000000002</v>
      </c>
      <c r="C3" s="5">
        <f>C2</f>
        <v>9.81</v>
      </c>
      <c r="D3" s="5">
        <f>D2</f>
        <v>0.11799999999999999</v>
      </c>
      <c r="E3" s="5">
        <f>E2</f>
        <v>7.6248232642968795E-4</v>
      </c>
      <c r="F3" s="5">
        <f>AVERAGE('Главная таблица'!G6:G8)</f>
        <v>0.17171663879781271</v>
      </c>
      <c r="G3" s="5">
        <f t="shared" si="0"/>
        <v>2422.4756308887681</v>
      </c>
      <c r="H3" s="5">
        <f t="shared" ref="H3:H10" si="1">G3/(2*L3)</f>
        <v>385.56034233467579</v>
      </c>
      <c r="I3" s="5"/>
      <c r="L3">
        <f>L2</f>
        <v>3.1415000000000002</v>
      </c>
    </row>
    <row r="4" spans="1:12">
      <c r="A4" s="1">
        <v>3</v>
      </c>
      <c r="B4" s="5">
        <v>0.22</v>
      </c>
      <c r="C4" s="5">
        <f t="shared" ref="C4:C10" si="2">C3</f>
        <v>9.81</v>
      </c>
      <c r="D4" s="5">
        <f t="shared" ref="D4:D10" si="3">D3</f>
        <v>0.11799999999999999</v>
      </c>
      <c r="E4" s="5">
        <f t="shared" ref="E4:E10" si="4">E3</f>
        <v>7.6248232642968795E-4</v>
      </c>
      <c r="F4" s="5">
        <f>AVERAGE('Главная таблица'!G9:G11)</f>
        <v>0.13733333333333334</v>
      </c>
      <c r="G4" s="5">
        <f t="shared" si="0"/>
        <v>2432.0245386387205</v>
      </c>
      <c r="H4" s="5">
        <f t="shared" si="1"/>
        <v>387.08014302701264</v>
      </c>
      <c r="I4" s="5"/>
      <c r="L4">
        <f t="shared" ref="L4:L10" si="5">L3</f>
        <v>3.1415000000000002</v>
      </c>
    </row>
    <row r="5" spans="1:12">
      <c r="A5" s="1">
        <v>4</v>
      </c>
      <c r="B5" s="5">
        <v>0.17899999999999999</v>
      </c>
      <c r="C5" s="5">
        <f t="shared" si="2"/>
        <v>9.81</v>
      </c>
      <c r="D5" s="5">
        <f t="shared" si="3"/>
        <v>0.11799999999999999</v>
      </c>
      <c r="E5" s="5">
        <f t="shared" si="4"/>
        <v>7.6248232642968795E-4</v>
      </c>
      <c r="F5" s="5">
        <f>AVERAGE('Главная таблица'!G12:G14)</f>
        <v>0.1116524458874459</v>
      </c>
      <c r="G5" s="5">
        <f t="shared" si="0"/>
        <v>2433.9184496430307</v>
      </c>
      <c r="H5" s="5">
        <f t="shared" si="1"/>
        <v>387.38157721518871</v>
      </c>
      <c r="I5" s="5"/>
      <c r="L5">
        <f t="shared" si="5"/>
        <v>3.1415000000000002</v>
      </c>
    </row>
    <row r="6" spans="1:12">
      <c r="A6" s="1">
        <v>5</v>
      </c>
      <c r="B6" s="5">
        <v>0.14199999999999999</v>
      </c>
      <c r="C6" s="5">
        <f t="shared" si="2"/>
        <v>9.81</v>
      </c>
      <c r="D6" s="5">
        <f t="shared" si="3"/>
        <v>0.11799999999999999</v>
      </c>
      <c r="E6" s="5">
        <f t="shared" si="4"/>
        <v>7.6248232642968795E-4</v>
      </c>
      <c r="F6" s="5">
        <f>AVERAGE('Главная таблица'!G15:G17)</f>
        <v>8.9247159090909092E-2</v>
      </c>
      <c r="G6" s="5">
        <f t="shared" si="0"/>
        <v>2415.5452466829165</v>
      </c>
      <c r="H6" s="5">
        <f t="shared" si="1"/>
        <v>384.4573048993978</v>
      </c>
      <c r="I6" s="5"/>
      <c r="L6">
        <f t="shared" si="5"/>
        <v>3.1415000000000002</v>
      </c>
    </row>
    <row r="7" spans="1:12">
      <c r="A7" s="1">
        <v>6</v>
      </c>
      <c r="B7" s="5">
        <v>0.11700000000000001</v>
      </c>
      <c r="C7" s="5">
        <f t="shared" si="2"/>
        <v>9.81</v>
      </c>
      <c r="D7" s="5">
        <f t="shared" si="3"/>
        <v>0.11799999999999999</v>
      </c>
      <c r="E7" s="5">
        <f t="shared" si="4"/>
        <v>7.6248232642968795E-4</v>
      </c>
      <c r="F7" s="5">
        <f>AVERAGE('Главная таблица'!G18:G20)</f>
        <v>7.2635838150289025E-2</v>
      </c>
      <c r="G7" s="5">
        <f t="shared" si="0"/>
        <v>2445.4351061394104</v>
      </c>
      <c r="H7" s="5">
        <f t="shared" si="1"/>
        <v>389.21456408394243</v>
      </c>
      <c r="I7" s="5"/>
      <c r="L7">
        <f t="shared" si="5"/>
        <v>3.1415000000000002</v>
      </c>
    </row>
    <row r="8" spans="1:12">
      <c r="A8" s="1">
        <v>7</v>
      </c>
      <c r="B8" s="5">
        <v>0.93</v>
      </c>
      <c r="C8" s="5">
        <f t="shared" si="2"/>
        <v>9.81</v>
      </c>
      <c r="D8" s="5">
        <f t="shared" si="3"/>
        <v>0.11799999999999999</v>
      </c>
      <c r="E8" s="5">
        <f t="shared" si="4"/>
        <v>7.6248232642968795E-4</v>
      </c>
      <c r="F8" s="5">
        <f>AVERAGE('Главная таблица'!G21:G23)</f>
        <v>5.8356037151702789E-2</v>
      </c>
      <c r="G8" s="5">
        <f t="shared" si="0"/>
        <v>24194.596826020374</v>
      </c>
      <c r="H8" s="5">
        <f t="shared" si="1"/>
        <v>3850.8032509979903</v>
      </c>
      <c r="I8" s="5"/>
      <c r="L8">
        <f t="shared" si="5"/>
        <v>3.1415000000000002</v>
      </c>
    </row>
    <row r="9" spans="1:12">
      <c r="A9" s="1">
        <v>8</v>
      </c>
      <c r="B9" s="5">
        <v>0.76</v>
      </c>
      <c r="C9" s="5">
        <f t="shared" si="2"/>
        <v>9.81</v>
      </c>
      <c r="D9" s="5">
        <f t="shared" si="3"/>
        <v>0.11799999999999999</v>
      </c>
      <c r="E9" s="5">
        <f t="shared" si="4"/>
        <v>7.6248232642968795E-4</v>
      </c>
      <c r="F9" s="5">
        <f>AVERAGE('Главная таблица'!G24:G26)</f>
        <v>4.771898734177215E-2</v>
      </c>
      <c r="G9" s="5">
        <f t="shared" si="0"/>
        <v>24179.293475719285</v>
      </c>
      <c r="H9" s="5">
        <f t="shared" si="1"/>
        <v>3848.3675753174093</v>
      </c>
      <c r="I9" s="5"/>
      <c r="L9">
        <f t="shared" si="5"/>
        <v>3.1415000000000002</v>
      </c>
    </row>
    <row r="10" spans="1:12">
      <c r="A10" s="1">
        <v>9</v>
      </c>
      <c r="B10" s="5">
        <v>0.56999999999999995</v>
      </c>
      <c r="C10" s="5">
        <f t="shared" si="2"/>
        <v>9.81</v>
      </c>
      <c r="D10" s="5">
        <f t="shared" si="3"/>
        <v>0.11799999999999999</v>
      </c>
      <c r="E10" s="5">
        <f t="shared" si="4"/>
        <v>7.6248232642968795E-4</v>
      </c>
      <c r="F10" s="5">
        <f>AVERAGE('Главная таблица'!G27:G29)</f>
        <v>3.519887955182073E-2</v>
      </c>
      <c r="G10" s="5">
        <f t="shared" si="0"/>
        <v>24584.832258698116</v>
      </c>
      <c r="H10" s="5">
        <f t="shared" si="1"/>
        <v>3912.9129808527955</v>
      </c>
      <c r="I10" s="5"/>
      <c r="L10">
        <f t="shared" si="5"/>
        <v>3.1415000000000002</v>
      </c>
    </row>
  </sheetData>
  <pageMargins left="0.75" right="0.75" top="1" bottom="1" header="0.5" footer="0.5"/>
  <drawing r:id="rId1"/>
  <legacyDrawing r:id="rId2"/>
  <oleObjects>
    <mc:AlternateContent xmlns:mc="http://schemas.openxmlformats.org/markup-compatibility/2006">
      <mc:Choice Requires="x14">
        <oleObject progId="Equation.KSEE3" shapeId="2049" r:id="rId3">
          <objectPr defaultSize="0" altText="" r:id="rId4">
            <anchor moveWithCells="1">
              <from>
                <xdr:col>9</xdr:col>
                <xdr:colOff>9525</xdr:colOff>
                <xdr:row>0</xdr:row>
                <xdr:rowOff>0</xdr:rowOff>
              </from>
              <to>
                <xdr:col>9</xdr:col>
                <xdr:colOff>595313</xdr:colOff>
                <xdr:row>2</xdr:row>
                <xdr:rowOff>14288</xdr:rowOff>
              </to>
            </anchor>
          </objectPr>
        </oleObject>
      </mc:Choice>
      <mc:Fallback>
        <oleObject progId="Equation.KSEE3" shapeId="2049" r:id="rId3"/>
      </mc:Fallback>
    </mc:AlternateContent>
    <mc:AlternateContent xmlns:mc="http://schemas.openxmlformats.org/markup-compatibility/2006">
      <mc:Choice Requires="x14">
        <oleObject progId="Equation.KSEE3" shapeId="2050" r:id="rId5">
          <objectPr defaultSize="0" altText="" r:id="rId6">
            <anchor moveWithCells="1">
              <from>
                <xdr:col>10</xdr:col>
                <xdr:colOff>9525</xdr:colOff>
                <xdr:row>0</xdr:row>
                <xdr:rowOff>0</xdr:rowOff>
              </from>
              <to>
                <xdr:col>10</xdr:col>
                <xdr:colOff>590550</xdr:colOff>
                <xdr:row>2</xdr:row>
                <xdr:rowOff>14288</xdr:rowOff>
              </to>
            </anchor>
          </objectPr>
        </oleObject>
      </mc:Choice>
      <mc:Fallback>
        <oleObject progId="Equation.KSEE3" shapeId="2050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 таблица</vt:lpstr>
      <vt:lpstr>Момент инерции ротора</vt:lpstr>
      <vt:lpstr>Итоги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Michael</cp:lastModifiedBy>
  <dcterms:created xsi:type="dcterms:W3CDTF">2023-10-19T20:23:47Z</dcterms:created>
  <dcterms:modified xsi:type="dcterms:W3CDTF">2023-11-03T07:04:04Z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8BCECF6CC2E449A3A5DA333B1EB3ED13_11</vt:lpwstr>
  </property>
  <property fmtid="{D5CDD505-2E9C-101B-9397-08002B2CF9AE}" pid="3" name="KSOProductBuildVer">
    <vt:lpwstr>1049-12.2.0.13215</vt:lpwstr>
  </property>
</Properties>
</file>