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\Labs\1.3.3\"/>
    </mc:Choice>
  </mc:AlternateContent>
  <xr:revisionPtr revIDLastSave="0" documentId="13_ncr:1_{A7E47BB7-6195-4464-BE9C-88D0D269C4F7}" xr6:coauthVersionLast="45" xr6:coauthVersionMax="45" xr10:uidLastSave="{00000000-0000-0000-0000-000000000000}"/>
  <bookViews>
    <workbookView xWindow="-98" yWindow="-98" windowWidth="19095" windowHeight="12075" xr2:uid="{7F98F606-B8AC-4F73-A1D8-FB95E93D813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40" i="1" l="1"/>
  <c r="AF41" i="1"/>
  <c r="AF42" i="1"/>
  <c r="AF44" i="1"/>
  <c r="AF45" i="1"/>
  <c r="AF46" i="1"/>
  <c r="AF40" i="1"/>
  <c r="AE44" i="1"/>
  <c r="AE45" i="1"/>
  <c r="AE46" i="1"/>
  <c r="AC44" i="1"/>
  <c r="AC45" i="1"/>
  <c r="AC46" i="1"/>
  <c r="Z42" i="1"/>
  <c r="AE42" i="1" s="1"/>
  <c r="AC42" i="1"/>
  <c r="Z41" i="1"/>
  <c r="AE41" i="1" s="1"/>
  <c r="AC41" i="1"/>
  <c r="Z40" i="1"/>
  <c r="AC40" i="1"/>
  <c r="R30" i="1"/>
  <c r="R31" i="1"/>
  <c r="R32" i="1"/>
  <c r="R33" i="1"/>
  <c r="R25" i="1"/>
  <c r="M27" i="1"/>
  <c r="M25" i="1"/>
  <c r="M28" i="1"/>
  <c r="M26" i="1"/>
  <c r="H32" i="1"/>
  <c r="I32" i="1"/>
  <c r="H31" i="1"/>
  <c r="H29" i="1"/>
  <c r="H27" i="1"/>
  <c r="H26" i="1"/>
  <c r="S6" i="1"/>
  <c r="S18" i="1"/>
  <c r="S17" i="1"/>
  <c r="S16" i="1"/>
  <c r="S15" i="1"/>
  <c r="S14" i="1"/>
  <c r="S13" i="1"/>
  <c r="S11" i="1"/>
  <c r="S10" i="1"/>
  <c r="S9" i="1"/>
  <c r="S8" i="1"/>
  <c r="S7" i="1"/>
  <c r="N18" i="1"/>
  <c r="N17" i="1"/>
  <c r="N16" i="1"/>
  <c r="N15" i="1"/>
  <c r="N14" i="1"/>
  <c r="N13" i="1"/>
  <c r="N11" i="1"/>
  <c r="N10" i="1"/>
  <c r="N9" i="1"/>
  <c r="N8" i="1"/>
  <c r="N7" i="1"/>
  <c r="N6" i="1"/>
  <c r="I7" i="1"/>
  <c r="I8" i="1"/>
  <c r="I9" i="1"/>
  <c r="I10" i="1"/>
  <c r="I11" i="1"/>
  <c r="I13" i="1"/>
  <c r="I14" i="1"/>
  <c r="I15" i="1"/>
  <c r="I16" i="1"/>
  <c r="I17" i="1"/>
  <c r="I18" i="1"/>
  <c r="I6" i="1"/>
  <c r="B24" i="1"/>
  <c r="Q22" i="1" l="1"/>
  <c r="Q18" i="1"/>
  <c r="Q17" i="1"/>
  <c r="Q16" i="1"/>
  <c r="Q15" i="1"/>
  <c r="Q14" i="1"/>
  <c r="Q13" i="1"/>
  <c r="Q11" i="1"/>
  <c r="Q10" i="1"/>
  <c r="Q9" i="1"/>
  <c r="Q8" i="1"/>
  <c r="Q7" i="1"/>
  <c r="Q6" i="1"/>
  <c r="D24" i="1"/>
  <c r="L22" i="1"/>
  <c r="L11" i="1"/>
  <c r="L18" i="1"/>
  <c r="L17" i="1"/>
  <c r="L16" i="1"/>
  <c r="L15" i="1"/>
  <c r="L14" i="1"/>
  <c r="L13" i="1"/>
  <c r="L9" i="1"/>
  <c r="L10" i="1"/>
  <c r="L8" i="1"/>
  <c r="L7" i="1"/>
  <c r="L6" i="1"/>
  <c r="C24" i="1"/>
  <c r="F32" i="1"/>
  <c r="F25" i="1"/>
  <c r="F30" i="1"/>
  <c r="F28" i="1" s="1"/>
  <c r="F33" i="1"/>
  <c r="G22" i="1"/>
  <c r="G18" i="1"/>
  <c r="G17" i="1"/>
  <c r="G16" i="1"/>
  <c r="G15" i="1"/>
  <c r="G14" i="1"/>
  <c r="G13" i="1"/>
  <c r="G11" i="1"/>
  <c r="G10" i="1"/>
  <c r="G9" i="1"/>
  <c r="G8" i="1"/>
  <c r="G7" i="1"/>
  <c r="G6" i="1"/>
  <c r="B32" i="1"/>
  <c r="B31" i="1"/>
  <c r="B33" i="1" s="1"/>
  <c r="D12" i="1"/>
  <c r="D11" i="1"/>
  <c r="D9" i="1" s="1"/>
  <c r="D10" i="1" s="1"/>
  <c r="D14" i="1" s="1"/>
  <c r="C9" i="1"/>
  <c r="C10" i="1" s="1"/>
  <c r="C14" i="1" s="1"/>
  <c r="C12" i="1"/>
  <c r="C11" i="1"/>
  <c r="B11" i="1"/>
  <c r="B12" i="1"/>
  <c r="B9" i="1"/>
  <c r="B10" i="1" s="1"/>
  <c r="B14" i="1" s="1"/>
</calcChain>
</file>

<file path=xl/sharedStrings.xml><?xml version="1.0" encoding="utf-8"?>
<sst xmlns="http://schemas.openxmlformats.org/spreadsheetml/2006/main" count="61" uniqueCount="26">
  <si>
    <t>lyct</t>
  </si>
  <si>
    <t>nair, Pa*c</t>
  </si>
  <si>
    <t>влажн</t>
  </si>
  <si>
    <t>давоение атм, кПа</t>
  </si>
  <si>
    <t>rho</t>
  </si>
  <si>
    <t>ucp крит</t>
  </si>
  <si>
    <t>Re крит</t>
  </si>
  <si>
    <t>Q крит</t>
  </si>
  <si>
    <t>d, m</t>
  </si>
  <si>
    <t>delta d, m</t>
  </si>
  <si>
    <t>dP крит, Па</t>
  </si>
  <si>
    <t>dP крит, дел</t>
  </si>
  <si>
    <t>экпер. dP, дел</t>
  </si>
  <si>
    <t>экпер. dP, Па</t>
  </si>
  <si>
    <t>delta V, л</t>
  </si>
  <si>
    <t>delta t, c</t>
  </si>
  <si>
    <t>t min</t>
  </si>
  <si>
    <t>V min</t>
  </si>
  <si>
    <t>Qmin</t>
  </si>
  <si>
    <t>l, m</t>
  </si>
  <si>
    <t>dP, дел</t>
  </si>
  <si>
    <t>Q, л/с</t>
  </si>
  <si>
    <t>T комнатое</t>
  </si>
  <si>
    <t>ламинарное</t>
  </si>
  <si>
    <t>турбулентное</t>
  </si>
  <si>
    <t>dP, 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</si>
</sst>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P(Q)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ламинарное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320940165608591"/>
                  <c:y val="4.6675477049103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Лист1!$F$45:$F$50</c:f>
              <c:numCache>
                <c:formatCode>General</c:formatCode>
                <c:ptCount val="6"/>
                <c:pt idx="0">
                  <c:v>3.9490651192778852E-3</c:v>
                </c:pt>
                <c:pt idx="1">
                  <c:v>1.2009204659859054E-2</c:v>
                </c:pt>
                <c:pt idx="2">
                  <c:v>2.0091175512862259E-2</c:v>
                </c:pt>
                <c:pt idx="3">
                  <c:v>3.351111111111111E-2</c:v>
                </c:pt>
                <c:pt idx="4">
                  <c:v>5.3057384760112881E-2</c:v>
                </c:pt>
                <c:pt idx="5">
                  <c:v>6.514942528735633E-2</c:v>
                </c:pt>
              </c:numCache>
            </c:numRef>
          </c:xVal>
          <c:yVal>
            <c:numRef>
              <c:f>Лист1!$G$45:$G$50</c:f>
              <c:numCache>
                <c:formatCode>General</c:formatCode>
                <c:ptCount val="6"/>
                <c:pt idx="0">
                  <c:v>7.8400000000000007</c:v>
                </c:pt>
                <c:pt idx="1">
                  <c:v>15.680000000000001</c:v>
                </c:pt>
                <c:pt idx="2">
                  <c:v>27.440000000000005</c:v>
                </c:pt>
                <c:pt idx="3">
                  <c:v>43.120000000000005</c:v>
                </c:pt>
                <c:pt idx="4">
                  <c:v>70.56</c:v>
                </c:pt>
                <c:pt idx="5">
                  <c:v>90.160000000000011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AA-457F-AEDC-65DCB228616A}"/>
            </c:ext>
          </c:extLst>
        </c:ser>
        <c:ser>
          <c:idx val="1"/>
          <c:order val="1"/>
          <c:tx>
            <c:v>турбулентное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Лист1!$F$51:$F$56</c:f>
              <c:numCache>
                <c:formatCode>General</c:formatCode>
                <c:ptCount val="6"/>
                <c:pt idx="0">
                  <c:v>9.4228302693458749E-2</c:v>
                </c:pt>
                <c:pt idx="1">
                  <c:v>0.10051305970149252</c:v>
                </c:pt>
                <c:pt idx="2">
                  <c:v>0.10489913544668587</c:v>
                </c:pt>
                <c:pt idx="3">
                  <c:v>0.11698485845951284</c:v>
                </c:pt>
                <c:pt idx="4">
                  <c:v>0.13857050869285256</c:v>
                </c:pt>
                <c:pt idx="5">
                  <c:v>0.15370705244122965</c:v>
                </c:pt>
              </c:numCache>
            </c:numRef>
          </c:xVal>
          <c:yVal>
            <c:numRef>
              <c:f>Лист1!$G$51:$G$56</c:f>
              <c:numCache>
                <c:formatCode>General</c:formatCode>
                <c:ptCount val="6"/>
                <c:pt idx="0">
                  <c:v>133.28000000000003</c:v>
                </c:pt>
                <c:pt idx="1">
                  <c:v>152.88000000000002</c:v>
                </c:pt>
                <c:pt idx="2">
                  <c:v>168.56</c:v>
                </c:pt>
                <c:pt idx="3">
                  <c:v>227.36000000000004</c:v>
                </c:pt>
                <c:pt idx="4">
                  <c:v>333.20000000000005</c:v>
                </c:pt>
                <c:pt idx="5">
                  <c:v>395.92000000000007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AA-457F-AEDC-65DCB2286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272223"/>
        <c:axId val="1049091151"/>
      </c:scatterChart>
      <c:valAx>
        <c:axId val="145727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Q,</a:t>
                </a:r>
                <a:r>
                  <a:rPr lang="en-US" baseline="0"/>
                  <a:t> </a:t>
                </a:r>
                <a:r>
                  <a:rPr lang="ru-RU" baseline="0"/>
                  <a:t>л/с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9091151"/>
        <c:crosses val="autoZero"/>
        <c:crossBetween val="midCat"/>
      </c:valAx>
      <c:valAx>
        <c:axId val="104909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Δ</a:t>
                </a:r>
                <a:r>
                  <a:rPr lang="en-US" sz="1000" b="0" i="0" u="none" strike="noStrike" baseline="0">
                    <a:effectLst/>
                  </a:rPr>
                  <a:t>P, </a:t>
                </a:r>
                <a:r>
                  <a:rPr lang="ru-RU" sz="1000" b="0" i="0" u="none" strike="noStrike" baseline="0">
                    <a:effectLst/>
                  </a:rPr>
                  <a:t>Па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7272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P(Q)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ламинарное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320940165608591"/>
                  <c:y val="4.6675477049103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Лист1!$L$6:$L$11</c:f>
              <c:numCache>
                <c:formatCode>General</c:formatCode>
                <c:ptCount val="6"/>
                <c:pt idx="0">
                  <c:v>2.0692717584369451E-2</c:v>
                </c:pt>
                <c:pt idx="1">
                  <c:v>5.2848101265822782E-2</c:v>
                </c:pt>
                <c:pt idx="2">
                  <c:v>7.3684210526315783E-2</c:v>
                </c:pt>
                <c:pt idx="3">
                  <c:v>9.1740226986128631E-2</c:v>
                </c:pt>
                <c:pt idx="4">
                  <c:v>0.10223015165031221</c:v>
                </c:pt>
                <c:pt idx="5">
                  <c:v>0.10180275715800637</c:v>
                </c:pt>
              </c:numCache>
            </c:numRef>
          </c:xVal>
          <c:yVal>
            <c:numRef>
              <c:f>Лист1!$N$6:$N$11</c:f>
              <c:numCache>
                <c:formatCode>General</c:formatCode>
                <c:ptCount val="6"/>
                <c:pt idx="0">
                  <c:v>23.520000000000007</c:v>
                </c:pt>
                <c:pt idx="1">
                  <c:v>54.88000000000001</c:v>
                </c:pt>
                <c:pt idx="2">
                  <c:v>82.320000000000007</c:v>
                </c:pt>
                <c:pt idx="3">
                  <c:v>117.60000000000001</c:v>
                </c:pt>
                <c:pt idx="4">
                  <c:v>148.96</c:v>
                </c:pt>
                <c:pt idx="5">
                  <c:v>152.88000000000002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6D-4B6F-82C4-EF1C9E9934F4}"/>
            </c:ext>
          </c:extLst>
        </c:ser>
        <c:ser>
          <c:idx val="1"/>
          <c:order val="1"/>
          <c:tx>
            <c:v>турбулентное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Лист1!$L$13:$L$18</c:f>
              <c:numCache>
                <c:formatCode>General</c:formatCode>
                <c:ptCount val="6"/>
                <c:pt idx="0">
                  <c:v>0.12216349541930938</c:v>
                </c:pt>
                <c:pt idx="1">
                  <c:v>0.13147739801543548</c:v>
                </c:pt>
                <c:pt idx="2">
                  <c:v>0.14467368421052632</c:v>
                </c:pt>
                <c:pt idx="3">
                  <c:v>0.15584524810765349</c:v>
                </c:pt>
                <c:pt idx="4">
                  <c:v>0.1744173140954495</c:v>
                </c:pt>
                <c:pt idx="5">
                  <c:v>0.17962740384615383</c:v>
                </c:pt>
              </c:numCache>
            </c:numRef>
          </c:xVal>
          <c:yVal>
            <c:numRef>
              <c:f>Лист1!$N$13:$N$18</c:f>
              <c:numCache>
                <c:formatCode>General</c:formatCode>
                <c:ptCount val="6"/>
                <c:pt idx="0">
                  <c:v>219.52000000000004</c:v>
                </c:pt>
                <c:pt idx="1">
                  <c:v>254.8</c:v>
                </c:pt>
                <c:pt idx="2">
                  <c:v>305.76000000000005</c:v>
                </c:pt>
                <c:pt idx="3">
                  <c:v>352.8</c:v>
                </c:pt>
                <c:pt idx="4">
                  <c:v>439.04000000000008</c:v>
                </c:pt>
                <c:pt idx="5">
                  <c:v>462.56000000000006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6D-4B6F-82C4-EF1C9E993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272223"/>
        <c:axId val="1049091151"/>
      </c:scatterChart>
      <c:valAx>
        <c:axId val="145727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Q,</a:t>
                </a:r>
                <a:r>
                  <a:rPr lang="en-US" baseline="0"/>
                  <a:t> </a:t>
                </a:r>
                <a:r>
                  <a:rPr lang="ru-RU" baseline="0"/>
                  <a:t>л/с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9091151"/>
        <c:crosses val="autoZero"/>
        <c:crossBetween val="midCat"/>
      </c:valAx>
      <c:valAx>
        <c:axId val="104909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Δ</a:t>
                </a:r>
                <a:r>
                  <a:rPr lang="en-US" sz="1000" b="0" i="0" u="none" strike="noStrike" baseline="0">
                    <a:effectLst/>
                  </a:rPr>
                  <a:t>P, </a:t>
                </a:r>
                <a:r>
                  <a:rPr lang="ru-RU" sz="1000" b="0" i="0" u="none" strike="noStrike" baseline="0">
                    <a:effectLst/>
                  </a:rPr>
                  <a:t>Па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7272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P(Q)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ламинарное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320940165608591"/>
                  <c:y val="4.66754770491036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Лист1!$Q$6:$Q$11</c:f>
              <c:numCache>
                <c:formatCode>General</c:formatCode>
                <c:ptCount val="6"/>
                <c:pt idx="0">
                  <c:v>7.7708703374777975E-3</c:v>
                </c:pt>
                <c:pt idx="1">
                  <c:v>2.9388221841052033E-2</c:v>
                </c:pt>
                <c:pt idx="2">
                  <c:v>5.4834858734580182E-2</c:v>
                </c:pt>
                <c:pt idx="3">
                  <c:v>8.5561115082201572E-2</c:v>
                </c:pt>
                <c:pt idx="4">
                  <c:v>0.11406619385342788</c:v>
                </c:pt>
                <c:pt idx="5">
                  <c:v>0.13777544596012592</c:v>
                </c:pt>
              </c:numCache>
            </c:numRef>
          </c:xVal>
          <c:yVal>
            <c:numRef>
              <c:f>Лист1!$S$6:$S$11</c:f>
              <c:numCache>
                <c:formatCode>General</c:formatCode>
                <c:ptCount val="6"/>
                <c:pt idx="0">
                  <c:v>3.9200000000000004</c:v>
                </c:pt>
                <c:pt idx="1">
                  <c:v>11.760000000000003</c:v>
                </c:pt>
                <c:pt idx="2">
                  <c:v>19.600000000000001</c:v>
                </c:pt>
                <c:pt idx="3">
                  <c:v>31.360000000000003</c:v>
                </c:pt>
                <c:pt idx="4">
                  <c:v>39.200000000000003</c:v>
                </c:pt>
                <c:pt idx="5">
                  <c:v>50.960000000000008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FC-4F1A-A4B7-C938E6763342}"/>
            </c:ext>
          </c:extLst>
        </c:ser>
        <c:ser>
          <c:idx val="1"/>
          <c:order val="1"/>
          <c:tx>
            <c:v>турбулентное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Лист1!$Q$13:$Q$18</c:f>
              <c:numCache>
                <c:formatCode>General</c:formatCode>
                <c:ptCount val="6"/>
                <c:pt idx="0">
                  <c:v>0.15852036575228595</c:v>
                </c:pt>
                <c:pt idx="1">
                  <c:v>0.17940226171243942</c:v>
                </c:pt>
                <c:pt idx="2">
                  <c:v>0.19705694177863084</c:v>
                </c:pt>
                <c:pt idx="3">
                  <c:v>0.22923512747875358</c:v>
                </c:pt>
                <c:pt idx="4">
                  <c:v>0.27904124860646601</c:v>
                </c:pt>
                <c:pt idx="5">
                  <c:v>0.30506097560975615</c:v>
                </c:pt>
              </c:numCache>
            </c:numRef>
          </c:xVal>
          <c:yVal>
            <c:numRef>
              <c:f>Лист1!$S$13:$S$18</c:f>
              <c:numCache>
                <c:formatCode>General</c:formatCode>
                <c:ptCount val="6"/>
                <c:pt idx="0">
                  <c:v>70.56</c:v>
                </c:pt>
                <c:pt idx="1">
                  <c:v>98</c:v>
                </c:pt>
                <c:pt idx="2">
                  <c:v>121.52000000000001</c:v>
                </c:pt>
                <c:pt idx="3">
                  <c:v>164.64000000000001</c:v>
                </c:pt>
                <c:pt idx="4">
                  <c:v>235.20000000000002</c:v>
                </c:pt>
                <c:pt idx="5">
                  <c:v>278.32000000000005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0FC-4F1A-A4B7-C938E6763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272223"/>
        <c:axId val="1049091151"/>
      </c:scatterChart>
      <c:valAx>
        <c:axId val="1457272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Q,</a:t>
                </a:r>
                <a:r>
                  <a:rPr lang="en-US" baseline="0"/>
                  <a:t> </a:t>
                </a:r>
                <a:r>
                  <a:rPr lang="ru-RU" baseline="0"/>
                  <a:t>л/с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9091151"/>
        <c:crosses val="autoZero"/>
        <c:crossBetween val="midCat"/>
      </c:valAx>
      <c:valAx>
        <c:axId val="104909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baseline="0">
                    <a:effectLst/>
                  </a:rPr>
                  <a:t>Δ</a:t>
                </a:r>
                <a:r>
                  <a:rPr lang="en-US" sz="1000" b="0" i="0" u="none" strike="noStrike" baseline="0">
                    <a:effectLst/>
                  </a:rPr>
                  <a:t>P, </a:t>
                </a:r>
                <a:r>
                  <a:rPr lang="ru-RU" sz="1000" b="0" i="0" u="none" strike="noStrike" baseline="0">
                    <a:effectLst/>
                  </a:rPr>
                  <a:t>Па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72722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Лист1!$I$25:$I$33</c:f>
              <c:numCache>
                <c:formatCode>General</c:formatCode>
                <c:ptCount val="9"/>
                <c:pt idx="1">
                  <c:v>0.3</c:v>
                </c:pt>
                <c:pt idx="2">
                  <c:v>0.4</c:v>
                </c:pt>
                <c:pt idx="4">
                  <c:v>0.7</c:v>
                </c:pt>
                <c:pt idx="6">
                  <c:v>0.9</c:v>
                </c:pt>
                <c:pt idx="7">
                  <c:v>1.2</c:v>
                </c:pt>
              </c:numCache>
            </c:numRef>
          </c:xVal>
          <c:yVal>
            <c:numRef>
              <c:f>Лист1!$H$25:$H$33</c:f>
              <c:numCache>
                <c:formatCode>General</c:formatCode>
                <c:ptCount val="9"/>
                <c:pt idx="1">
                  <c:v>74.48</c:v>
                </c:pt>
                <c:pt idx="2">
                  <c:v>90.160000000000011</c:v>
                </c:pt>
                <c:pt idx="4">
                  <c:v>145.04000000000002</c:v>
                </c:pt>
                <c:pt idx="6">
                  <c:v>168.56</c:v>
                </c:pt>
                <c:pt idx="7">
                  <c:v>239.12000000000003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F6-4F8B-A211-B5C65F84936D}"/>
            </c:ext>
          </c:extLst>
        </c:ser>
        <c:ser>
          <c:idx val="1"/>
          <c:order val="1"/>
          <c:tx>
            <c:v>d2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Лист1!$K$25:$K$28</c:f>
              <c:numCache>
                <c:formatCode>General</c:formatCode>
                <c:ptCount val="4"/>
                <c:pt idx="0">
                  <c:v>0.2</c:v>
                </c:pt>
                <c:pt idx="1">
                  <c:v>0.3</c:v>
                </c:pt>
                <c:pt idx="2">
                  <c:v>0.5</c:v>
                </c:pt>
                <c:pt idx="3">
                  <c:v>0.6</c:v>
                </c:pt>
              </c:numCache>
            </c:numRef>
          </c:xVal>
          <c:yVal>
            <c:numRef>
              <c:f>Лист1!$M$25:$M$28</c:f>
              <c:numCache>
                <c:formatCode>General</c:formatCode>
                <c:ptCount val="4"/>
                <c:pt idx="0">
                  <c:v>98</c:v>
                </c:pt>
                <c:pt idx="1">
                  <c:v>168.56</c:v>
                </c:pt>
                <c:pt idx="2">
                  <c:v>309.68000000000006</c:v>
                </c:pt>
                <c:pt idx="3">
                  <c:v>403.76000000000005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F6-4F8B-A211-B5C65F84936D}"/>
            </c:ext>
          </c:extLst>
        </c:ser>
        <c:ser>
          <c:idx val="2"/>
          <c:order val="2"/>
          <c:tx>
            <c:v>d3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Лист1!$P$25:$P$33</c:f>
              <c:numCache>
                <c:formatCode>General</c:formatCode>
                <c:ptCount val="9"/>
                <c:pt idx="0">
                  <c:v>0.4</c:v>
                </c:pt>
                <c:pt idx="5">
                  <c:v>0.3</c:v>
                </c:pt>
                <c:pt idx="6">
                  <c:v>0.7</c:v>
                </c:pt>
                <c:pt idx="7">
                  <c:v>1.2</c:v>
                </c:pt>
                <c:pt idx="8">
                  <c:v>0.9</c:v>
                </c:pt>
              </c:numCache>
            </c:numRef>
          </c:xVal>
          <c:yVal>
            <c:numRef>
              <c:f>Лист1!$R$25:$R$33</c:f>
              <c:numCache>
                <c:formatCode>General</c:formatCode>
                <c:ptCount val="9"/>
                <c:pt idx="0">
                  <c:v>43.120000000000005</c:v>
                </c:pt>
                <c:pt idx="5">
                  <c:v>35.28</c:v>
                </c:pt>
                <c:pt idx="6">
                  <c:v>78.400000000000006</c:v>
                </c:pt>
                <c:pt idx="7">
                  <c:v>121.52000000000001</c:v>
                </c:pt>
                <c:pt idx="8">
                  <c:v>90.160000000000011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F6-4F8B-A211-B5C65F849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5195647"/>
        <c:axId val="1045181247"/>
      </c:scatterChart>
      <c:valAx>
        <c:axId val="1025195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x,</a:t>
                </a:r>
                <a:r>
                  <a:rPr lang="en-US" baseline="0"/>
                  <a:t> </a:t>
                </a:r>
                <a:r>
                  <a:rPr lang="ru-RU" baseline="0"/>
                  <a:t>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5181247"/>
        <c:crosses val="autoZero"/>
        <c:crossBetween val="midCat"/>
      </c:valAx>
      <c:valAx>
        <c:axId val="104518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</a:t>
                </a:r>
                <a:r>
                  <a:rPr lang="ru-RU"/>
                  <a:t>Па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5195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Q (ln r)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ламинарное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2632804655644432E-3"/>
                  <c:y val="0.143307256304137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Лист1!$AE$40:$AE$42</c:f>
              <c:numCache>
                <c:formatCode>General</c:formatCode>
                <c:ptCount val="3"/>
                <c:pt idx="0">
                  <c:v>-6.1899154858318202</c:v>
                </c:pt>
                <c:pt idx="1">
                  <c:v>-6.5022901708739722</c:v>
                </c:pt>
                <c:pt idx="2">
                  <c:v>-5.952243833954701</c:v>
                </c:pt>
              </c:numCache>
            </c:numRef>
          </c:xVal>
          <c:yVal>
            <c:numRef>
              <c:f>Лист1!$AF$40:$AF$42</c:f>
              <c:numCache>
                <c:formatCode>General</c:formatCode>
                <c:ptCount val="3"/>
                <c:pt idx="0">
                  <c:v>-3.1347389456620016</c:v>
                </c:pt>
                <c:pt idx="1">
                  <c:v>-4.3545592399732698</c:v>
                </c:pt>
                <c:pt idx="2">
                  <c:v>-1.9821301223454515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81-4B52-B3FD-07BC1F704F1E}"/>
            </c:ext>
          </c:extLst>
        </c:ser>
        <c:ser>
          <c:idx val="1"/>
          <c:order val="1"/>
          <c:tx>
            <c:v>турбулентное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0812344147876452E-2"/>
                  <c:y val="-2.58338701679094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Лист1!$AE$44:$AE$46</c:f>
              <c:numCache>
                <c:formatCode>General</c:formatCode>
                <c:ptCount val="3"/>
                <c:pt idx="0">
                  <c:v>-6.1899154858318202</c:v>
                </c:pt>
                <c:pt idx="1">
                  <c:v>-6.5022901708739722</c:v>
                </c:pt>
                <c:pt idx="2">
                  <c:v>-5.952243833954701</c:v>
                </c:pt>
              </c:numCache>
            </c:numRef>
          </c:xVal>
          <c:yVal>
            <c:numRef>
              <c:f>Лист1!$AF$44:$AF$46</c:f>
              <c:numCache>
                <c:formatCode>General</c:formatCode>
                <c:ptCount val="3"/>
                <c:pt idx="0">
                  <c:v>-2.0636874243596228</c:v>
                </c:pt>
                <c:pt idx="1">
                  <c:v>-2.7779873418893732</c:v>
                </c:pt>
                <c:pt idx="2">
                  <c:v>-1.2763956636210676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81-4B52-B3FD-07BC1F704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729823"/>
        <c:axId val="1045175423"/>
      </c:scatterChart>
      <c:valAx>
        <c:axId val="125772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r</a:t>
                </a:r>
              </a:p>
            </c:rich>
          </c:tx>
          <c:layout>
            <c:manualLayout>
              <c:xMode val="edge"/>
              <c:yMode val="edge"/>
              <c:x val="0.34521698062149403"/>
              <c:y val="0.922880275848005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5175423"/>
        <c:crosses val="autoZero"/>
        <c:crossBetween val="midCat"/>
      </c:valAx>
      <c:valAx>
        <c:axId val="104517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 Q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57729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619125</xdr:colOff>
      <xdr:row>37</xdr:row>
      <xdr:rowOff>11906</xdr:rowOff>
    </xdr:from>
    <xdr:to>
      <xdr:col>21</xdr:col>
      <xdr:colOff>511968</xdr:colOff>
      <xdr:row>64</xdr:row>
      <xdr:rowOff>59531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3952D3A-74E2-4D36-B7D9-512C5E9E3B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71</xdr:row>
      <xdr:rowOff>0</xdr:rowOff>
    </xdr:from>
    <xdr:to>
      <xdr:col>21</xdr:col>
      <xdr:colOff>541733</xdr:colOff>
      <xdr:row>98</xdr:row>
      <xdr:rowOff>71438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35C051D-F859-4862-86C1-66AE55B9A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549519</xdr:colOff>
      <xdr:row>71</xdr:row>
      <xdr:rowOff>0</xdr:rowOff>
    </xdr:from>
    <xdr:to>
      <xdr:col>35</xdr:col>
      <xdr:colOff>446483</xdr:colOff>
      <xdr:row>98</xdr:row>
      <xdr:rowOff>71438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99F37D0-F98D-4A2B-9A24-E6E4E8804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193674</xdr:colOff>
      <xdr:row>8</xdr:row>
      <xdr:rowOff>12700</xdr:rowOff>
    </xdr:from>
    <xdr:to>
      <xdr:col>33</xdr:col>
      <xdr:colOff>203200</xdr:colOff>
      <xdr:row>35</xdr:row>
      <xdr:rowOff>19049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49F69A2-E174-4875-9F0B-DFCDF81AE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28573</xdr:colOff>
      <xdr:row>30</xdr:row>
      <xdr:rowOff>133946</xdr:rowOff>
    </xdr:from>
    <xdr:to>
      <xdr:col>53</xdr:col>
      <xdr:colOff>632519</xdr:colOff>
      <xdr:row>67</xdr:row>
      <xdr:rowOff>74413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08814D9-A2BE-4712-923A-B97A47D68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4103-66E6-4497-82E0-B1CF26ECAEF0}">
  <dimension ref="A1:AF57"/>
  <sheetViews>
    <sheetView tabSelected="1" topLeftCell="Z28" zoomScale="64" workbookViewId="0">
      <selection activeCell="AG50" sqref="AG50"/>
    </sheetView>
  </sheetViews>
  <sheetFormatPr defaultRowHeight="14.25" x14ac:dyDescent="0.45"/>
  <cols>
    <col min="2" max="3" width="11.59765625" bestFit="1" customWidth="1"/>
    <col min="5" max="5" width="12.06640625" customWidth="1"/>
  </cols>
  <sheetData>
    <row r="1" spans="1:19" ht="14.65" thickBot="1" x14ac:dyDescent="0.5">
      <c r="A1" t="s">
        <v>8</v>
      </c>
      <c r="B1">
        <v>4.1000000000000003E-3</v>
      </c>
      <c r="C1">
        <v>3.0000000000000001E-3</v>
      </c>
      <c r="D1">
        <v>5.1999999999999998E-3</v>
      </c>
    </row>
    <row r="2" spans="1:19" x14ac:dyDescent="0.45">
      <c r="A2" t="s">
        <v>9</v>
      </c>
      <c r="B2">
        <v>5.0000000000000002E-5</v>
      </c>
      <c r="C2">
        <v>1E-4</v>
      </c>
      <c r="D2">
        <v>5.0000000000000002E-5</v>
      </c>
      <c r="F2" s="2"/>
      <c r="G2" s="3"/>
      <c r="H2" s="3" t="s">
        <v>8</v>
      </c>
      <c r="I2" s="4">
        <v>4.1000000000000003E-3</v>
      </c>
      <c r="K2" s="2"/>
      <c r="L2" s="3"/>
      <c r="M2" s="3" t="s">
        <v>8</v>
      </c>
      <c r="N2" s="4">
        <v>3.0000000000000001E-3</v>
      </c>
      <c r="P2" s="2"/>
      <c r="Q2" s="3"/>
      <c r="R2" s="3" t="s">
        <v>8</v>
      </c>
      <c r="S2" s="4">
        <v>5.1999999999999998E-3</v>
      </c>
    </row>
    <row r="3" spans="1:19" x14ac:dyDescent="0.45">
      <c r="F3" s="5"/>
      <c r="G3" s="1"/>
      <c r="H3" s="1" t="s">
        <v>19</v>
      </c>
      <c r="I3" s="6">
        <v>0.5</v>
      </c>
      <c r="K3" s="5"/>
      <c r="L3" s="1"/>
      <c r="M3" s="1" t="s">
        <v>19</v>
      </c>
      <c r="N3" s="6">
        <v>0.3</v>
      </c>
      <c r="P3" s="5"/>
      <c r="Q3" s="1"/>
      <c r="R3" s="1" t="s">
        <v>19</v>
      </c>
      <c r="S3" s="6">
        <v>0.5</v>
      </c>
    </row>
    <row r="4" spans="1:19" x14ac:dyDescent="0.45">
      <c r="A4" t="s">
        <v>4</v>
      </c>
      <c r="B4">
        <v>1.2255</v>
      </c>
      <c r="F4" s="5" t="s">
        <v>23</v>
      </c>
      <c r="G4" s="1"/>
      <c r="H4" s="1"/>
      <c r="I4" s="6"/>
      <c r="K4" s="5" t="s">
        <v>23</v>
      </c>
      <c r="L4" s="1"/>
      <c r="M4" s="1"/>
      <c r="N4" s="6"/>
      <c r="P4" s="5" t="s">
        <v>23</v>
      </c>
      <c r="Q4" s="1"/>
      <c r="R4" s="1"/>
      <c r="S4" s="6"/>
    </row>
    <row r="5" spans="1:19" x14ac:dyDescent="0.45">
      <c r="F5" s="5"/>
      <c r="G5" s="1" t="s">
        <v>21</v>
      </c>
      <c r="H5" s="1" t="s">
        <v>20</v>
      </c>
      <c r="I5" s="6" t="s">
        <v>25</v>
      </c>
      <c r="K5" s="5"/>
      <c r="L5" s="1" t="s">
        <v>21</v>
      </c>
      <c r="M5" s="1" t="s">
        <v>20</v>
      </c>
      <c r="N5" s="6" t="s">
        <v>25</v>
      </c>
      <c r="P5" s="5"/>
      <c r="Q5" s="1" t="s">
        <v>21</v>
      </c>
      <c r="R5" s="1" t="s">
        <v>20</v>
      </c>
      <c r="S5" s="6" t="s">
        <v>25</v>
      </c>
    </row>
    <row r="6" spans="1:19" x14ac:dyDescent="0.45">
      <c r="A6" t="s">
        <v>6</v>
      </c>
      <c r="B6">
        <v>1000</v>
      </c>
      <c r="F6" s="5"/>
      <c r="G6" s="1">
        <f>0.245/62.04</f>
        <v>3.9490651192778852E-3</v>
      </c>
      <c r="H6" s="1">
        <v>2</v>
      </c>
      <c r="I6" s="6">
        <f>H6*0.4*9.8</f>
        <v>7.8400000000000007</v>
      </c>
      <c r="K6" s="5"/>
      <c r="L6" s="1">
        <f>0.466/22.52</f>
        <v>2.0692717584369451E-2</v>
      </c>
      <c r="M6" s="1">
        <v>6</v>
      </c>
      <c r="N6" s="6">
        <f>M6*0.4*9.8</f>
        <v>23.520000000000007</v>
      </c>
      <c r="P6" s="5"/>
      <c r="Q6" s="1">
        <f>0.525/67.56</f>
        <v>7.7708703374777975E-3</v>
      </c>
      <c r="R6" s="1">
        <v>1</v>
      </c>
      <c r="S6" s="6">
        <f>R6*0.4*9.8</f>
        <v>3.9200000000000004</v>
      </c>
    </row>
    <row r="7" spans="1:19" x14ac:dyDescent="0.45">
      <c r="A7" t="s">
        <v>1</v>
      </c>
      <c r="B7">
        <v>2.0000000000000002E-5</v>
      </c>
      <c r="F7" s="5"/>
      <c r="G7" s="1">
        <f>0.835/69.53</f>
        <v>1.2009204659859054E-2</v>
      </c>
      <c r="H7" s="1">
        <v>4</v>
      </c>
      <c r="I7" s="6">
        <f t="shared" ref="I7:I18" si="0">H7*0.4*9.8</f>
        <v>15.680000000000001</v>
      </c>
      <c r="K7" s="5"/>
      <c r="L7" s="1">
        <f>1.002/18.96</f>
        <v>5.2848101265822782E-2</v>
      </c>
      <c r="M7" s="1">
        <v>14</v>
      </c>
      <c r="N7" s="6">
        <f t="shared" ref="N7:N18" si="1">M7*0.4*9.8</f>
        <v>54.88000000000001</v>
      </c>
      <c r="P7" s="5"/>
      <c r="Q7" s="1">
        <f>1.028/34.98</f>
        <v>2.9388221841052033E-2</v>
      </c>
      <c r="R7" s="1">
        <v>3</v>
      </c>
      <c r="S7" s="6">
        <f t="shared" ref="S7:S18" si="2">R7*0.4*9.8</f>
        <v>11.760000000000003</v>
      </c>
    </row>
    <row r="8" spans="1:19" x14ac:dyDescent="0.45">
      <c r="F8" s="5"/>
      <c r="G8" s="1">
        <f>1.851/92.13</f>
        <v>2.0091175512862259E-2</v>
      </c>
      <c r="H8" s="1">
        <v>7</v>
      </c>
      <c r="I8" s="6">
        <f t="shared" si="0"/>
        <v>27.440000000000005</v>
      </c>
      <c r="K8" s="5"/>
      <c r="L8" s="1">
        <f>1.386/18.81</f>
        <v>7.3684210526315783E-2</v>
      </c>
      <c r="M8" s="1">
        <v>21</v>
      </c>
      <c r="N8" s="6">
        <f t="shared" si="1"/>
        <v>82.320000000000007</v>
      </c>
      <c r="P8" s="5"/>
      <c r="Q8" s="1">
        <f>1.378/25.13</f>
        <v>5.4834858734580182E-2</v>
      </c>
      <c r="R8" s="1">
        <v>5</v>
      </c>
      <c r="S8" s="6">
        <f t="shared" si="2"/>
        <v>19.600000000000001</v>
      </c>
    </row>
    <row r="9" spans="1:19" x14ac:dyDescent="0.45">
      <c r="A9" t="s">
        <v>7</v>
      </c>
      <c r="B9">
        <f>B11*PI()*B1*B1/4</f>
        <v>1.0510428298423625E-4</v>
      </c>
      <c r="C9">
        <f>C11*PI()*C1*C1/4</f>
        <v>7.6905572915294832E-5</v>
      </c>
      <c r="D9">
        <f>D11*PI()*D1*D1/4</f>
        <v>1.3330299305317766E-4</v>
      </c>
      <c r="F9" s="5"/>
      <c r="G9" s="1">
        <f>1.508/45</f>
        <v>3.351111111111111E-2</v>
      </c>
      <c r="H9" s="1">
        <v>11</v>
      </c>
      <c r="I9" s="6">
        <f t="shared" si="0"/>
        <v>43.120000000000005</v>
      </c>
      <c r="K9" s="5"/>
      <c r="L9">
        <f>1.455/15.86</f>
        <v>9.1740226986128631E-2</v>
      </c>
      <c r="M9" s="10">
        <v>30</v>
      </c>
      <c r="N9" s="6">
        <f t="shared" si="1"/>
        <v>117.60000000000001</v>
      </c>
      <c r="P9" s="5"/>
      <c r="Q9">
        <f>1.197/13.99</f>
        <v>8.5561115082201572E-2</v>
      </c>
      <c r="R9" s="10">
        <v>8</v>
      </c>
      <c r="S9" s="6">
        <f t="shared" si="2"/>
        <v>31.360000000000003</v>
      </c>
    </row>
    <row r="10" spans="1:19" x14ac:dyDescent="0.45">
      <c r="A10" t="s">
        <v>10</v>
      </c>
      <c r="B10">
        <f>B9*8*B7*0.5/PI()/B1/B1/B1/B1*16</f>
        <v>151.54621149241103</v>
      </c>
      <c r="C10">
        <f>C9*8*B7*0.3/PI()/C1/C1/C1/C1*16</f>
        <v>232.10480982818811</v>
      </c>
      <c r="D10">
        <f>D9*8*B7*0.5/PI()/D1/D1/D1/D1*16</f>
        <v>74.282519076215166</v>
      </c>
      <c r="F10" s="5"/>
      <c r="G10" s="1">
        <f>1.128/21.26</f>
        <v>5.3057384760112881E-2</v>
      </c>
      <c r="H10" s="1">
        <v>18</v>
      </c>
      <c r="I10" s="6">
        <f t="shared" si="0"/>
        <v>70.56</v>
      </c>
      <c r="K10" s="5"/>
      <c r="L10" s="1">
        <f>2.292/22.42</f>
        <v>0.10223015165031221</v>
      </c>
      <c r="M10" s="10">
        <v>38</v>
      </c>
      <c r="N10" s="6">
        <f t="shared" si="1"/>
        <v>148.96</v>
      </c>
      <c r="P10" s="5"/>
      <c r="Q10" s="1">
        <f>3.86/33.84</f>
        <v>0.11406619385342788</v>
      </c>
      <c r="R10" s="10">
        <v>10</v>
      </c>
      <c r="S10" s="6">
        <f t="shared" si="2"/>
        <v>39.200000000000003</v>
      </c>
    </row>
    <row r="11" spans="1:19" x14ac:dyDescent="0.45">
      <c r="A11" t="s">
        <v>5</v>
      </c>
      <c r="B11">
        <f>B7*B6/B1*2/B4</f>
        <v>7.9609119224607179</v>
      </c>
      <c r="C11">
        <f>B7*B6/C1*2/B4</f>
        <v>10.879912960696315</v>
      </c>
      <c r="D11">
        <f>B7*B6/D1*2/B4</f>
        <v>6.2768728619401815</v>
      </c>
      <c r="F11" s="5"/>
      <c r="G11" s="1">
        <f>1.417/21.75</f>
        <v>6.514942528735633E-2</v>
      </c>
      <c r="H11" s="1">
        <v>23</v>
      </c>
      <c r="I11" s="6">
        <f t="shared" si="0"/>
        <v>90.160000000000011</v>
      </c>
      <c r="K11" s="5"/>
      <c r="L11" s="1">
        <f>1.92/18.86</f>
        <v>0.10180275715800637</v>
      </c>
      <c r="M11" s="10">
        <v>39</v>
      </c>
      <c r="N11" s="6">
        <f t="shared" si="1"/>
        <v>152.88000000000002</v>
      </c>
      <c r="P11" s="5"/>
      <c r="Q11" s="1">
        <f>2.626/19.06</f>
        <v>0.13777544596012592</v>
      </c>
      <c r="R11" s="10">
        <v>13</v>
      </c>
      <c r="S11" s="6">
        <f t="shared" si="2"/>
        <v>50.960000000000008</v>
      </c>
    </row>
    <row r="12" spans="1:19" x14ac:dyDescent="0.45">
      <c r="A12" t="s">
        <v>0</v>
      </c>
      <c r="B12">
        <f>0.2*B1/2*B6</f>
        <v>0.41000000000000003</v>
      </c>
      <c r="C12">
        <f>0.2*C1/2*B6</f>
        <v>0.30000000000000004</v>
      </c>
      <c r="D12">
        <f>0.2*D1/2*B6</f>
        <v>0.51999999999999991</v>
      </c>
      <c r="F12" s="5" t="s">
        <v>24</v>
      </c>
      <c r="G12" s="1"/>
      <c r="H12" s="1"/>
      <c r="I12" s="6"/>
      <c r="K12" s="5" t="s">
        <v>24</v>
      </c>
      <c r="L12" s="1"/>
      <c r="M12" s="1"/>
      <c r="N12" s="6"/>
      <c r="P12" s="5" t="s">
        <v>24</v>
      </c>
      <c r="Q12" s="1"/>
      <c r="R12" s="1"/>
      <c r="S12" s="6"/>
    </row>
    <row r="13" spans="1:19" x14ac:dyDescent="0.45">
      <c r="F13" s="5"/>
      <c r="G13" s="1">
        <f>2.204/23.39</f>
        <v>9.4228302693458749E-2</v>
      </c>
      <c r="H13" s="1">
        <v>34</v>
      </c>
      <c r="I13" s="6">
        <f t="shared" si="0"/>
        <v>133.28000000000003</v>
      </c>
      <c r="K13" s="5"/>
      <c r="L13" s="1">
        <f>6.934/56.76</f>
        <v>0.12216349541930938</v>
      </c>
      <c r="M13" s="10">
        <v>56</v>
      </c>
      <c r="N13" s="6">
        <f t="shared" si="1"/>
        <v>219.52000000000004</v>
      </c>
      <c r="P13" s="5"/>
      <c r="Q13" s="1">
        <f>1.907/12.03</f>
        <v>0.15852036575228595</v>
      </c>
      <c r="R13" s="10">
        <v>18</v>
      </c>
      <c r="S13" s="6">
        <f t="shared" si="2"/>
        <v>70.56</v>
      </c>
    </row>
    <row r="14" spans="1:19" x14ac:dyDescent="0.45">
      <c r="A14" t="s">
        <v>11</v>
      </c>
      <c r="B14">
        <f>B10/0.4/9.8</f>
        <v>38.659747829696684</v>
      </c>
      <c r="C14">
        <f>C10/0.4/9.8</f>
        <v>59.210410670456142</v>
      </c>
      <c r="D14">
        <f t="shared" ref="D14" si="3">D10/0.4/9.8</f>
        <v>18.949622213320193</v>
      </c>
      <c r="F14" s="5"/>
      <c r="G14" s="1">
        <f>2.155/21.44</f>
        <v>0.10051305970149252</v>
      </c>
      <c r="H14" s="1">
        <v>39</v>
      </c>
      <c r="I14" s="6">
        <f t="shared" si="0"/>
        <v>152.88000000000002</v>
      </c>
      <c r="K14" s="5"/>
      <c r="L14" s="1">
        <f>2.385/18.14</f>
        <v>0.13147739801543548</v>
      </c>
      <c r="M14" s="10">
        <v>65</v>
      </c>
      <c r="N14" s="6">
        <f t="shared" si="1"/>
        <v>254.8</v>
      </c>
      <c r="P14" s="5"/>
      <c r="Q14" s="1">
        <f>2.221/12.38</f>
        <v>0.17940226171243942</v>
      </c>
      <c r="R14" s="10">
        <v>25</v>
      </c>
      <c r="S14" s="6">
        <f t="shared" si="2"/>
        <v>98</v>
      </c>
    </row>
    <row r="15" spans="1:19" x14ac:dyDescent="0.45">
      <c r="F15" s="5"/>
      <c r="G15" s="1">
        <f>1.82/17.35</f>
        <v>0.10489913544668587</v>
      </c>
      <c r="H15" s="1">
        <v>43</v>
      </c>
      <c r="I15" s="6">
        <f t="shared" si="0"/>
        <v>168.56</v>
      </c>
      <c r="K15" s="5"/>
      <c r="L15" s="1">
        <f>3.436/23.75</f>
        <v>0.14467368421052632</v>
      </c>
      <c r="M15" s="10">
        <v>78</v>
      </c>
      <c r="N15" s="6">
        <f t="shared" si="1"/>
        <v>305.76000000000005</v>
      </c>
      <c r="P15" s="5"/>
      <c r="Q15" s="1">
        <f>3.08/15.63</f>
        <v>0.19705694177863084</v>
      </c>
      <c r="R15" s="10">
        <v>31</v>
      </c>
      <c r="S15" s="6">
        <f t="shared" si="2"/>
        <v>121.52000000000001</v>
      </c>
    </row>
    <row r="16" spans="1:19" x14ac:dyDescent="0.45">
      <c r="A16" t="s">
        <v>22</v>
      </c>
      <c r="B16">
        <v>25.4</v>
      </c>
      <c r="F16" s="5"/>
      <c r="G16" s="1">
        <f>1.777/15.19</f>
        <v>0.11698485845951284</v>
      </c>
      <c r="H16" s="1">
        <v>58</v>
      </c>
      <c r="I16" s="6">
        <f t="shared" si="0"/>
        <v>227.36000000000004</v>
      </c>
      <c r="K16" s="5"/>
      <c r="L16" s="1">
        <f>1.853/11.89</f>
        <v>0.15584524810765349</v>
      </c>
      <c r="M16" s="10">
        <v>90</v>
      </c>
      <c r="N16" s="6">
        <f t="shared" si="1"/>
        <v>352.8</v>
      </c>
      <c r="P16" s="5"/>
      <c r="Q16" s="1">
        <f>4.046/17.65</f>
        <v>0.22923512747875358</v>
      </c>
      <c r="R16" s="10">
        <v>42</v>
      </c>
      <c r="S16" s="6">
        <f t="shared" si="2"/>
        <v>164.64000000000001</v>
      </c>
    </row>
    <row r="17" spans="1:19" x14ac:dyDescent="0.45">
      <c r="A17" t="s">
        <v>2</v>
      </c>
      <c r="B17">
        <v>32.299999999999997</v>
      </c>
      <c r="F17" s="5"/>
      <c r="G17" s="1">
        <f>2.152/15.53</f>
        <v>0.13857050869285256</v>
      </c>
      <c r="H17" s="1">
        <v>85</v>
      </c>
      <c r="I17" s="6">
        <f t="shared" si="0"/>
        <v>333.20000000000005</v>
      </c>
      <c r="K17" s="5"/>
      <c r="L17" s="1">
        <f>3.143/18.02</f>
        <v>0.1744173140954495</v>
      </c>
      <c r="M17" s="10">
        <v>112</v>
      </c>
      <c r="N17" s="6">
        <f t="shared" si="1"/>
        <v>439.04000000000008</v>
      </c>
      <c r="P17" s="5"/>
      <c r="Q17" s="1">
        <f>5.006/17.94</f>
        <v>0.27904124860646601</v>
      </c>
      <c r="R17" s="10">
        <v>60</v>
      </c>
      <c r="S17" s="6">
        <f>R17*0.4*9.8</f>
        <v>235.20000000000002</v>
      </c>
    </row>
    <row r="18" spans="1:19" x14ac:dyDescent="0.45">
      <c r="A18" t="s">
        <v>3</v>
      </c>
      <c r="B18">
        <v>986.8</v>
      </c>
      <c r="F18" s="5"/>
      <c r="G18" s="1">
        <f>2.55/16.59</f>
        <v>0.15370705244122965</v>
      </c>
      <c r="H18" s="1">
        <v>101</v>
      </c>
      <c r="I18" s="6">
        <f t="shared" si="0"/>
        <v>395.92000000000007</v>
      </c>
      <c r="K18" s="5"/>
      <c r="L18" s="1">
        <f>2.989/16.64</f>
        <v>0.17962740384615383</v>
      </c>
      <c r="M18" s="10">
        <v>118</v>
      </c>
      <c r="N18" s="6">
        <f t="shared" si="1"/>
        <v>462.56000000000006</v>
      </c>
      <c r="P18" s="5"/>
      <c r="Q18" s="1">
        <f>5.003/16.4</f>
        <v>0.30506097560975615</v>
      </c>
      <c r="R18" s="10">
        <v>71</v>
      </c>
      <c r="S18" s="6">
        <f t="shared" si="2"/>
        <v>278.32000000000005</v>
      </c>
    </row>
    <row r="19" spans="1:19" x14ac:dyDescent="0.45">
      <c r="F19" s="5"/>
      <c r="G19" s="1"/>
      <c r="H19" s="1"/>
      <c r="I19" s="6"/>
      <c r="K19" s="5"/>
      <c r="L19" s="1"/>
      <c r="M19" s="1"/>
      <c r="N19" s="6"/>
      <c r="P19" s="5"/>
      <c r="Q19" s="1"/>
      <c r="R19" s="1"/>
      <c r="S19" s="6"/>
    </row>
    <row r="20" spans="1:19" x14ac:dyDescent="0.45">
      <c r="F20" s="5"/>
      <c r="G20" s="1"/>
      <c r="H20" s="1"/>
      <c r="I20" s="6"/>
      <c r="K20" s="5"/>
      <c r="L20" s="1"/>
      <c r="M20" s="1"/>
      <c r="N20" s="6"/>
      <c r="P20" s="5"/>
      <c r="Q20" s="1"/>
      <c r="R20" s="1"/>
      <c r="S20" s="6"/>
    </row>
    <row r="21" spans="1:19" x14ac:dyDescent="0.45">
      <c r="F21" s="5" t="s">
        <v>20</v>
      </c>
      <c r="G21" s="1">
        <v>24</v>
      </c>
      <c r="H21" s="1"/>
      <c r="I21" s="6"/>
      <c r="K21" s="5" t="s">
        <v>20</v>
      </c>
      <c r="L21" s="1">
        <v>39</v>
      </c>
      <c r="M21" s="1"/>
      <c r="N21" s="6"/>
      <c r="P21" s="5" t="s">
        <v>20</v>
      </c>
      <c r="Q21" s="1">
        <v>12</v>
      </c>
      <c r="R21" s="1"/>
      <c r="S21" s="6"/>
    </row>
    <row r="22" spans="1:19" x14ac:dyDescent="0.45">
      <c r="F22" s="5" t="s">
        <v>21</v>
      </c>
      <c r="G22" s="1">
        <f>1.028/14.97</f>
        <v>6.8670674682698732E-2</v>
      </c>
      <c r="H22" s="1"/>
      <c r="I22" s="6"/>
      <c r="K22" s="5" t="s">
        <v>21</v>
      </c>
      <c r="L22" s="1">
        <f>1.92/18.86</f>
        <v>0.10180275715800637</v>
      </c>
      <c r="M22" s="1"/>
      <c r="N22" s="6"/>
      <c r="P22" s="5" t="s">
        <v>21</v>
      </c>
      <c r="Q22" s="1">
        <f>1.935/14.42</f>
        <v>0.1341886269070735</v>
      </c>
      <c r="R22" s="1"/>
      <c r="S22" s="6"/>
    </row>
    <row r="23" spans="1:19" x14ac:dyDescent="0.45">
      <c r="A23" t="s">
        <v>12</v>
      </c>
      <c r="B23">
        <v>27</v>
      </c>
      <c r="C23">
        <v>43</v>
      </c>
      <c r="D23">
        <v>13</v>
      </c>
      <c r="F23" s="5"/>
      <c r="G23" s="1"/>
      <c r="H23" s="1"/>
      <c r="I23" s="6"/>
      <c r="K23" s="5"/>
      <c r="L23" s="1"/>
      <c r="M23" s="1"/>
      <c r="N23" s="6"/>
      <c r="P23" s="5"/>
      <c r="Q23" s="1"/>
      <c r="R23" s="1"/>
      <c r="S23" s="6"/>
    </row>
    <row r="24" spans="1:19" x14ac:dyDescent="0.45">
      <c r="A24" t="s">
        <v>13</v>
      </c>
      <c r="B24">
        <f>B23*0.4*9.8</f>
        <v>105.84000000000002</v>
      </c>
      <c r="C24">
        <f>C23*0.4*9.8</f>
        <v>168.56</v>
      </c>
      <c r="D24">
        <f>D23*0.4*9.8</f>
        <v>50.960000000000008</v>
      </c>
      <c r="F24" s="5" t="s">
        <v>19</v>
      </c>
      <c r="G24" s="1" t="s">
        <v>20</v>
      </c>
      <c r="H24" s="6" t="s">
        <v>25</v>
      </c>
      <c r="I24" s="5" t="s">
        <v>19</v>
      </c>
      <c r="K24" s="5" t="s">
        <v>19</v>
      </c>
      <c r="L24" s="1" t="s">
        <v>20</v>
      </c>
      <c r="M24" s="1" t="s">
        <v>25</v>
      </c>
      <c r="N24" s="6"/>
      <c r="P24" s="5" t="s">
        <v>19</v>
      </c>
      <c r="Q24" s="1" t="s">
        <v>20</v>
      </c>
      <c r="R24" s="1" t="s">
        <v>25</v>
      </c>
      <c r="S24" s="6"/>
    </row>
    <row r="25" spans="1:19" x14ac:dyDescent="0.45">
      <c r="F25" s="5">
        <f>0.105</f>
        <v>0.105</v>
      </c>
      <c r="G25" s="1">
        <v>17</v>
      </c>
      <c r="H25" s="6"/>
      <c r="I25" s="5"/>
      <c r="K25" s="5">
        <v>0.2</v>
      </c>
      <c r="L25" s="1">
        <v>25</v>
      </c>
      <c r="M25" s="1">
        <f>L25*0.4*9.8</f>
        <v>98</v>
      </c>
      <c r="N25" s="6"/>
      <c r="P25" s="5">
        <v>0.4</v>
      </c>
      <c r="Q25" s="1">
        <v>11</v>
      </c>
      <c r="R25" s="1">
        <f>Q25*0.4*9.8</f>
        <v>43.120000000000005</v>
      </c>
      <c r="S25" s="6"/>
    </row>
    <row r="26" spans="1:19" x14ac:dyDescent="0.45">
      <c r="F26" s="5">
        <v>0.3</v>
      </c>
      <c r="G26" s="1">
        <v>19</v>
      </c>
      <c r="H26" s="6">
        <f t="shared" ref="H26:H32" si="4">G26*0.4*9.8</f>
        <v>74.48</v>
      </c>
      <c r="I26" s="5">
        <v>0.3</v>
      </c>
      <c r="K26" s="5">
        <v>0.3</v>
      </c>
      <c r="L26" s="1">
        <v>43</v>
      </c>
      <c r="M26" s="1">
        <f>L26*0.4*9.8</f>
        <v>168.56</v>
      </c>
      <c r="N26" s="6"/>
      <c r="P26" s="5"/>
      <c r="Q26" s="1"/>
      <c r="R26" s="1"/>
      <c r="S26" s="6"/>
    </row>
    <row r="27" spans="1:19" ht="14.65" thickBot="1" x14ac:dyDescent="0.5">
      <c r="F27" s="7">
        <v>0.4</v>
      </c>
      <c r="G27" s="8">
        <v>23</v>
      </c>
      <c r="H27" s="6">
        <f t="shared" si="4"/>
        <v>90.160000000000011</v>
      </c>
      <c r="I27" s="7">
        <v>0.4</v>
      </c>
      <c r="K27" s="5">
        <v>0.5</v>
      </c>
      <c r="L27" s="1">
        <v>79</v>
      </c>
      <c r="M27" s="1">
        <f>L27*0.4*9.8</f>
        <v>309.68000000000006</v>
      </c>
      <c r="N27" s="6"/>
      <c r="P27" s="5"/>
      <c r="Q27" s="1"/>
      <c r="R27" s="1"/>
      <c r="S27" s="6"/>
    </row>
    <row r="28" spans="1:19" x14ac:dyDescent="0.45">
      <c r="A28" t="s">
        <v>14</v>
      </c>
      <c r="B28">
        <v>5.0000000000000001E-3</v>
      </c>
      <c r="F28" s="5">
        <f>F30-0.4</f>
        <v>0.40499999999999992</v>
      </c>
      <c r="G28" s="1">
        <v>35</v>
      </c>
      <c r="H28" s="6"/>
      <c r="I28" s="5"/>
      <c r="K28" s="5">
        <v>0.6</v>
      </c>
      <c r="L28" s="10">
        <v>103</v>
      </c>
      <c r="M28" s="1">
        <f t="shared" ref="M26:M28" si="5">L28*0.4*9.8</f>
        <v>403.76000000000005</v>
      </c>
      <c r="N28" s="6"/>
      <c r="P28" s="5"/>
      <c r="Q28" s="10"/>
      <c r="R28" s="1"/>
      <c r="S28" s="6"/>
    </row>
    <row r="29" spans="1:19" x14ac:dyDescent="0.45">
      <c r="A29" t="s">
        <v>15</v>
      </c>
      <c r="B29">
        <v>0.01</v>
      </c>
      <c r="F29" s="5">
        <v>0.7</v>
      </c>
      <c r="G29" s="1">
        <v>37</v>
      </c>
      <c r="H29" s="6">
        <f t="shared" si="4"/>
        <v>145.04000000000002</v>
      </c>
      <c r="I29" s="5">
        <v>0.7</v>
      </c>
      <c r="N29" s="6"/>
      <c r="P29" s="5"/>
      <c r="Q29" s="10"/>
      <c r="R29" s="1"/>
      <c r="S29" s="6"/>
    </row>
    <row r="30" spans="1:19" x14ac:dyDescent="0.45">
      <c r="F30" s="5">
        <f>F33-0.5</f>
        <v>0.80499999999999994</v>
      </c>
      <c r="G30" s="1">
        <v>53</v>
      </c>
      <c r="H30" s="6"/>
      <c r="I30" s="5"/>
      <c r="M30" s="1"/>
      <c r="N30" s="6"/>
      <c r="P30" s="5">
        <v>0.3</v>
      </c>
      <c r="Q30" s="10">
        <v>9</v>
      </c>
      <c r="R30" s="1">
        <f t="shared" ref="R30:R33" si="6">Q30*0.4*9.8</f>
        <v>35.28</v>
      </c>
      <c r="S30" s="6"/>
    </row>
    <row r="31" spans="1:19" x14ac:dyDescent="0.45">
      <c r="A31" t="s">
        <v>16</v>
      </c>
      <c r="B31">
        <f>B29/0.005</f>
        <v>2</v>
      </c>
      <c r="F31" s="5">
        <v>0.9</v>
      </c>
      <c r="G31" s="1">
        <v>43</v>
      </c>
      <c r="H31" s="6">
        <f>G31*0.4*9.8</f>
        <v>168.56</v>
      </c>
      <c r="I31" s="5">
        <v>0.9</v>
      </c>
      <c r="K31" s="5"/>
      <c r="L31" s="1"/>
      <c r="M31" s="1"/>
      <c r="N31" s="6"/>
      <c r="P31" s="5">
        <v>0.7</v>
      </c>
      <c r="Q31" s="10">
        <v>20</v>
      </c>
      <c r="R31" s="1">
        <f t="shared" si="6"/>
        <v>78.400000000000006</v>
      </c>
      <c r="S31" s="6"/>
    </row>
    <row r="32" spans="1:19" x14ac:dyDescent="0.45">
      <c r="A32" t="s">
        <v>17</v>
      </c>
      <c r="B32">
        <f>B28/0.005</f>
        <v>1</v>
      </c>
      <c r="F32" s="5">
        <f>F29+0.5</f>
        <v>1.2</v>
      </c>
      <c r="G32" s="1">
        <v>61</v>
      </c>
      <c r="H32" s="6">
        <f t="shared" si="4"/>
        <v>239.12000000000003</v>
      </c>
      <c r="I32" s="5">
        <f>I29+0.5</f>
        <v>1.2</v>
      </c>
      <c r="K32" s="5"/>
      <c r="L32" s="1"/>
      <c r="M32" s="1"/>
      <c r="N32" s="6"/>
      <c r="P32" s="5">
        <v>1.2</v>
      </c>
      <c r="Q32" s="10">
        <v>31</v>
      </c>
      <c r="R32" s="1">
        <f t="shared" si="6"/>
        <v>121.52000000000001</v>
      </c>
      <c r="S32" s="6"/>
    </row>
    <row r="33" spans="1:32" ht="14.65" thickBot="1" x14ac:dyDescent="0.5">
      <c r="A33" t="s">
        <v>18</v>
      </c>
      <c r="B33">
        <f>B32/B31</f>
        <v>0.5</v>
      </c>
      <c r="F33" s="5">
        <f>0.105+0.3+0.4+0.5</f>
        <v>1.3049999999999999</v>
      </c>
      <c r="G33" s="1">
        <v>71</v>
      </c>
      <c r="H33" s="6"/>
      <c r="I33" s="5"/>
      <c r="K33" s="7"/>
      <c r="L33" s="8"/>
      <c r="M33" s="8"/>
      <c r="N33" s="9"/>
      <c r="P33" s="7">
        <v>0.9</v>
      </c>
      <c r="Q33" s="8">
        <v>23</v>
      </c>
      <c r="R33" s="1">
        <f t="shared" si="6"/>
        <v>90.160000000000011</v>
      </c>
      <c r="S33" s="9"/>
    </row>
    <row r="40" spans="1:32" x14ac:dyDescent="0.45">
      <c r="Z40">
        <f>I2/2</f>
        <v>2.0500000000000002E-3</v>
      </c>
      <c r="AA40">
        <v>4.3511111111111098E-2</v>
      </c>
      <c r="AB40" s="1">
        <v>11</v>
      </c>
      <c r="AC40" s="6">
        <f t="shared" ref="AC40:AC42" si="7">AB40*0.4*9.8</f>
        <v>43.120000000000005</v>
      </c>
      <c r="AE40">
        <f>LN(Z40)</f>
        <v>-6.1899154858318202</v>
      </c>
      <c r="AF40">
        <f>LN(AA40)</f>
        <v>-3.1347389456620016</v>
      </c>
    </row>
    <row r="41" spans="1:32" x14ac:dyDescent="0.45">
      <c r="Z41">
        <f>N2/2</f>
        <v>1.5E-3</v>
      </c>
      <c r="AA41">
        <v>1.28481012658228E-2</v>
      </c>
      <c r="AB41" s="1">
        <v>14</v>
      </c>
      <c r="AC41" s="6">
        <f t="shared" si="7"/>
        <v>54.88000000000001</v>
      </c>
      <c r="AE41">
        <f t="shared" ref="AE41:AE45" si="8">LN(Z41)</f>
        <v>-6.5022901708739722</v>
      </c>
      <c r="AF41">
        <f t="shared" ref="AF41:AF46" si="9">LN(AA41)</f>
        <v>-4.3545592399732698</v>
      </c>
    </row>
    <row r="42" spans="1:32" x14ac:dyDescent="0.45">
      <c r="F42" s="1"/>
      <c r="G42" s="1"/>
      <c r="H42" s="1"/>
      <c r="Z42">
        <f>S2/2</f>
        <v>2.5999999999999999E-3</v>
      </c>
      <c r="AA42">
        <v>0.13777544596012592</v>
      </c>
      <c r="AB42" s="10">
        <v>13</v>
      </c>
      <c r="AC42" s="6">
        <f t="shared" si="7"/>
        <v>50.960000000000008</v>
      </c>
      <c r="AE42">
        <f t="shared" si="8"/>
        <v>-5.952243833954701</v>
      </c>
      <c r="AF42">
        <f t="shared" si="9"/>
        <v>-1.9821301223454515</v>
      </c>
    </row>
    <row r="43" spans="1:32" ht="14.65" thickBot="1" x14ac:dyDescent="0.5">
      <c r="F43" s="1"/>
      <c r="G43" s="1"/>
      <c r="H43" s="1"/>
    </row>
    <row r="44" spans="1:32" ht="14.65" thickBot="1" x14ac:dyDescent="0.5">
      <c r="E44" s="2"/>
      <c r="F44" s="2" t="s">
        <v>21</v>
      </c>
      <c r="G44" s="11" t="s">
        <v>25</v>
      </c>
      <c r="Z44">
        <v>2.0500000000000002E-3</v>
      </c>
      <c r="AA44">
        <v>0.12698485845951299</v>
      </c>
      <c r="AB44" s="1">
        <v>58</v>
      </c>
      <c r="AC44" s="6">
        <f t="shared" ref="AC44" si="10">AB44*0.4*9.8</f>
        <v>227.36000000000004</v>
      </c>
      <c r="AE44">
        <f>LN(Z44)</f>
        <v>-6.1899154858318202</v>
      </c>
      <c r="AF44">
        <f t="shared" si="9"/>
        <v>-2.0636874243596228</v>
      </c>
    </row>
    <row r="45" spans="1:32" x14ac:dyDescent="0.45">
      <c r="E45" s="2" t="s">
        <v>23</v>
      </c>
      <c r="F45" s="2">
        <v>3.9490651192778852E-3</v>
      </c>
      <c r="G45" s="11">
        <v>7.8400000000000007</v>
      </c>
      <c r="Z45">
        <v>1.5E-3</v>
      </c>
      <c r="AA45">
        <v>6.2163495419309003E-2</v>
      </c>
      <c r="AB45" s="10">
        <v>56</v>
      </c>
      <c r="AC45" s="6">
        <f t="shared" ref="AC45" si="11">AB45*0.4*9.8</f>
        <v>219.52000000000004</v>
      </c>
      <c r="AE45">
        <f>LN(Z45)</f>
        <v>-6.5022901708739722</v>
      </c>
      <c r="AF45">
        <f t="shared" si="9"/>
        <v>-2.7779873418893732</v>
      </c>
    </row>
    <row r="46" spans="1:32" x14ac:dyDescent="0.45">
      <c r="E46" s="5"/>
      <c r="F46" s="5">
        <v>1.2009204659859054E-2</v>
      </c>
      <c r="G46" s="12">
        <v>15.680000000000001</v>
      </c>
      <c r="Z46">
        <v>2.5999999999999999E-3</v>
      </c>
      <c r="AA46">
        <v>0.27904124860646601</v>
      </c>
      <c r="AB46" s="10">
        <v>60</v>
      </c>
      <c r="AC46" s="6">
        <f>AB46*0.4*9.8</f>
        <v>235.20000000000002</v>
      </c>
      <c r="AE46">
        <f>LN(Z46)</f>
        <v>-5.952243833954701</v>
      </c>
      <c r="AF46">
        <f t="shared" si="9"/>
        <v>-1.2763956636210676</v>
      </c>
    </row>
    <row r="47" spans="1:32" x14ac:dyDescent="0.45">
      <c r="E47" s="5"/>
      <c r="F47" s="5">
        <v>2.0091175512862259E-2</v>
      </c>
      <c r="G47" s="12">
        <v>27.440000000000005</v>
      </c>
    </row>
    <row r="48" spans="1:32" x14ac:dyDescent="0.45">
      <c r="E48" s="5"/>
      <c r="F48" s="5">
        <v>3.351111111111111E-2</v>
      </c>
      <c r="G48" s="12">
        <v>43.120000000000005</v>
      </c>
    </row>
    <row r="49" spans="5:7" x14ac:dyDescent="0.45">
      <c r="E49" s="5"/>
      <c r="F49" s="5">
        <v>5.3057384760112881E-2</v>
      </c>
      <c r="G49" s="12">
        <v>70.56</v>
      </c>
    </row>
    <row r="50" spans="5:7" ht="14.65" thickBot="1" x14ac:dyDescent="0.5">
      <c r="E50" s="7"/>
      <c r="F50" s="7">
        <v>6.514942528735633E-2</v>
      </c>
      <c r="G50" s="13">
        <v>90.160000000000011</v>
      </c>
    </row>
    <row r="51" spans="5:7" x14ac:dyDescent="0.45">
      <c r="E51" s="2" t="s">
        <v>24</v>
      </c>
      <c r="F51" s="2">
        <v>9.4228302693458749E-2</v>
      </c>
      <c r="G51" s="11">
        <v>133.28000000000003</v>
      </c>
    </row>
    <row r="52" spans="5:7" x14ac:dyDescent="0.45">
      <c r="E52" s="5"/>
      <c r="F52" s="5">
        <v>0.10051305970149252</v>
      </c>
      <c r="G52" s="12">
        <v>152.88000000000002</v>
      </c>
    </row>
    <row r="53" spans="5:7" x14ac:dyDescent="0.45">
      <c r="E53" s="5"/>
      <c r="F53" s="5">
        <v>0.10489913544668587</v>
      </c>
      <c r="G53" s="12">
        <v>168.56</v>
      </c>
    </row>
    <row r="54" spans="5:7" x14ac:dyDescent="0.45">
      <c r="E54" s="5"/>
      <c r="F54" s="5">
        <v>0.11698485845951284</v>
      </c>
      <c r="G54" s="12">
        <v>227.36000000000004</v>
      </c>
    </row>
    <row r="55" spans="5:7" x14ac:dyDescent="0.45">
      <c r="E55" s="5"/>
      <c r="F55" s="5">
        <v>0.13857050869285256</v>
      </c>
      <c r="G55" s="12">
        <v>333.20000000000005</v>
      </c>
    </row>
    <row r="56" spans="5:7" ht="14.65" thickBot="1" x14ac:dyDescent="0.5">
      <c r="E56" s="7"/>
      <c r="F56" s="7">
        <v>0.15370705244122965</v>
      </c>
      <c r="G56" s="13">
        <v>395.92000000000007</v>
      </c>
    </row>
    <row r="57" spans="5:7" x14ac:dyDescent="0.45">
      <c r="E57" s="1"/>
      <c r="F57" s="1"/>
      <c r="G57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2024-04-25T06:32:15Z</dcterms:created>
  <dcterms:modified xsi:type="dcterms:W3CDTF">2024-05-13T14:47:54Z</dcterms:modified>
</cp:coreProperties>
</file>