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1.4.1\"/>
    </mc:Choice>
  </mc:AlternateContent>
  <xr:revisionPtr revIDLastSave="0" documentId="13_ncr:1_{72658606-190D-4E91-B747-E8A4378B36C1}" xr6:coauthVersionLast="45" xr6:coauthVersionMax="45" xr10:uidLastSave="{00000000-0000-0000-0000-000000000000}"/>
  <bookViews>
    <workbookView xWindow="-98" yWindow="-98" windowWidth="19095" windowHeight="1279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1" i="1" l="1"/>
  <c r="C31" i="1"/>
  <c r="D28" i="1"/>
  <c r="I2" i="1"/>
  <c r="C28" i="1"/>
  <c r="H151" i="1"/>
  <c r="G134" i="1"/>
  <c r="H149" i="1" s="1"/>
  <c r="F134" i="1"/>
  <c r="G151" i="1"/>
  <c r="G149" i="1"/>
  <c r="I117" i="1"/>
  <c r="I124" i="1"/>
  <c r="D150" i="1"/>
  <c r="I123" i="1"/>
  <c r="I118" i="1"/>
  <c r="I103" i="1"/>
  <c r="I102" i="1"/>
  <c r="I109" i="1"/>
  <c r="I107" i="1"/>
  <c r="I108" i="1"/>
  <c r="I106" i="1"/>
  <c r="I104" i="1"/>
  <c r="I105" i="1"/>
  <c r="D146" i="1"/>
  <c r="E118" i="1"/>
  <c r="H103" i="1"/>
  <c r="H104" i="1"/>
  <c r="H107" i="1"/>
  <c r="H102" i="1"/>
  <c r="H109" i="1"/>
  <c r="H105" i="1"/>
  <c r="H108" i="1"/>
  <c r="H106" i="1"/>
  <c r="H118" i="1"/>
  <c r="H119" i="1"/>
  <c r="H120" i="1"/>
  <c r="E122" i="1" s="1"/>
  <c r="H121" i="1"/>
  <c r="H122" i="1"/>
  <c r="H123" i="1"/>
  <c r="H124" i="1"/>
  <c r="H117" i="1"/>
  <c r="I119" i="1"/>
  <c r="I120" i="1"/>
  <c r="I121" i="1"/>
  <c r="I122" i="1"/>
  <c r="B105" i="1"/>
  <c r="E121" i="1" l="1"/>
  <c r="F138" i="1" s="1"/>
  <c r="G138" i="1" s="1"/>
  <c r="E117" i="1"/>
  <c r="U5" i="1"/>
  <c r="B9" i="1"/>
  <c r="B2" i="1"/>
  <c r="P34" i="1"/>
  <c r="P35" i="1"/>
  <c r="P36" i="1"/>
  <c r="P37" i="1"/>
  <c r="P38" i="1"/>
  <c r="P39" i="1"/>
  <c r="P40" i="1"/>
  <c r="P33" i="1"/>
  <c r="M34" i="1"/>
  <c r="M35" i="1"/>
  <c r="M36" i="1"/>
  <c r="M37" i="1"/>
  <c r="M38" i="1"/>
  <c r="M39" i="1"/>
  <c r="M40" i="1"/>
  <c r="M33" i="1"/>
  <c r="A69" i="1"/>
  <c r="B69" i="1" s="1"/>
  <c r="D58" i="1"/>
  <c r="D59" i="1"/>
  <c r="D60" i="1"/>
  <c r="D61" i="1"/>
  <c r="D57" i="1"/>
  <c r="E58" i="1"/>
  <c r="G13" i="1"/>
  <c r="A40" i="1"/>
  <c r="D40" i="1"/>
  <c r="R2" i="1"/>
  <c r="X2" i="1"/>
  <c r="H28" i="1"/>
  <c r="H29" i="1"/>
  <c r="H30" i="1"/>
  <c r="H31" i="1"/>
  <c r="H32" i="1"/>
  <c r="H33" i="1"/>
  <c r="H34" i="1"/>
  <c r="H27" i="1"/>
  <c r="I27" i="1" s="1"/>
  <c r="T2" i="1" s="1"/>
  <c r="U2" i="1" s="1"/>
  <c r="G20" i="1"/>
  <c r="G19" i="1"/>
  <c r="G18" i="1"/>
  <c r="G17" i="1"/>
  <c r="G16" i="1"/>
  <c r="G15" i="1"/>
  <c r="G14" i="1"/>
  <c r="M13" i="1"/>
  <c r="T26" i="1" s="1"/>
  <c r="L13" i="1"/>
  <c r="K13" i="1"/>
  <c r="J13" i="1"/>
  <c r="G9" i="1"/>
  <c r="G8" i="1"/>
  <c r="B8" i="1"/>
  <c r="G7" i="1"/>
  <c r="B7" i="1"/>
  <c r="G6" i="1"/>
  <c r="B6" i="1"/>
  <c r="G5" i="1"/>
  <c r="B5" i="1"/>
  <c r="G4" i="1"/>
  <c r="B4" i="1"/>
  <c r="G3" i="1"/>
  <c r="B3" i="1"/>
  <c r="G2" i="1"/>
  <c r="H4" i="1" l="1"/>
  <c r="I4" i="1" s="1"/>
  <c r="H2" i="1"/>
  <c r="B17" i="1"/>
  <c r="H17" i="1" s="1"/>
  <c r="I17" i="1" s="1"/>
  <c r="H6" i="1"/>
  <c r="I6" i="1" s="1"/>
  <c r="S26" i="1"/>
  <c r="E56" i="1"/>
  <c r="E57" i="1" s="1"/>
  <c r="B19" i="1"/>
  <c r="H19" i="1" s="1"/>
  <c r="I19" i="1" s="1"/>
  <c r="M26" i="1"/>
  <c r="N26" i="1"/>
  <c r="H8" i="1"/>
  <c r="I8" i="1" s="1"/>
  <c r="G40" i="1"/>
  <c r="O26" i="1"/>
  <c r="P26" i="1"/>
  <c r="Q26" i="1"/>
  <c r="R26" i="1"/>
  <c r="V2" i="1"/>
  <c r="H5" i="1"/>
  <c r="I5" i="1" s="1"/>
  <c r="B15" i="1"/>
  <c r="H15" i="1" s="1"/>
  <c r="I15" i="1" s="1"/>
  <c r="H9" i="1"/>
  <c r="I9" i="1" s="1"/>
  <c r="H3" i="1"/>
  <c r="I3" i="1" s="1"/>
  <c r="H7" i="1"/>
  <c r="I7" i="1" s="1"/>
  <c r="B20" i="1"/>
  <c r="H20" i="1" s="1"/>
  <c r="I20" i="1" s="1"/>
  <c r="B13" i="1"/>
  <c r="H13" i="1" s="1"/>
  <c r="I13" i="1" s="1"/>
  <c r="B14" i="1"/>
  <c r="B16" i="1"/>
  <c r="H16" i="1" s="1"/>
  <c r="I16" i="1" s="1"/>
  <c r="B18" i="1"/>
  <c r="H18" i="1" s="1"/>
  <c r="I18" i="1" s="1"/>
  <c r="H14" i="1"/>
  <c r="I14" i="1" s="1"/>
</calcChain>
</file>

<file path=xl/sharedStrings.xml><?xml version="1.0" encoding="utf-8"?>
<sst xmlns="http://schemas.openxmlformats.org/spreadsheetml/2006/main" count="92" uniqueCount="60">
  <si>
    <t>№ опыта</t>
  </si>
  <si>
    <t>a, мм</t>
  </si>
  <si>
    <t>X призмы, мм</t>
  </si>
  <si>
    <t>Xц, мм</t>
  </si>
  <si>
    <t>n</t>
  </si>
  <si>
    <t>tn, с</t>
  </si>
  <si>
    <t>T, с</t>
  </si>
  <si>
    <t>g, м / с ^ 2</t>
  </si>
  <si>
    <t>Xц пустой, мм</t>
  </si>
  <si>
    <t>L, мм</t>
  </si>
  <si>
    <t>m призм, г</t>
  </si>
  <si>
    <t>m стержня</t>
  </si>
  <si>
    <t>y, мм</t>
  </si>
  <si>
    <t>X груза, мм</t>
  </si>
  <si>
    <t>e</t>
  </si>
  <si>
    <t>X призм, мм</t>
  </si>
  <si>
    <t>m груз, г</t>
  </si>
  <si>
    <t>dT</t>
  </si>
  <si>
    <t>dL, mm</t>
  </si>
  <si>
    <t>eLmax</t>
  </si>
  <si>
    <t>eTmax</t>
  </si>
  <si>
    <t>eMmax</t>
  </si>
  <si>
    <t>dM</t>
  </si>
  <si>
    <t>dTsyst</t>
  </si>
  <si>
    <t>dTrnd</t>
  </si>
  <si>
    <t>Тi</t>
  </si>
  <si>
    <t>Tsr</t>
  </si>
  <si>
    <t>Tsum</t>
  </si>
  <si>
    <t>t, c</t>
  </si>
  <si>
    <t>T, c</t>
  </si>
  <si>
    <t>Xc, mm</t>
  </si>
  <si>
    <t>lpriz, mm</t>
  </si>
  <si>
    <t>g</t>
  </si>
  <si>
    <t>a</t>
  </si>
  <si>
    <t>N</t>
  </si>
  <si>
    <t>tsredn</t>
  </si>
  <si>
    <t>dtrnd</t>
  </si>
  <si>
    <t>dtsyst</t>
  </si>
  <si>
    <t>dtfull</t>
  </si>
  <si>
    <t>I, kg*m2</t>
  </si>
  <si>
    <t>lprB</t>
  </si>
  <si>
    <t>lprA</t>
  </si>
  <si>
    <t>uA</t>
  </si>
  <si>
    <t>vA</t>
  </si>
  <si>
    <t>uB</t>
  </si>
  <si>
    <t>vB</t>
  </si>
  <si>
    <t>k</t>
  </si>
  <si>
    <t>dk</t>
  </si>
  <si>
    <t>db</t>
  </si>
  <si>
    <t>A</t>
  </si>
  <si>
    <t>vA_s</t>
  </si>
  <si>
    <t>uA_s</t>
  </si>
  <si>
    <t>vB_s</t>
  </si>
  <si>
    <t>uB_s</t>
  </si>
  <si>
    <t>B</t>
  </si>
  <si>
    <t>b</t>
  </si>
  <si>
    <t>gA</t>
  </si>
  <si>
    <t>gB</t>
  </si>
  <si>
    <t>dg</t>
  </si>
  <si>
    <t>g_srA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</si>
</sst>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Sheet1!$U$5</c:f>
                <c:numCache>
                  <c:formatCode>General</c:formatCode>
                  <c:ptCount val="1"/>
                  <c:pt idx="0">
                    <c:v>1.5486745484907152E-3</c:v>
                  </c:pt>
                </c:numCache>
              </c:numRef>
            </c:plus>
            <c:minus>
              <c:numRef>
                <c:f>Sheet1!$U$5</c:f>
                <c:numCache>
                  <c:formatCode>General</c:formatCode>
                  <c:ptCount val="1"/>
                  <c:pt idx="0">
                    <c:v>1.5486745484907152E-3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Sheet1!$Q$2</c:f>
                <c:numCache>
                  <c:formatCode>General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Sheet1!$Q$2</c:f>
                <c:numCache>
                  <c:formatCode>General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Sheet1!$I$53:$I$57</c:f>
              <c:numCache>
                <c:formatCode>General</c:formatCode>
                <c:ptCount val="5"/>
                <c:pt idx="0">
                  <c:v>229.10000000000002</c:v>
                </c:pt>
                <c:pt idx="1">
                  <c:v>231.29999999999995</c:v>
                </c:pt>
                <c:pt idx="2">
                  <c:v>235.29999999999995</c:v>
                </c:pt>
                <c:pt idx="3">
                  <c:v>241.69999999999993</c:v>
                </c:pt>
                <c:pt idx="4">
                  <c:v>246.19999999999993</c:v>
                </c:pt>
              </c:numCache>
            </c:numRef>
          </c:xVal>
          <c:yVal>
            <c:numRef>
              <c:f>Sheet1!$J$53:$J$57</c:f>
              <c:numCache>
                <c:formatCode>General</c:formatCode>
                <c:ptCount val="5"/>
                <c:pt idx="0">
                  <c:v>1.5485</c:v>
                </c:pt>
                <c:pt idx="1">
                  <c:v>1.5470000000000002</c:v>
                </c:pt>
                <c:pt idx="2">
                  <c:v>1.5445</c:v>
                </c:pt>
                <c:pt idx="3">
                  <c:v>1.54</c:v>
                </c:pt>
                <c:pt idx="4">
                  <c:v>1.5375000000000001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C-494B-AFA5-4B7F77F9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24111"/>
        <c:axId val="1946709759"/>
      </c:scatterChart>
      <c:valAx>
        <c:axId val="213942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709759"/>
        <c:crosses val="autoZero"/>
        <c:crossBetween val="midCat"/>
      </c:valAx>
      <c:valAx>
        <c:axId val="19467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42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T(y)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Sheet1!$J$68</c:f>
              <c:strCache>
                <c:ptCount val="1"/>
                <c:pt idx="0">
                  <c:v>T, 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Sheet1!$U$5</c:f>
                <c:numCache>
                  <c:formatCode>General</c:formatCode>
                  <c:ptCount val="1"/>
                  <c:pt idx="0">
                    <c:v>1.5486745484907152E-3</c:v>
                  </c:pt>
                </c:numCache>
              </c:numRef>
            </c:plus>
            <c:minus>
              <c:numRef>
                <c:f>Sheet1!$U$5</c:f>
                <c:numCache>
                  <c:formatCode>General</c:formatCode>
                  <c:ptCount val="1"/>
                  <c:pt idx="0">
                    <c:v>1.5486745484907152E-3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Sheet1!$Q$2</c:f>
                <c:numCache>
                  <c:formatCode>General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Sheet1!$Q$2</c:f>
                <c:numCache>
                  <c:formatCode>General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Sheet1!$I$69:$I$76</c:f>
              <c:numCache>
                <c:formatCode>General</c:formatCode>
                <c:ptCount val="8"/>
                <c:pt idx="0">
                  <c:v>585.73296460176982</c:v>
                </c:pt>
                <c:pt idx="1">
                  <c:v>563.77967762326182</c:v>
                </c:pt>
                <c:pt idx="2">
                  <c:v>539.79367888748413</c:v>
                </c:pt>
                <c:pt idx="3">
                  <c:v>524.34506953223763</c:v>
                </c:pt>
                <c:pt idx="4">
                  <c:v>481.25158027812898</c:v>
                </c:pt>
                <c:pt idx="5">
                  <c:v>440.19080278128951</c:v>
                </c:pt>
                <c:pt idx="6">
                  <c:v>410.91975347661196</c:v>
                </c:pt>
                <c:pt idx="7">
                  <c:v>364.57392541087233</c:v>
                </c:pt>
              </c:numCache>
            </c:numRef>
          </c:xVal>
          <c:yVal>
            <c:numRef>
              <c:f>Sheet1!$J$69:$J$76</c:f>
              <c:numCache>
                <c:formatCode>General</c:formatCode>
                <c:ptCount val="8"/>
                <c:pt idx="0">
                  <c:v>1.5880000000000001</c:v>
                </c:pt>
                <c:pt idx="1">
                  <c:v>1.5720000000000001</c:v>
                </c:pt>
                <c:pt idx="2">
                  <c:v>1.5525</c:v>
                </c:pt>
                <c:pt idx="3">
                  <c:v>1.542</c:v>
                </c:pt>
                <c:pt idx="4">
                  <c:v>1.5165</c:v>
                </c:pt>
                <c:pt idx="5">
                  <c:v>1.496</c:v>
                </c:pt>
                <c:pt idx="6">
                  <c:v>1.4824999999999999</c:v>
                </c:pt>
                <c:pt idx="7">
                  <c:v>1.4630000000000001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1-438A-8C16-658833F5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1407"/>
        <c:axId val="2132549343"/>
      </c:scatterChart>
      <c:valAx>
        <c:axId val="49873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549343"/>
        <c:crosses val="autoZero"/>
        <c:crossBetween val="midCat"/>
      </c:valAx>
      <c:valAx>
        <c:axId val="21325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3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v(u)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67696849922377"/>
                  <c:y val="-0.13467094836330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Sheet1!$H$117:$H$124</c:f>
              <c:numCache>
                <c:formatCode>General</c:formatCode>
                <c:ptCount val="8"/>
                <c:pt idx="0">
                  <c:v>1.0389585280000002</c:v>
                </c:pt>
                <c:pt idx="1">
                  <c:v>1.0314722016</c:v>
                </c:pt>
                <c:pt idx="2">
                  <c:v>1.0202614706249999</c:v>
                </c:pt>
                <c:pt idx="3">
                  <c:v>1.0155430044</c:v>
                </c:pt>
                <c:pt idx="4">
                  <c:v>1.0066103138249998</c:v>
                </c:pt>
                <c:pt idx="5">
                  <c:v>1.0021835647999999</c:v>
                </c:pt>
                <c:pt idx="6">
                  <c:v>1.00000184375</c:v>
                </c:pt>
                <c:pt idx="7">
                  <c:v>0.99826810160000001</c:v>
                </c:pt>
              </c:numCache>
            </c:numRef>
          </c:xVal>
          <c:yVal>
            <c:numRef>
              <c:f>Sheet1!$I$117:$I$124</c:f>
              <c:numCache>
                <c:formatCode>General</c:formatCode>
                <c:ptCount val="8"/>
                <c:pt idx="0">
                  <c:v>0.3180831058211781</c:v>
                </c:pt>
                <c:pt idx="1">
                  <c:v>0.317847524900989</c:v>
                </c:pt>
                <c:pt idx="2">
                  <c:v>0.2913772157668843</c:v>
                </c:pt>
                <c:pt idx="3">
                  <c:v>0.27493775194276709</c:v>
                </c:pt>
                <c:pt idx="4">
                  <c:v>0.23160308352019643</c:v>
                </c:pt>
                <c:pt idx="5">
                  <c:v>0.19376794285323609</c:v>
                </c:pt>
                <c:pt idx="6">
                  <c:v>0.19885504379727953</c:v>
                </c:pt>
                <c:pt idx="7">
                  <c:v>0.20291414708949229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6-4E57-B59C-4DC5EADE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22207"/>
        <c:axId val="2129143759"/>
      </c:scatterChart>
      <c:valAx>
        <c:axId val="5132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</a:t>
                </a:r>
                <a:r>
                  <a:rPr lang="ru-RU"/>
                  <a:t> </a:t>
                </a:r>
                <a:r>
                  <a:rPr lang="en-US"/>
                  <a:t>= 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900" b="0" i="0" baseline="0">
                    <a:effectLst/>
                  </a:rPr>
                  <a:t>Xc*T^2, m*c^2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143759"/>
        <c:crosses val="autoZero"/>
        <c:crossBetween val="midCat"/>
      </c:valAx>
      <c:valAx>
        <c:axId val="21291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v =</a:t>
                </a:r>
                <a:r>
                  <a:rPr lang="ru-RU" sz="1050" b="0" i="0" baseline="0">
                    <a:effectLst/>
                  </a:rPr>
                  <a:t> </a:t>
                </a:r>
                <a:r>
                  <a:rPr lang="en-US" sz="1000" b="0" i="0" u="none" strike="noStrike" baseline="0">
                    <a:effectLst/>
                  </a:rPr>
                  <a:t>y^2</a:t>
                </a:r>
                <a:r>
                  <a:rPr lang="ru-RU" sz="1000" b="0" i="0" u="none" strike="noStrike" baseline="0">
                    <a:effectLst/>
                  </a:rPr>
                  <a:t>, </a:t>
                </a:r>
                <a:r>
                  <a:rPr lang="en-US" sz="1000" b="0" i="0" u="none" strike="noStrike" baseline="0">
                    <a:effectLst/>
                  </a:rPr>
                  <a:t>m^2</a:t>
                </a:r>
                <a:endParaRPr lang="ru-RU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22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668939634152399E-2"/>
                  <c:y val="-0.27096842138151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Sheet1!$H$103:$H$110</c:f>
              <c:numCache>
                <c:formatCode>General</c:formatCode>
                <c:ptCount val="8"/>
                <c:pt idx="0">
                  <c:v>1.2318315468750003</c:v>
                </c:pt>
                <c:pt idx="1">
                  <c:v>1.2333867529499998</c:v>
                </c:pt>
                <c:pt idx="2">
                  <c:v>1.2351292799999998</c:v>
                </c:pt>
                <c:pt idx="3">
                  <c:v>1.2353734792000002</c:v>
                </c:pt>
                <c:pt idx="4">
                  <c:v>1.2451866427</c:v>
                </c:pt>
                <c:pt idx="5">
                  <c:v>1.2466519786500001</c:v>
                </c:pt>
                <c:pt idx="6">
                  <c:v>1.2487474790999999</c:v>
                </c:pt>
              </c:numCache>
            </c:numRef>
          </c:xVal>
          <c:yVal>
            <c:numRef>
              <c:f>Sheet1!$I$103:$I$110</c:f>
              <c:numCache>
                <c:formatCode>General</c:formatCode>
                <c:ptCount val="8"/>
                <c:pt idx="0">
                  <c:v>1.0614439999999961E-2</c:v>
                </c:pt>
                <c:pt idx="1">
                  <c:v>2.7950809999999993E-2</c:v>
                </c:pt>
                <c:pt idx="2">
                  <c:v>3.3418889999999972E-2</c:v>
                </c:pt>
                <c:pt idx="3">
                  <c:v>3.2486810000000019E-2</c:v>
                </c:pt>
                <c:pt idx="4">
                  <c:v>6.3499689999999984E-2</c:v>
                </c:pt>
                <c:pt idx="5">
                  <c:v>6.5366089999999974E-2</c:v>
                </c:pt>
                <c:pt idx="6">
                  <c:v>8.0940489999999976E-2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4-422F-A80D-460A9F151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98831"/>
        <c:axId val="184131615"/>
      </c:scatterChart>
      <c:valAx>
        <c:axId val="5320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31615"/>
        <c:crosses val="autoZero"/>
        <c:crossBetween val="midCat"/>
      </c:valAx>
      <c:valAx>
        <c:axId val="184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9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311942</xdr:colOff>
      <xdr:row>40</xdr:row>
      <xdr:rowOff>130967</xdr:rowOff>
    </xdr:from>
    <xdr:to>
      <xdr:col>19</xdr:col>
      <xdr:colOff>514349</xdr:colOff>
      <xdr:row>66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F1440F-E175-497A-9767-4C5FA8BD1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323021</xdr:colOff>
      <xdr:row>66</xdr:row>
      <xdr:rowOff>62325</xdr:rowOff>
    </xdr:from>
    <xdr:to>
      <xdr:col>19</xdr:col>
      <xdr:colOff>502132</xdr:colOff>
      <xdr:row>93</xdr:row>
      <xdr:rowOff>108708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94DDBD-3689-42B6-83F4-4AC7944D3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1188682</xdr:colOff>
      <xdr:row>121</xdr:row>
      <xdr:rowOff>27990</xdr:rowOff>
    </xdr:from>
    <xdr:to>
      <xdr:col>18</xdr:col>
      <xdr:colOff>617181</xdr:colOff>
      <xdr:row>144</xdr:row>
      <xdr:rowOff>72894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3761AE-B01F-47A8-97F6-349C86A03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1177823</xdr:colOff>
      <xdr:row>98</xdr:row>
      <xdr:rowOff>66572</xdr:rowOff>
    </xdr:from>
    <xdr:to>
      <xdr:col>18</xdr:col>
      <xdr:colOff>594032</xdr:colOff>
      <xdr:row>121</xdr:row>
      <xdr:rowOff>10242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229747F-1F5B-430B-BA18-C03E9A141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abSelected="1" zoomScale="65" zoomScaleNormal="100" workbookViewId="0">
      <selection activeCell="J28" sqref="J28"/>
    </sheetView>
  </sheetViews>
  <sheetFormatPr defaultColWidth="11.53125" defaultRowHeight="12.75" x14ac:dyDescent="0.35"/>
  <cols>
    <col min="3" max="3" width="17.6640625" style="1" customWidth="1"/>
    <col min="5" max="5" width="12" bestFit="1" customWidth="1"/>
    <col min="10" max="10" width="16.796875" style="1" customWidth="1"/>
    <col min="18" max="18" width="12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10</v>
      </c>
      <c r="M1" s="1" t="s">
        <v>11</v>
      </c>
      <c r="Q1" t="s">
        <v>18</v>
      </c>
      <c r="R1" t="s">
        <v>19</v>
      </c>
      <c r="S1" t="s">
        <v>23</v>
      </c>
      <c r="T1" t="s">
        <v>24</v>
      </c>
      <c r="U1" t="s">
        <v>17</v>
      </c>
      <c r="V1" t="s">
        <v>20</v>
      </c>
      <c r="W1" t="s">
        <v>22</v>
      </c>
      <c r="X1" t="s">
        <v>21</v>
      </c>
    </row>
    <row r="2" spans="1:24" x14ac:dyDescent="0.35">
      <c r="A2" s="1">
        <v>1</v>
      </c>
      <c r="B2" s="1">
        <f>C2-$J$2</f>
        <v>229.10000000000002</v>
      </c>
      <c r="C2" s="1">
        <v>727.2</v>
      </c>
      <c r="D2" s="1">
        <v>515.20000000000005</v>
      </c>
      <c r="E2" s="1">
        <v>20</v>
      </c>
      <c r="F2" s="1">
        <v>30.97</v>
      </c>
      <c r="G2" s="1">
        <f t="shared" ref="G2:G9" si="0">F2/E2</f>
        <v>1.5485</v>
      </c>
      <c r="H2" s="1">
        <f>POWER(2*PI()/G2,2)*((POWER($K$2 * 0.001,2)/12+B2*0.001)/(1+$L$2/$M$2)/(D2 * 0.001))</f>
        <v>9.1587478042119219</v>
      </c>
      <c r="I2">
        <f>ABS(9.81 - H2) / 9.81 * 100</f>
        <v>6.6386564300517685</v>
      </c>
      <c r="J2" s="1">
        <v>498.1</v>
      </c>
      <c r="K2" s="1">
        <v>996</v>
      </c>
      <c r="L2" s="1">
        <v>78.3</v>
      </c>
      <c r="M2" s="1">
        <v>891.6</v>
      </c>
      <c r="Q2">
        <v>0.05</v>
      </c>
      <c r="R2">
        <f>Q2/412*100</f>
        <v>1.2135922330097089E-2</v>
      </c>
      <c r="S2">
        <v>2E-3</v>
      </c>
      <c r="T2">
        <f>SQRT(I27/7)</f>
        <v>3.0908852176312993E-2</v>
      </c>
      <c r="U2">
        <f>SQRT(S2*S2+T2*T2)</f>
        <v>3.0973490969814305E-2</v>
      </c>
      <c r="V2">
        <f>U2/G20*100</f>
        <v>2.1171217340953041</v>
      </c>
      <c r="W2">
        <v>0.05</v>
      </c>
      <c r="X2">
        <f>W2/O13*100</f>
        <v>1.5802781289506955E-2</v>
      </c>
    </row>
    <row r="3" spans="1:24" x14ac:dyDescent="0.35">
      <c r="A3" s="1">
        <v>2</v>
      </c>
      <c r="B3" s="1">
        <f t="shared" ref="B3:B9" si="1">C3-$J$2</f>
        <v>246.19999999999993</v>
      </c>
      <c r="C3" s="1">
        <v>744.3</v>
      </c>
      <c r="D3" s="1">
        <v>521.1</v>
      </c>
      <c r="E3" s="1">
        <v>20</v>
      </c>
      <c r="F3" s="1">
        <v>30.75</v>
      </c>
      <c r="G3" s="1">
        <f t="shared" si="0"/>
        <v>1.5375000000000001</v>
      </c>
      <c r="H3" s="1">
        <f t="shared" ref="H3:H9" si="2">POWER(2*PI()/G3,2)*((POWER($K$2 * 0.001,2)/12+B3*0.001)/(1+$L$2/$M$2)/(D3 * 0.001))</f>
        <v>9.6888700778446566</v>
      </c>
      <c r="I3">
        <f t="shared" ref="I2:I9" si="3">ABS(9.81 - H3) / 9.81 * 100</f>
        <v>1.2347596549984088</v>
      </c>
    </row>
    <row r="4" spans="1:24" x14ac:dyDescent="0.35">
      <c r="A4" s="1">
        <v>3</v>
      </c>
      <c r="B4" s="1">
        <f t="shared" si="1"/>
        <v>250.89999999999998</v>
      </c>
      <c r="C4" s="1">
        <v>749</v>
      </c>
      <c r="D4" s="1">
        <v>523.79999999999995</v>
      </c>
      <c r="E4" s="1">
        <v>20</v>
      </c>
      <c r="F4" s="1">
        <v>30.69</v>
      </c>
      <c r="G4" s="1">
        <f t="shared" si="0"/>
        <v>1.5345</v>
      </c>
      <c r="H4" s="1">
        <f t="shared" si="2"/>
        <v>9.8149465436886913</v>
      </c>
      <c r="I4">
        <f t="shared" si="3"/>
        <v>5.0423483065146296E-2</v>
      </c>
    </row>
    <row r="5" spans="1:24" x14ac:dyDescent="0.35">
      <c r="A5" s="1">
        <v>4</v>
      </c>
      <c r="B5" s="1">
        <f t="shared" si="1"/>
        <v>231.29999999999995</v>
      </c>
      <c r="C5" s="1">
        <v>729.4</v>
      </c>
      <c r="D5" s="1">
        <v>520.29999999999995</v>
      </c>
      <c r="E5" s="1">
        <v>20</v>
      </c>
      <c r="F5" s="1">
        <v>30.94</v>
      </c>
      <c r="G5" s="1">
        <f t="shared" si="0"/>
        <v>1.5470000000000002</v>
      </c>
      <c r="H5" s="1">
        <f t="shared" si="2"/>
        <v>9.1506884723788247</v>
      </c>
      <c r="I5">
        <f t="shared" si="3"/>
        <v>6.7208106791149413</v>
      </c>
      <c r="U5">
        <f>U2/20</f>
        <v>1.5486745484907152E-3</v>
      </c>
    </row>
    <row r="6" spans="1:24" x14ac:dyDescent="0.35">
      <c r="A6" s="1">
        <v>5</v>
      </c>
      <c r="B6" s="1">
        <f t="shared" si="1"/>
        <v>259.5</v>
      </c>
      <c r="C6" s="1">
        <v>757.6</v>
      </c>
      <c r="D6" s="1">
        <v>520.79999999999995</v>
      </c>
      <c r="E6" s="1">
        <v>20</v>
      </c>
      <c r="F6" s="1">
        <v>30.63</v>
      </c>
      <c r="G6" s="1">
        <f t="shared" si="0"/>
        <v>1.5314999999999999</v>
      </c>
      <c r="H6" s="1">
        <f t="shared" si="2"/>
        <v>10.165699100513145</v>
      </c>
      <c r="I6">
        <f t="shared" si="3"/>
        <v>3.6258827779117633</v>
      </c>
    </row>
    <row r="7" spans="1:24" x14ac:dyDescent="0.35">
      <c r="A7" s="1">
        <v>6</v>
      </c>
      <c r="B7" s="1">
        <f t="shared" si="1"/>
        <v>225.69999999999993</v>
      </c>
      <c r="C7" s="1">
        <v>723.8</v>
      </c>
      <c r="D7" s="1">
        <v>519.1</v>
      </c>
      <c r="E7" s="1">
        <v>20</v>
      </c>
      <c r="F7" s="1">
        <v>31.02</v>
      </c>
      <c r="G7" s="1">
        <f t="shared" si="0"/>
        <v>1.5509999999999999</v>
      </c>
      <c r="H7" s="1">
        <f t="shared" si="2"/>
        <v>8.9618468255085322</v>
      </c>
      <c r="I7">
        <f t="shared" si="3"/>
        <v>8.6458019825837749</v>
      </c>
    </row>
    <row r="8" spans="1:24" x14ac:dyDescent="0.35">
      <c r="A8" s="1">
        <v>7</v>
      </c>
      <c r="B8" s="1">
        <f t="shared" si="1"/>
        <v>241.69999999999993</v>
      </c>
      <c r="C8" s="1">
        <v>739.8</v>
      </c>
      <c r="D8" s="1">
        <v>520.79999999999995</v>
      </c>
      <c r="E8" s="1">
        <v>20</v>
      </c>
      <c r="F8" s="1">
        <v>30.8</v>
      </c>
      <c r="G8" s="1">
        <f t="shared" si="0"/>
        <v>1.54</v>
      </c>
      <c r="H8" s="1">
        <f t="shared" si="2"/>
        <v>9.5307795215061155</v>
      </c>
      <c r="I8">
        <f t="shared" si="3"/>
        <v>2.8462841844432716</v>
      </c>
    </row>
    <row r="9" spans="1:24" x14ac:dyDescent="0.35">
      <c r="A9" s="1">
        <v>8</v>
      </c>
      <c r="B9" s="1">
        <f>C9-$J$2</f>
        <v>235.29999999999995</v>
      </c>
      <c r="C9" s="1">
        <v>733.4</v>
      </c>
      <c r="D9" s="1">
        <v>522.6</v>
      </c>
      <c r="E9" s="1">
        <v>20</v>
      </c>
      <c r="F9" s="1">
        <v>30.89</v>
      </c>
      <c r="G9" s="1">
        <f t="shared" si="0"/>
        <v>1.5445</v>
      </c>
      <c r="H9" s="1">
        <f t="shared" si="2"/>
        <v>9.2563767267362884</v>
      </c>
      <c r="I9">
        <f t="shared" si="3"/>
        <v>5.6434584430551684</v>
      </c>
    </row>
    <row r="12" spans="1:24" x14ac:dyDescent="0.35">
      <c r="A12" s="1" t="s">
        <v>0</v>
      </c>
      <c r="B12" s="1" t="s">
        <v>12</v>
      </c>
      <c r="C12" s="1" t="s">
        <v>13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t="s">
        <v>14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15</v>
      </c>
      <c r="O12" s="1" t="s">
        <v>16</v>
      </c>
    </row>
    <row r="13" spans="1:24" x14ac:dyDescent="0.35">
      <c r="A13" s="1">
        <v>1</v>
      </c>
      <c r="B13" s="1">
        <f t="shared" ref="B13:B20" si="4">(($L$13+$M$13 + $O$13) * ($N$13 - D13) - ($L$13+$M$13) * ($N$13 - $J$13)) / $O$13</f>
        <v>585.73296460176982</v>
      </c>
      <c r="D13" s="1">
        <v>412</v>
      </c>
      <c r="E13" s="1">
        <v>20</v>
      </c>
      <c r="F13" s="1">
        <v>31.76</v>
      </c>
      <c r="G13" s="1">
        <f>F13/E13</f>
        <v>1.5880000000000001</v>
      </c>
      <c r="H13" s="1">
        <f>POWER(2*PI() / G13, 2) * ($M$13 * POWER($K$13 * 0.001, 2) / 12 + $M$13 * POWER(($N$13 - $J$13) * 0.001, 2) + $O$13 * POWER(B13 * 0.001, 2)) / ($N$13 - D13) / ($L$13 + $M$13 + $O$13) / 0.001</f>
        <v>8.7665028009568999</v>
      </c>
      <c r="I13">
        <f>ABS(9.81 - H13) / 9.81 * 100</f>
        <v>10.637076442845061</v>
      </c>
      <c r="J13" s="1">
        <f>J2</f>
        <v>498.1</v>
      </c>
      <c r="K13" s="1">
        <f>K2</f>
        <v>996</v>
      </c>
      <c r="L13" s="1">
        <f>L2</f>
        <v>78.3</v>
      </c>
      <c r="M13" s="1">
        <f>M2</f>
        <v>891.6</v>
      </c>
      <c r="N13" s="1">
        <v>733.8</v>
      </c>
      <c r="O13" s="1">
        <v>316.39999999999998</v>
      </c>
    </row>
    <row r="14" spans="1:24" x14ac:dyDescent="0.35">
      <c r="A14" s="1">
        <v>2</v>
      </c>
      <c r="B14" s="1">
        <f t="shared" si="4"/>
        <v>563.77967762326182</v>
      </c>
      <c r="D14" s="1">
        <v>417.4</v>
      </c>
      <c r="E14" s="1">
        <v>20</v>
      </c>
      <c r="F14" s="1">
        <v>31.44</v>
      </c>
      <c r="G14" s="1">
        <f t="shared" ref="G14:G20" si="5">F14/E14</f>
        <v>1.5720000000000001</v>
      </c>
      <c r="H14" s="1">
        <f t="shared" ref="H14:H20" si="6">POWER(2*PI() / G14, 2) * ($M$13 * POWER($K$13 * 0.001, 2) / 12 + $M$13 * POWER(($N$13 - $J$13) * 0.001, 2) + $O$13 * POWER(B14 * 0.001, 2)) / ($N$13 - D14) / ($L$13 + $M$13 + $O$13) / 0.001</f>
        <v>8.7851237689118804</v>
      </c>
      <c r="I14">
        <f t="shared" ref="I14:I20" si="7">ABS(9.81 - H14) / 9.81 * 100</f>
        <v>10.447260255740265</v>
      </c>
    </row>
    <row r="15" spans="1:24" x14ac:dyDescent="0.35">
      <c r="A15" s="1">
        <v>3</v>
      </c>
      <c r="B15" s="1">
        <f t="shared" si="4"/>
        <v>539.79367888748413</v>
      </c>
      <c r="D15" s="1">
        <v>423.3</v>
      </c>
      <c r="E15" s="1">
        <v>20</v>
      </c>
      <c r="F15" s="1">
        <v>31.05</v>
      </c>
      <c r="G15" s="1">
        <f t="shared" si="5"/>
        <v>1.5525</v>
      </c>
      <c r="H15" s="1">
        <f t="shared" si="6"/>
        <v>8.8348806564246729</v>
      </c>
      <c r="I15">
        <f t="shared" si="7"/>
        <v>9.9400544706965093</v>
      </c>
    </row>
    <row r="16" spans="1:24" x14ac:dyDescent="0.35">
      <c r="A16" s="1">
        <v>4</v>
      </c>
      <c r="B16" s="1">
        <f t="shared" si="4"/>
        <v>524.34506953223763</v>
      </c>
      <c r="D16" s="1">
        <v>427.1</v>
      </c>
      <c r="E16" s="1">
        <v>20</v>
      </c>
      <c r="F16" s="1">
        <v>30.84</v>
      </c>
      <c r="G16" s="1">
        <f t="shared" si="5"/>
        <v>1.542</v>
      </c>
      <c r="H16" s="1">
        <f t="shared" si="6"/>
        <v>8.8476626082905465</v>
      </c>
      <c r="I16">
        <f t="shared" si="7"/>
        <v>9.8097593446427513</v>
      </c>
    </row>
    <row r="17" spans="1:20" x14ac:dyDescent="0.35">
      <c r="A17" s="1">
        <v>5</v>
      </c>
      <c r="B17" s="1">
        <f t="shared" si="4"/>
        <v>481.25158027812898</v>
      </c>
      <c r="D17" s="1">
        <v>437.7</v>
      </c>
      <c r="E17" s="1">
        <v>20</v>
      </c>
      <c r="F17" s="1">
        <v>30.33</v>
      </c>
      <c r="G17" s="1">
        <f t="shared" si="5"/>
        <v>1.5165</v>
      </c>
      <c r="H17" s="1">
        <f t="shared" si="6"/>
        <v>8.8572198117746623</v>
      </c>
      <c r="I17">
        <f t="shared" si="7"/>
        <v>9.7123362714101749</v>
      </c>
    </row>
    <row r="18" spans="1:20" x14ac:dyDescent="0.35">
      <c r="A18" s="1">
        <v>6</v>
      </c>
      <c r="B18" s="1">
        <f t="shared" si="4"/>
        <v>440.19080278128951</v>
      </c>
      <c r="D18" s="1">
        <v>447.8</v>
      </c>
      <c r="E18" s="1">
        <v>20</v>
      </c>
      <c r="F18" s="1">
        <v>29.92</v>
      </c>
      <c r="G18" s="1">
        <f t="shared" si="5"/>
        <v>1.496</v>
      </c>
      <c r="H18" s="1">
        <f t="shared" si="6"/>
        <v>8.8490379650102504</v>
      </c>
      <c r="I18">
        <f t="shared" si="7"/>
        <v>9.7957393984684007</v>
      </c>
    </row>
    <row r="19" spans="1:20" x14ac:dyDescent="0.35">
      <c r="A19" s="1">
        <v>7</v>
      </c>
      <c r="B19" s="1">
        <f t="shared" si="4"/>
        <v>410.91975347661196</v>
      </c>
      <c r="D19" s="1">
        <v>455</v>
      </c>
      <c r="E19" s="1">
        <v>20</v>
      </c>
      <c r="F19" s="1">
        <v>29.65</v>
      </c>
      <c r="G19" s="1">
        <f t="shared" si="5"/>
        <v>1.4824999999999999</v>
      </c>
      <c r="H19" s="1">
        <f t="shared" si="6"/>
        <v>8.8488245662899647</v>
      </c>
      <c r="I19">
        <f t="shared" si="7"/>
        <v>9.7979147167179992</v>
      </c>
    </row>
    <row r="20" spans="1:20" x14ac:dyDescent="0.35">
      <c r="A20" s="1">
        <v>8</v>
      </c>
      <c r="B20" s="1">
        <f t="shared" si="4"/>
        <v>364.57392541087233</v>
      </c>
      <c r="D20" s="1">
        <v>466.4</v>
      </c>
      <c r="E20" s="1">
        <v>20</v>
      </c>
      <c r="F20" s="1">
        <v>29.26</v>
      </c>
      <c r="G20" s="1">
        <f t="shared" si="5"/>
        <v>1.4630000000000001</v>
      </c>
      <c r="H20" s="1">
        <f t="shared" si="6"/>
        <v>8.8638504688681685</v>
      </c>
      <c r="I20">
        <f t="shared" si="7"/>
        <v>9.6447454753499677</v>
      </c>
    </row>
    <row r="25" spans="1:20" x14ac:dyDescent="0.35">
      <c r="M25">
        <v>1</v>
      </c>
      <c r="N25">
        <v>2</v>
      </c>
      <c r="O25">
        <v>3</v>
      </c>
      <c r="P25">
        <v>4</v>
      </c>
      <c r="Q25">
        <v>5</v>
      </c>
      <c r="R25">
        <v>6</v>
      </c>
      <c r="S25">
        <v>7</v>
      </c>
      <c r="T25">
        <v>8</v>
      </c>
    </row>
    <row r="26" spans="1:20" x14ac:dyDescent="0.35">
      <c r="G26" t="s">
        <v>25</v>
      </c>
      <c r="H26" t="s">
        <v>26</v>
      </c>
      <c r="I26" t="s">
        <v>27</v>
      </c>
      <c r="L26" t="s">
        <v>39</v>
      </c>
      <c r="M26">
        <f>($M$13*($N$13)*($N$13)/12 - $O$13*($N$13-$D13))/1000000000</f>
        <v>3.9905941771999992E-2</v>
      </c>
      <c r="N26">
        <f>($M$13*($N$13)*($N$13)/12 - $O$13*($N$13-$D14))/1000000000</f>
        <v>3.9907650331999993E-2</v>
      </c>
      <c r="O26">
        <f>($M$13*($N$13)*($N$13)/12 - $O$13*($N$13-$D15))/1000000000</f>
        <v>3.9909517091999989E-2</v>
      </c>
      <c r="P26">
        <f>($M$13*($N$13)*($N$13)/12 - $O$13*($N$13-$D16))/1000000000</f>
        <v>3.9910719411999994E-2</v>
      </c>
      <c r="Q26">
        <f>($M$13*($N$13)*($N$13)/12 - $O$13*($N$13-$D17))/1000000000</f>
        <v>3.9914073251999999E-2</v>
      </c>
      <c r="R26">
        <f>($M$13*($N$13)*($N$13)/12 - $O$13*($N$13-$D18))/1000000000</f>
        <v>3.9917268892E-2</v>
      </c>
      <c r="S26">
        <f>($M$13*($N$13)*($N$13)/12 - $O$13*($N$13-$D19))/1000000000</f>
        <v>3.9919546971999995E-2</v>
      </c>
      <c r="T26">
        <f>($M$13*($N$13)*($N$13)/12 - $O$13*($N$13-$D20))/1000000000</f>
        <v>3.9923153931999994E-2</v>
      </c>
    </row>
    <row r="27" spans="1:20" x14ac:dyDescent="0.35">
      <c r="C27" s="1" t="s">
        <v>59</v>
      </c>
      <c r="G27">
        <v>1.5485</v>
      </c>
      <c r="H27">
        <f>SUM(G$27:G$34)/8</f>
        <v>1.5418124999999998</v>
      </c>
      <c r="I27">
        <f>SUM(G27:G34-H27:H34)</f>
        <v>6.6875000000001794E-3</v>
      </c>
    </row>
    <row r="28" spans="1:20" x14ac:dyDescent="0.35">
      <c r="C28" s="1">
        <f>SUM(H2:H9)/8</f>
        <v>9.4659943840485212</v>
      </c>
      <c r="D28">
        <f>ABS(9.81 - C28) / 9.81 * 100</f>
        <v>3.50668313915881</v>
      </c>
      <c r="G28">
        <v>1.5375000000000001</v>
      </c>
      <c r="H28">
        <f t="shared" ref="H28:H34" si="8">SUM(G$27:G$34)/8</f>
        <v>1.5418124999999998</v>
      </c>
    </row>
    <row r="29" spans="1:20" x14ac:dyDescent="0.35">
      <c r="G29">
        <v>1.5345</v>
      </c>
      <c r="H29">
        <f t="shared" si="8"/>
        <v>1.5418124999999998</v>
      </c>
    </row>
    <row r="30" spans="1:20" x14ac:dyDescent="0.35">
      <c r="C30" s="1" t="s">
        <v>59</v>
      </c>
      <c r="G30">
        <v>1.5470000000000002</v>
      </c>
      <c r="H30">
        <f t="shared" si="8"/>
        <v>1.5418124999999998</v>
      </c>
    </row>
    <row r="31" spans="1:20" x14ac:dyDescent="0.35">
      <c r="C31" s="1">
        <f>SUM(H13:H20)/8</f>
        <v>8.8316378308158807</v>
      </c>
      <c r="D31">
        <f>ABS(9.81 - C31) / 9.81 * 100</f>
        <v>9.9731107969838924</v>
      </c>
      <c r="G31">
        <v>1.5314999999999999</v>
      </c>
      <c r="H31">
        <f t="shared" si="8"/>
        <v>1.5418124999999998</v>
      </c>
    </row>
    <row r="32" spans="1:20" x14ac:dyDescent="0.35">
      <c r="G32">
        <v>1.5509999999999999</v>
      </c>
      <c r="H32">
        <f t="shared" si="8"/>
        <v>1.5418124999999998</v>
      </c>
      <c r="M32" t="s">
        <v>40</v>
      </c>
      <c r="P32" t="s">
        <v>41</v>
      </c>
    </row>
    <row r="33" spans="1:17" x14ac:dyDescent="0.35">
      <c r="G33">
        <v>1.54</v>
      </c>
      <c r="H33">
        <f t="shared" si="8"/>
        <v>1.5418124999999998</v>
      </c>
      <c r="M33">
        <f>(N$13-D13)+N$13*N$13/12/(N$13-D13)</f>
        <v>461.24024238657546</v>
      </c>
      <c r="N33">
        <v>1</v>
      </c>
      <c r="P33">
        <f>(C2-D2)+C2*C2/12/(C2-D2)</f>
        <v>419.86943396226422</v>
      </c>
      <c r="Q33">
        <v>1</v>
      </c>
    </row>
    <row r="34" spans="1:17" x14ac:dyDescent="0.35">
      <c r="G34">
        <v>1.5445</v>
      </c>
      <c r="H34">
        <f t="shared" si="8"/>
        <v>1.5418124999999998</v>
      </c>
      <c r="M34">
        <f t="shared" ref="M34:M40" si="9">(N$13-D14)+N$13*N$13/12/(N$13-D14)</f>
        <v>458.22006953223763</v>
      </c>
      <c r="N34">
        <v>2</v>
      </c>
      <c r="P34">
        <f t="shared" ref="P34:P40" si="10">(C3-D3)+C3*C3/12/(C3-D3)</f>
        <v>430.03336693548385</v>
      </c>
      <c r="Q34">
        <v>2</v>
      </c>
    </row>
    <row r="35" spans="1:17" x14ac:dyDescent="0.35">
      <c r="M35">
        <f t="shared" si="9"/>
        <v>455.01487922705309</v>
      </c>
      <c r="N35">
        <v>3</v>
      </c>
      <c r="P35">
        <f t="shared" si="10"/>
        <v>432.79362048549439</v>
      </c>
      <c r="Q35">
        <v>3</v>
      </c>
    </row>
    <row r="36" spans="1:17" x14ac:dyDescent="0.35">
      <c r="M36">
        <f t="shared" si="9"/>
        <v>453.00541245516786</v>
      </c>
      <c r="N36">
        <v>4</v>
      </c>
      <c r="P36">
        <f t="shared" si="10"/>
        <v>421.12947553004943</v>
      </c>
      <c r="Q36">
        <v>4</v>
      </c>
    </row>
    <row r="37" spans="1:17" x14ac:dyDescent="0.35">
      <c r="M37">
        <f t="shared" si="9"/>
        <v>447.6429584599797</v>
      </c>
      <c r="N37">
        <v>5</v>
      </c>
      <c r="P37">
        <f t="shared" si="10"/>
        <v>438.78400900900903</v>
      </c>
      <c r="Q37">
        <v>5</v>
      </c>
    </row>
    <row r="38" spans="1:17" x14ac:dyDescent="0.35">
      <c r="M38">
        <f t="shared" si="9"/>
        <v>442.89465034965031</v>
      </c>
      <c r="N38">
        <v>6</v>
      </c>
      <c r="P38">
        <f t="shared" si="10"/>
        <v>417.97407588340661</v>
      </c>
      <c r="Q38">
        <v>6</v>
      </c>
    </row>
    <row r="39" spans="1:17" x14ac:dyDescent="0.35">
      <c r="A39" t="s">
        <v>33</v>
      </c>
      <c r="C39" s="1" t="s">
        <v>28</v>
      </c>
      <c r="D39" t="s">
        <v>29</v>
      </c>
      <c r="E39" t="s">
        <v>31</v>
      </c>
      <c r="F39" t="s">
        <v>30</v>
      </c>
      <c r="G39" t="s">
        <v>32</v>
      </c>
      <c r="M39">
        <f t="shared" si="9"/>
        <v>439.74644906743185</v>
      </c>
      <c r="N39">
        <v>7</v>
      </c>
      <c r="P39">
        <f t="shared" si="10"/>
        <v>427.25876712328761</v>
      </c>
      <c r="Q39">
        <v>7</v>
      </c>
    </row>
    <row r="40" spans="1:17" x14ac:dyDescent="0.35">
      <c r="A40">
        <f>E40-J2</f>
        <v>271.10000000000002</v>
      </c>
      <c r="C40" s="1">
        <v>29.26</v>
      </c>
      <c r="D40">
        <f>C40/20</f>
        <v>1.4630000000000001</v>
      </c>
      <c r="E40">
        <v>769.2</v>
      </c>
      <c r="F40">
        <v>492.2</v>
      </c>
      <c r="G40" s="1">
        <f>POWER(2*PI()/D40,2)*((POWER($K$2 * 0.001,2)/12+A40*0.001)/(1+$L$2/$M$2)/(F40 * 0.001))</f>
        <v>12.186840352707826</v>
      </c>
      <c r="M40">
        <f t="shared" si="9"/>
        <v>435.20804038893039</v>
      </c>
      <c r="N40">
        <v>8</v>
      </c>
      <c r="P40">
        <f t="shared" si="10"/>
        <v>423.43265338393417</v>
      </c>
      <c r="Q40">
        <v>8</v>
      </c>
    </row>
    <row r="46" spans="1:17" x14ac:dyDescent="0.35">
      <c r="A46" t="s">
        <v>3</v>
      </c>
      <c r="B46" s="1" t="s">
        <v>5</v>
      </c>
      <c r="C46" t="s">
        <v>6</v>
      </c>
      <c r="D46" t="s">
        <v>7</v>
      </c>
      <c r="E46" t="s">
        <v>14</v>
      </c>
      <c r="I46" s="1"/>
      <c r="J46"/>
    </row>
    <row r="47" spans="1:17" x14ac:dyDescent="0.35">
      <c r="A47">
        <v>412</v>
      </c>
      <c r="B47" s="1">
        <v>31.76</v>
      </c>
      <c r="C47">
        <v>1.5880000000000001</v>
      </c>
      <c r="D47">
        <v>8.7665028009568999</v>
      </c>
      <c r="E47">
        <v>10.637076442845061</v>
      </c>
      <c r="I47" s="1"/>
      <c r="J47"/>
    </row>
    <row r="51" spans="1:10" x14ac:dyDescent="0.35">
      <c r="I51" t="s">
        <v>1</v>
      </c>
      <c r="J51" s="1" t="s">
        <v>6</v>
      </c>
    </row>
    <row r="52" spans="1:10" x14ac:dyDescent="0.35">
      <c r="I52">
        <v>225.69999999999993</v>
      </c>
      <c r="J52" s="1">
        <v>1.5509999999999999</v>
      </c>
    </row>
    <row r="53" spans="1:10" x14ac:dyDescent="0.35">
      <c r="I53">
        <v>229.10000000000002</v>
      </c>
      <c r="J53" s="1">
        <v>1.5485</v>
      </c>
    </row>
    <row r="54" spans="1:10" x14ac:dyDescent="0.35">
      <c r="I54">
        <v>231.29999999999995</v>
      </c>
      <c r="J54" s="1">
        <v>1.5470000000000002</v>
      </c>
    </row>
    <row r="55" spans="1:10" x14ac:dyDescent="0.35">
      <c r="I55">
        <v>235.29999999999995</v>
      </c>
      <c r="J55" s="1">
        <v>1.5445</v>
      </c>
    </row>
    <row r="56" spans="1:10" x14ac:dyDescent="0.35">
      <c r="A56" t="s">
        <v>34</v>
      </c>
      <c r="B56" t="s">
        <v>28</v>
      </c>
      <c r="E56">
        <f>SUM(D57:D61)</f>
        <v>1.6000000000008896E-2</v>
      </c>
      <c r="I56">
        <v>241.69999999999993</v>
      </c>
      <c r="J56" s="1">
        <v>1.54</v>
      </c>
    </row>
    <row r="57" spans="1:10" x14ac:dyDescent="0.35">
      <c r="A57">
        <v>1</v>
      </c>
      <c r="B57">
        <v>29.26</v>
      </c>
      <c r="C57">
        <v>29.257999999999999</v>
      </c>
      <c r="D57">
        <f>B57-C57</f>
        <v>2.0000000000024443E-3</v>
      </c>
      <c r="E57">
        <f>SQRT(E56/4)</f>
        <v>6.3245553203385166E-2</v>
      </c>
      <c r="I57">
        <v>246.19999999999993</v>
      </c>
      <c r="J57" s="1">
        <v>1.5375000000000001</v>
      </c>
    </row>
    <row r="58" spans="1:10" x14ac:dyDescent="0.35">
      <c r="A58">
        <v>2</v>
      </c>
      <c r="B58">
        <v>29.25</v>
      </c>
      <c r="C58">
        <v>29.257999999999999</v>
      </c>
      <c r="D58">
        <f>C58-B58</f>
        <v>7.9999999999991189E-3</v>
      </c>
      <c r="E58">
        <f>SQRT(B64*B64+B63*B63)</f>
        <v>6.0033324079214537E-2</v>
      </c>
      <c r="I58">
        <v>250.89999999999998</v>
      </c>
      <c r="J58" s="1">
        <v>1.5345</v>
      </c>
    </row>
    <row r="59" spans="1:10" x14ac:dyDescent="0.35">
      <c r="A59">
        <v>3</v>
      </c>
      <c r="B59">
        <v>29.26</v>
      </c>
      <c r="C59">
        <v>29.257999999999999</v>
      </c>
      <c r="D59">
        <f t="shared" ref="D59:D61" si="11">B59-C59</f>
        <v>2.0000000000024443E-3</v>
      </c>
      <c r="I59">
        <v>259.5</v>
      </c>
      <c r="J59" s="1">
        <v>1.5314999999999999</v>
      </c>
    </row>
    <row r="60" spans="1:10" x14ac:dyDescent="0.35">
      <c r="A60">
        <v>4</v>
      </c>
      <c r="B60">
        <v>29.26</v>
      </c>
      <c r="C60">
        <v>29.257999999999999</v>
      </c>
      <c r="D60">
        <f t="shared" si="11"/>
        <v>2.0000000000024443E-3</v>
      </c>
    </row>
    <row r="61" spans="1:10" x14ac:dyDescent="0.35">
      <c r="A61">
        <v>5</v>
      </c>
      <c r="B61">
        <v>29.26</v>
      </c>
      <c r="C61">
        <v>29.257999999999999</v>
      </c>
      <c r="D61">
        <f t="shared" si="11"/>
        <v>2.0000000000024443E-3</v>
      </c>
    </row>
    <row r="62" spans="1:10" x14ac:dyDescent="0.35">
      <c r="A62" t="s">
        <v>35</v>
      </c>
      <c r="B62">
        <v>29.257999999999999</v>
      </c>
    </row>
    <row r="63" spans="1:10" x14ac:dyDescent="0.35">
      <c r="A63" t="s">
        <v>36</v>
      </c>
      <c r="B63">
        <v>0.06</v>
      </c>
    </row>
    <row r="64" spans="1:10" x14ac:dyDescent="0.35">
      <c r="A64" t="s">
        <v>37</v>
      </c>
      <c r="B64">
        <v>2E-3</v>
      </c>
    </row>
    <row r="65" spans="1:10" x14ac:dyDescent="0.35">
      <c r="A65" t="s">
        <v>38</v>
      </c>
      <c r="B65">
        <v>0.06</v>
      </c>
    </row>
    <row r="68" spans="1:10" x14ac:dyDescent="0.35">
      <c r="A68" t="s">
        <v>14</v>
      </c>
      <c r="B68" t="s">
        <v>4</v>
      </c>
      <c r="I68" t="s">
        <v>12</v>
      </c>
      <c r="J68" s="1" t="s">
        <v>6</v>
      </c>
    </row>
    <row r="69" spans="1:10" x14ac:dyDescent="0.35">
      <c r="A69">
        <f>B65/B62</f>
        <v>2.0507211702782144E-3</v>
      </c>
      <c r="B69">
        <f>B65/(B62/20*A69)</f>
        <v>20</v>
      </c>
      <c r="I69">
        <v>585.73296460176982</v>
      </c>
      <c r="J69" s="1">
        <v>1.5880000000000001</v>
      </c>
    </row>
    <row r="70" spans="1:10" x14ac:dyDescent="0.35">
      <c r="I70">
        <v>563.77967762326182</v>
      </c>
      <c r="J70" s="1">
        <v>1.5720000000000001</v>
      </c>
    </row>
    <row r="71" spans="1:10" x14ac:dyDescent="0.35">
      <c r="I71">
        <v>539.79367888748413</v>
      </c>
      <c r="J71" s="1">
        <v>1.5525</v>
      </c>
    </row>
    <row r="72" spans="1:10" x14ac:dyDescent="0.35">
      <c r="I72">
        <v>524.34506953223763</v>
      </c>
      <c r="J72" s="1">
        <v>1.542</v>
      </c>
    </row>
    <row r="73" spans="1:10" x14ac:dyDescent="0.35">
      <c r="I73">
        <v>481.25158027812898</v>
      </c>
      <c r="J73" s="1">
        <v>1.5165</v>
      </c>
    </row>
    <row r="74" spans="1:10" x14ac:dyDescent="0.35">
      <c r="I74">
        <v>440.19080278128951</v>
      </c>
      <c r="J74" s="1">
        <v>1.496</v>
      </c>
    </row>
    <row r="75" spans="1:10" x14ac:dyDescent="0.35">
      <c r="I75">
        <v>410.91975347661196</v>
      </c>
      <c r="J75" s="1">
        <v>1.4824999999999999</v>
      </c>
    </row>
    <row r="76" spans="1:10" x14ac:dyDescent="0.35">
      <c r="I76">
        <v>364.57392541087233</v>
      </c>
      <c r="J76" s="1">
        <v>1.4630000000000001</v>
      </c>
    </row>
    <row r="101" spans="2:9" x14ac:dyDescent="0.35">
      <c r="H101" t="s">
        <v>42</v>
      </c>
      <c r="I101" t="s">
        <v>43</v>
      </c>
    </row>
    <row r="102" spans="2:9" x14ac:dyDescent="0.35">
      <c r="H102">
        <f>D6*G6*G6/1000</f>
        <v>1.2215323637999997</v>
      </c>
      <c r="I102">
        <f>B6*B6/1000000-0.05</f>
        <v>1.7340250000000001E-2</v>
      </c>
    </row>
    <row r="103" spans="2:9" x14ac:dyDescent="0.35">
      <c r="H103">
        <f>D3*G3*G3/1000</f>
        <v>1.2318315468750003</v>
      </c>
      <c r="I103">
        <f>B3*B3/1000000-0.05</f>
        <v>1.0614439999999961E-2</v>
      </c>
    </row>
    <row r="104" spans="2:9" x14ac:dyDescent="0.35">
      <c r="B104" t="s">
        <v>32</v>
      </c>
      <c r="H104">
        <f>D4*G4*G4/1000</f>
        <v>1.2333867529499998</v>
      </c>
      <c r="I104">
        <f>B4*B4/1000000-0.035</f>
        <v>2.7950809999999993E-2</v>
      </c>
    </row>
    <row r="105" spans="2:9" x14ac:dyDescent="0.35">
      <c r="B105">
        <f>(4*PI()*PI()*(C2*C2/12+H103))/((1+L2/M2)*I103)</f>
        <v>150676104.85365859</v>
      </c>
      <c r="H105">
        <f>D8*G8*G8/1000</f>
        <v>1.2351292799999998</v>
      </c>
      <c r="I105">
        <f>B8*B8/1000000-0.025</f>
        <v>3.3418889999999972E-2</v>
      </c>
    </row>
    <row r="106" spans="2:9" x14ac:dyDescent="0.35">
      <c r="H106">
        <f>D2*G2*G2/1000</f>
        <v>1.2353734792000002</v>
      </c>
      <c r="I106">
        <f>B2*B2/1000000-0.02</f>
        <v>3.2486810000000019E-2</v>
      </c>
    </row>
    <row r="107" spans="2:9" x14ac:dyDescent="0.35">
      <c r="H107">
        <f>D5*G5*G5/1000</f>
        <v>1.2451866427</v>
      </c>
      <c r="I107">
        <f>B5*B5/1000000+0.01</f>
        <v>6.3499689999999984E-2</v>
      </c>
    </row>
    <row r="108" spans="2:9" x14ac:dyDescent="0.35">
      <c r="H108">
        <f>D9*G9*G9/1000</f>
        <v>1.2466519786500001</v>
      </c>
      <c r="I108">
        <f>B9*B9/1000000+0.01</f>
        <v>6.5366089999999974E-2</v>
      </c>
    </row>
    <row r="109" spans="2:9" x14ac:dyDescent="0.35">
      <c r="H109">
        <f>D7*G7*G7/1000</f>
        <v>1.2487474790999999</v>
      </c>
      <c r="I109">
        <f>B7*B7/1000000+0.03</f>
        <v>8.0940489999999976E-2</v>
      </c>
    </row>
    <row r="116" spans="4:9" x14ac:dyDescent="0.35">
      <c r="H116" t="s">
        <v>44</v>
      </c>
      <c r="I116" t="s">
        <v>45</v>
      </c>
    </row>
    <row r="117" spans="4:9" x14ac:dyDescent="0.35">
      <c r="D117" t="s">
        <v>50</v>
      </c>
      <c r="E117">
        <f>SUM(I102:I109)/8</f>
        <v>4.1452183749999982E-2</v>
      </c>
      <c r="H117">
        <f>G13*G13*D13/1000</f>
        <v>1.0389585280000002</v>
      </c>
      <c r="I117">
        <f>B13*B13/1000000-0.025</f>
        <v>0.3180831058211781</v>
      </c>
    </row>
    <row r="118" spans="4:9" x14ac:dyDescent="0.35">
      <c r="D118" t="s">
        <v>51</v>
      </c>
      <c r="E118">
        <f>SUM(H102:H109)/8</f>
        <v>1.237229940409375</v>
      </c>
      <c r="H118">
        <f t="shared" ref="H118:H124" si="12">G14*G14*D14/1000</f>
        <v>1.0314722016</v>
      </c>
      <c r="I118">
        <f>B14*B14/1000000</f>
        <v>0.317847524900989</v>
      </c>
    </row>
    <row r="119" spans="4:9" x14ac:dyDescent="0.35">
      <c r="H119">
        <f t="shared" si="12"/>
        <v>1.0202614706249999</v>
      </c>
      <c r="I119">
        <f t="shared" ref="I118:I124" si="13">B15*B15/1000000</f>
        <v>0.2913772157668843</v>
      </c>
    </row>
    <row r="120" spans="4:9" x14ac:dyDescent="0.35">
      <c r="H120">
        <f t="shared" si="12"/>
        <v>1.0155430044</v>
      </c>
      <c r="I120">
        <f t="shared" si="13"/>
        <v>0.27493775194276709</v>
      </c>
    </row>
    <row r="121" spans="4:9" x14ac:dyDescent="0.35">
      <c r="D121" t="s">
        <v>52</v>
      </c>
      <c r="E121">
        <f>SUM(I117:I124)/8</f>
        <v>0.25367322696150291</v>
      </c>
      <c r="H121">
        <f t="shared" si="12"/>
        <v>1.0066103138249998</v>
      </c>
      <c r="I121">
        <f t="shared" si="13"/>
        <v>0.23160308352019643</v>
      </c>
    </row>
    <row r="122" spans="4:9" x14ac:dyDescent="0.35">
      <c r="D122" t="s">
        <v>53</v>
      </c>
      <c r="E122">
        <f>SUM(H117:H124)/8</f>
        <v>1.014162378575</v>
      </c>
      <c r="H122">
        <f t="shared" si="12"/>
        <v>1.0021835647999999</v>
      </c>
      <c r="I122">
        <f t="shared" si="13"/>
        <v>0.19376794285323609</v>
      </c>
    </row>
    <row r="123" spans="4:9" x14ac:dyDescent="0.35">
      <c r="H123">
        <f t="shared" si="12"/>
        <v>1.00000184375</v>
      </c>
      <c r="I123">
        <f>B19*B19/1000000+0.03</f>
        <v>0.19885504379727953</v>
      </c>
    </row>
    <row r="124" spans="4:9" x14ac:dyDescent="0.35">
      <c r="H124">
        <f t="shared" si="12"/>
        <v>0.99826810160000001</v>
      </c>
      <c r="I124">
        <f>B20*B20/1000000+0.07</f>
        <v>0.20291414708949229</v>
      </c>
    </row>
    <row r="133" spans="3:7" x14ac:dyDescent="0.35">
      <c r="D133" t="s">
        <v>46</v>
      </c>
      <c r="E133" t="s">
        <v>55</v>
      </c>
      <c r="F133" t="s">
        <v>47</v>
      </c>
      <c r="G133" t="s">
        <v>48</v>
      </c>
    </row>
    <row r="134" spans="3:7" x14ac:dyDescent="0.35">
      <c r="C134" s="1" t="s">
        <v>49</v>
      </c>
      <c r="D134">
        <v>3.496</v>
      </c>
      <c r="E134">
        <v>-1.6092</v>
      </c>
      <c r="F134">
        <f>SQRT(ABS(E117*E117/E118/E118-D134*D134)/19)</f>
        <v>0.80200057357442034</v>
      </c>
      <c r="G134">
        <f>F134*SQRT(E118*E118)/10</f>
        <v>9.9225912185176457E-2</v>
      </c>
    </row>
    <row r="137" spans="3:7" x14ac:dyDescent="0.35">
      <c r="D137" t="s">
        <v>46</v>
      </c>
      <c r="E137" t="s">
        <v>55</v>
      </c>
      <c r="F137" t="s">
        <v>47</v>
      </c>
      <c r="G137" t="s">
        <v>48</v>
      </c>
    </row>
    <row r="138" spans="3:7" x14ac:dyDescent="0.35">
      <c r="C138" s="1" t="s">
        <v>54</v>
      </c>
      <c r="D138">
        <v>3.3813</v>
      </c>
      <c r="E138">
        <v>-4.5461</v>
      </c>
      <c r="F138">
        <f>SQRT(ABS(E122*E122/E121/E121-D138*D138)/7)</f>
        <v>0.80623317930291094</v>
      </c>
      <c r="G138">
        <f>F138*SQRT(E121*E121)</f>
        <v>0.20451977227720139</v>
      </c>
    </row>
    <row r="145" spans="4:8" x14ac:dyDescent="0.35">
      <c r="D145" t="s">
        <v>56</v>
      </c>
    </row>
    <row r="146" spans="4:8" x14ac:dyDescent="0.35">
      <c r="D146">
        <f>(4*PI()*PI())/D134/(1+L$13/M$13)</f>
        <v>10.380814087572867</v>
      </c>
    </row>
    <row r="148" spans="4:8" x14ac:dyDescent="0.35">
      <c r="G148" t="s">
        <v>32</v>
      </c>
      <c r="H148" t="s">
        <v>58</v>
      </c>
    </row>
    <row r="149" spans="4:8" x14ac:dyDescent="0.35">
      <c r="D149" t="s">
        <v>57</v>
      </c>
      <c r="F149" t="s">
        <v>49</v>
      </c>
      <c r="G149">
        <f>D146</f>
        <v>10.380814087572867</v>
      </c>
      <c r="H149">
        <f>-G149*G134/E134</f>
        <v>0.64009802825263984</v>
      </c>
    </row>
    <row r="150" spans="4:8" x14ac:dyDescent="0.35">
      <c r="D150">
        <f>(4*PI()*PI()*O13)/D138/(L13+O13)</f>
        <v>9.359343368675475</v>
      </c>
    </row>
    <row r="151" spans="4:8" x14ac:dyDescent="0.35">
      <c r="F151" t="s">
        <v>54</v>
      </c>
      <c r="G151">
        <f>D150</f>
        <v>9.359343368675475</v>
      </c>
      <c r="H151">
        <f>-G151*G138/E138*1.3</f>
        <v>0.54737511421951479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</cp:lastModifiedBy>
  <cp:revision>3</cp:revision>
  <dcterms:created xsi:type="dcterms:W3CDTF">2023-09-29T10:40:07Z</dcterms:created>
  <dcterms:modified xsi:type="dcterms:W3CDTF">2023-10-06T06:19:56Z</dcterms:modified>
  <dc:language>en-US</dc:language>
</cp:coreProperties>
</file>