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Master_Thesis\Mikhail_Bandurist_Transistors\15012024_Barcelona_Samples\"/>
    </mc:Choice>
  </mc:AlternateContent>
  <xr:revisionPtr revIDLastSave="0" documentId="13_ncr:1_{68556C4C-4832-4CE9-BAB5-0D3CCD9DC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3" i="1" l="1"/>
  <c r="Z32" i="1"/>
  <c r="Z31" i="1"/>
  <c r="Z30" i="1"/>
  <c r="Z26" i="1"/>
  <c r="Z15" i="1"/>
  <c r="Z12" i="1"/>
  <c r="AD33" i="1"/>
  <c r="AD32" i="1"/>
  <c r="AD25" i="1"/>
  <c r="AD24" i="1"/>
  <c r="AD17" i="1"/>
  <c r="AD16" i="1"/>
  <c r="AD9" i="1"/>
  <c r="AD8" i="1"/>
  <c r="X33" i="1"/>
  <c r="X32" i="1"/>
  <c r="X24" i="1"/>
  <c r="X23" i="1"/>
  <c r="X17" i="1"/>
  <c r="X16" i="1"/>
  <c r="X9" i="1"/>
  <c r="X8" i="1"/>
  <c r="P33" i="1"/>
  <c r="P32" i="1"/>
  <c r="P24" i="1"/>
  <c r="P23" i="1"/>
  <c r="P17" i="1"/>
  <c r="P16" i="1"/>
  <c r="P9" i="1"/>
  <c r="P8" i="1"/>
  <c r="T33" i="1"/>
  <c r="R33" i="1"/>
  <c r="Q33" i="1"/>
  <c r="T32" i="1"/>
  <c r="R32" i="1"/>
  <c r="R36" i="1" s="1"/>
  <c r="Q32" i="1"/>
  <c r="T31" i="1"/>
  <c r="S31" i="1"/>
  <c r="R31" i="1"/>
  <c r="Q31" i="1"/>
  <c r="T30" i="1"/>
  <c r="R30" i="1"/>
  <c r="Q30" i="1"/>
  <c r="T29" i="1"/>
  <c r="R29" i="1"/>
  <c r="Q29" i="1"/>
  <c r="T28" i="1"/>
  <c r="R28" i="1"/>
  <c r="Q28" i="1"/>
  <c r="T27" i="1"/>
  <c r="R27" i="1"/>
  <c r="Q27" i="1"/>
  <c r="R26" i="1"/>
  <c r="Q26" i="1"/>
  <c r="T24" i="1"/>
  <c r="R24" i="1"/>
  <c r="Q24" i="1"/>
  <c r="T23" i="1"/>
  <c r="R23" i="1"/>
  <c r="Q23" i="1"/>
  <c r="T22" i="1"/>
  <c r="R22" i="1"/>
  <c r="Q22" i="1"/>
  <c r="T21" i="1"/>
  <c r="R21" i="1"/>
  <c r="Q21" i="1"/>
  <c r="T20" i="1"/>
  <c r="R20" i="1"/>
  <c r="Q20" i="1"/>
  <c r="T19" i="1"/>
  <c r="R19" i="1"/>
  <c r="Q19" i="1"/>
  <c r="T18" i="1"/>
  <c r="R18" i="1"/>
  <c r="Q18" i="1"/>
  <c r="T17" i="1"/>
  <c r="R17" i="1"/>
  <c r="Q17" i="1"/>
  <c r="T16" i="1"/>
  <c r="R16" i="1"/>
  <c r="Q16" i="1"/>
  <c r="T15" i="1"/>
  <c r="S15" i="1"/>
  <c r="R15" i="1"/>
  <c r="Q15" i="1"/>
  <c r="T14" i="1"/>
  <c r="R14" i="1"/>
  <c r="Q14" i="1"/>
  <c r="T13" i="1"/>
  <c r="S13" i="1"/>
  <c r="R13" i="1"/>
  <c r="Q13" i="1"/>
  <c r="T12" i="1"/>
  <c r="S12" i="1"/>
  <c r="R12" i="1"/>
  <c r="Q12" i="1"/>
  <c r="R11" i="1"/>
  <c r="Q11" i="1"/>
  <c r="T10" i="1"/>
  <c r="R10" i="1"/>
  <c r="Q10" i="1"/>
  <c r="T9" i="1"/>
  <c r="R9" i="1"/>
  <c r="Q9" i="1"/>
  <c r="R8" i="1"/>
  <c r="Q8" i="1"/>
  <c r="T7" i="1"/>
  <c r="R7" i="1"/>
  <c r="Q7" i="1"/>
  <c r="T6" i="1"/>
  <c r="R6" i="1"/>
  <c r="Q6" i="1"/>
  <c r="R4" i="1"/>
  <c r="Q4" i="1"/>
  <c r="R3" i="1"/>
  <c r="Q3" i="1"/>
  <c r="R2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<sst xmlns="http://schemas.openxmlformats.org/spreadsheetml/2006/main" count="235" uniqueCount="136">
  <si>
    <t>TMTES_PS</t>
  </si>
  <si>
    <t>17_3</t>
  </si>
  <si>
    <t>sample</t>
  </si>
  <si>
    <t>device</t>
  </si>
  <si>
    <t xml:space="preserve">W_channel (um) </t>
  </si>
  <si>
    <t>L_channel (um)</t>
  </si>
  <si>
    <t>Encapsulation</t>
  </si>
  <si>
    <t>SS (V/dec)</t>
  </si>
  <si>
    <t>Vth (V)</t>
  </si>
  <si>
    <t>mu (cm^2/(V*s))</t>
  </si>
  <si>
    <t>Sensitivity/Volume (C/(Gy*m^3))</t>
  </si>
  <si>
    <t>Measurements</t>
  </si>
  <si>
    <t>Note</t>
  </si>
  <si>
    <t>Comments (more detailed)</t>
  </si>
  <si>
    <t>00</t>
  </si>
  <si>
    <t>01</t>
  </si>
  <si>
    <t>10</t>
  </si>
  <si>
    <t>11</t>
  </si>
  <si>
    <t>9_1</t>
  </si>
  <si>
    <t>19_1</t>
  </si>
  <si>
    <t>39_1</t>
  </si>
  <si>
    <t>Pixel area (cm^2)</t>
  </si>
  <si>
    <t>thick_SiO2 (nm)</t>
  </si>
  <si>
    <t>Ci (nF/cm^2)</t>
  </si>
  <si>
    <t>No</t>
  </si>
  <si>
    <t>slope_err (dec/V)</t>
  </si>
  <si>
    <t>SS_err (V/dec)</t>
  </si>
  <si>
    <t>Slope_err (A^1/2/V)</t>
  </si>
  <si>
    <t>Intercept (A^1/2)</t>
  </si>
  <si>
    <t>Intercept_err (A^1/2)</t>
  </si>
  <si>
    <t>Vth_err (V)</t>
  </si>
  <si>
    <t>mu_err (cm^2/(V*s))</t>
  </si>
  <si>
    <t>|Slope| (dec/V)</t>
  </si>
  <si>
    <t>slope (A^1/2/V)</t>
  </si>
  <si>
    <t>No data</t>
  </si>
  <si>
    <t>ON/OFF (#*10^3)</t>
  </si>
  <si>
    <t>SS_avg (for ratio)</t>
  </si>
  <si>
    <t>Vth_avg (for ratio)</t>
  </si>
  <si>
    <t>mu_avg (for ratio)</t>
  </si>
  <si>
    <t>ElChar</t>
  </si>
  <si>
    <t>SS ± SS_err (V/dec)</t>
  </si>
  <si>
    <t>0.971±0.016</t>
  </si>
  <si>
    <t>0.70±0.03</t>
  </si>
  <si>
    <t>1.14±0.02</t>
  </si>
  <si>
    <t>No data±No data</t>
  </si>
  <si>
    <t>0.526±0.006</t>
  </si>
  <si>
    <t>0.709±0.010</t>
  </si>
  <si>
    <t>0.62±0.02</t>
  </si>
  <si>
    <t>0.63±0.03</t>
  </si>
  <si>
    <t>0.961±0.013</t>
  </si>
  <si>
    <t>0.71±0.02</t>
  </si>
  <si>
    <t>1.214±0.009</t>
  </si>
  <si>
    <t>0.985±0.015</t>
  </si>
  <si>
    <t>0.638±0.002</t>
  </si>
  <si>
    <t>1.379±0.017</t>
  </si>
  <si>
    <t>0.582±0.005</t>
  </si>
  <si>
    <t>0.571±0.007</t>
  </si>
  <si>
    <t>2.05±0.06</t>
  </si>
  <si>
    <t>2.03±0.05</t>
  </si>
  <si>
    <t>2.441±0.006</t>
  </si>
  <si>
    <t>2.49±0.080</t>
  </si>
  <si>
    <t>1.32±0.05</t>
  </si>
  <si>
    <t>1.56±0.05</t>
  </si>
  <si>
    <t>2.00±0.07</t>
  </si>
  <si>
    <t>3.19±0.02</t>
  </si>
  <si>
    <t>3.39±0.04</t>
  </si>
  <si>
    <t>2.525±0.019</t>
  </si>
  <si>
    <t>3.05±0.05</t>
  </si>
  <si>
    <t>3.22±0.03</t>
  </si>
  <si>
    <t>3.76±0.06</t>
  </si>
  <si>
    <t>4.76±0.05</t>
  </si>
  <si>
    <t>3.69±0.04</t>
  </si>
  <si>
    <t>Vth + Vth_err (V)</t>
  </si>
  <si>
    <t>1.20±0.04</t>
  </si>
  <si>
    <t>1.18±0.04</t>
  </si>
  <si>
    <t>1.77±0.03</t>
  </si>
  <si>
    <t>1.41±0.04</t>
  </si>
  <si>
    <t>1.51±0.04</t>
  </si>
  <si>
    <t>1.73±0.04</t>
  </si>
  <si>
    <t>1.91±0.10</t>
  </si>
  <si>
    <t>2.49±0.04</t>
  </si>
  <si>
    <t>1.87±0.03</t>
  </si>
  <si>
    <t>2.72±0.05</t>
  </si>
  <si>
    <t>7.63±0.8</t>
  </si>
  <si>
    <t>1.76±0.03</t>
  </si>
  <si>
    <t>1.66±0.04</t>
  </si>
  <si>
    <t>1.69±0.04</t>
  </si>
  <si>
    <t>1.91±0.04</t>
  </si>
  <si>
    <t>5.83±0.11</t>
  </si>
  <si>
    <t>5.27±0.12</t>
  </si>
  <si>
    <t>5.88±0.09</t>
  </si>
  <si>
    <t>6.01±0.12</t>
  </si>
  <si>
    <t>5.62±0.11</t>
  </si>
  <si>
    <t>5.50±0.11</t>
  </si>
  <si>
    <t>6.16±0.12</t>
  </si>
  <si>
    <t>8.43±0.14</t>
  </si>
  <si>
    <t>8.95±0.15</t>
  </si>
  <si>
    <t>8.57±0.09</t>
  </si>
  <si>
    <t>8.55±0.13</t>
  </si>
  <si>
    <t>11.82±0.11</t>
  </si>
  <si>
    <t>14.12±0.17</t>
  </si>
  <si>
    <t>16.40±0.09</t>
  </si>
  <si>
    <t>12.82±0.10</t>
  </si>
  <si>
    <t>mu ± mu_err (cm^2/(V*s))</t>
  </si>
  <si>
    <t>mu_new (cm^2/V*s))</t>
  </si>
  <si>
    <t>mu_new_err (cm^2/(V*s))</t>
  </si>
  <si>
    <t>0.98±0.02</t>
  </si>
  <si>
    <t>0.955±0.05</t>
  </si>
  <si>
    <t>0.092±0.016</t>
  </si>
  <si>
    <t>0.798±0.02</t>
  </si>
  <si>
    <t>0.762±0.02</t>
  </si>
  <si>
    <t>0.755±0.06</t>
  </si>
  <si>
    <t>0.80±0.08</t>
  </si>
  <si>
    <t>0.547±0.014</t>
  </si>
  <si>
    <t>0.519±0.04</t>
  </si>
  <si>
    <t>0.0549±0.006</t>
  </si>
  <si>
    <t>0.020±0.015</t>
  </si>
  <si>
    <t>0.650±0.005</t>
  </si>
  <si>
    <t>0.0185±0.009</t>
  </si>
  <si>
    <t>0.727±0.014</t>
  </si>
  <si>
    <t>0.707±0.02</t>
  </si>
  <si>
    <t>0.331±0.014</t>
  </si>
  <si>
    <t>0.388±0.013</t>
  </si>
  <si>
    <t>0.376±0.001</t>
  </si>
  <si>
    <t>0.340±0.012</t>
  </si>
  <si>
    <t>0.456±0.03</t>
  </si>
  <si>
    <t>0.471±0.02</t>
  </si>
  <si>
    <t>0.412±0.017</t>
  </si>
  <si>
    <t>0.315±0.002</t>
  </si>
  <si>
    <t>0.305±0.003</t>
  </si>
  <si>
    <t>0.279±0.003</t>
  </si>
  <si>
    <t>0.286±0.005</t>
  </si>
  <si>
    <t>0.230±0.003</t>
  </si>
  <si>
    <t>0.000180±0.004</t>
  </si>
  <si>
    <t>0.1609±0.002</t>
  </si>
  <si>
    <t>0.195±0.003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</si>
</sst>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00000"/>
    <numFmt numFmtId="169" formatCode="0.0000"/>
    <numFmt numFmtId="170" formatCode="0.000"/>
    <numFmt numFmtId="174" formatCode="0.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/>
    <xf numFmtId="2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/>
    <xf numFmtId="167" fontId="0" fillId="0" borderId="0" xfId="0" applyNumberFormat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7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tabSelected="1" topLeftCell="AB1" zoomScale="85" zoomScaleNormal="85" workbookViewId="0">
      <pane ySplit="1" topLeftCell="A2" activePane="bottomLeft" state="frozen"/>
      <selection activeCell="D1" sqref="D1"/>
      <selection pane="bottomLeft" activeCell="AC2" sqref="AC2"/>
    </sheetView>
  </sheetViews>
  <sheetFormatPr defaultRowHeight="14.4" x14ac:dyDescent="0.3"/>
  <cols>
    <col min="1" max="1" width="18" style="8" customWidth="1"/>
    <col min="2" max="2" width="8.88671875" style="8"/>
    <col min="3" max="3" width="8.88671875" style="9"/>
    <col min="4" max="4" width="18.5546875" style="8" customWidth="1"/>
    <col min="5" max="5" width="19" style="8" customWidth="1"/>
    <col min="6" max="6" width="20.5546875" style="8" customWidth="1"/>
    <col min="7" max="7" width="21" style="8" customWidth="1"/>
    <col min="8" max="8" width="18.33203125" style="8" customWidth="1"/>
    <col min="9" max="9" width="26.33203125" style="8" customWidth="1"/>
    <col min="10" max="10" width="24.21875" style="15" customWidth="1"/>
    <col min="11" max="12" width="24.21875" style="8" customWidth="1"/>
    <col min="13" max="15" width="18.33203125" style="8" customWidth="1"/>
    <col min="16" max="16" width="28.6640625" style="8" customWidth="1"/>
    <col min="17" max="17" width="19.109375" style="8" customWidth="1"/>
    <col min="18" max="18" width="19.6640625" style="8" customWidth="1"/>
    <col min="19" max="19" width="18.77734375" style="8" customWidth="1"/>
    <col min="20" max="20" width="17.88671875" style="8" customWidth="1"/>
    <col min="21" max="22" width="14.33203125" style="8" customWidth="1"/>
    <col min="23" max="23" width="21.6640625" style="8" customWidth="1"/>
    <col min="24" max="24" width="22.21875" style="8" customWidth="1"/>
    <col min="25" max="29" width="27.33203125" style="8" customWidth="1"/>
    <col min="30" max="30" width="32.77734375" style="8" customWidth="1"/>
    <col min="31" max="31" width="40.77734375" style="8" customWidth="1"/>
    <col min="32" max="32" width="18.77734375" style="8" customWidth="1"/>
    <col min="33" max="33" width="20.109375" style="8" customWidth="1"/>
    <col min="34" max="34" width="29.77734375" style="8" customWidth="1"/>
  </cols>
  <sheetData>
    <row r="1" spans="1:34" ht="18" x14ac:dyDescent="0.3">
      <c r="A1" s="3" t="s">
        <v>0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22</v>
      </c>
      <c r="G1" s="2" t="s">
        <v>23</v>
      </c>
      <c r="H1" s="2" t="s">
        <v>6</v>
      </c>
      <c r="I1" s="2" t="s">
        <v>21</v>
      </c>
      <c r="J1" s="1" t="s">
        <v>35</v>
      </c>
      <c r="K1" s="13" t="s">
        <v>32</v>
      </c>
      <c r="L1" s="13" t="s">
        <v>25</v>
      </c>
      <c r="M1" s="2" t="s">
        <v>7</v>
      </c>
      <c r="N1" s="2" t="s">
        <v>26</v>
      </c>
      <c r="O1" s="2" t="s">
        <v>40</v>
      </c>
      <c r="P1" s="2" t="s">
        <v>36</v>
      </c>
      <c r="Q1" s="14" t="s">
        <v>33</v>
      </c>
      <c r="R1" s="14" t="s">
        <v>27</v>
      </c>
      <c r="S1" s="14" t="s">
        <v>28</v>
      </c>
      <c r="T1" s="14" t="s">
        <v>29</v>
      </c>
      <c r="U1" s="2" t="s">
        <v>8</v>
      </c>
      <c r="V1" s="2" t="s">
        <v>30</v>
      </c>
      <c r="W1" s="2" t="s">
        <v>72</v>
      </c>
      <c r="X1" s="2" t="s">
        <v>37</v>
      </c>
      <c r="Y1" s="5" t="s">
        <v>9</v>
      </c>
      <c r="Z1" s="2" t="s">
        <v>31</v>
      </c>
      <c r="AA1" s="2" t="s">
        <v>104</v>
      </c>
      <c r="AB1" s="2" t="s">
        <v>105</v>
      </c>
      <c r="AC1" s="2" t="s">
        <v>103</v>
      </c>
      <c r="AD1" s="2" t="s">
        <v>38</v>
      </c>
      <c r="AE1" s="2" t="s">
        <v>10</v>
      </c>
      <c r="AF1" s="2" t="s">
        <v>11</v>
      </c>
      <c r="AG1" s="6" t="s">
        <v>12</v>
      </c>
      <c r="AH1" s="7" t="s">
        <v>13</v>
      </c>
    </row>
    <row r="2" spans="1:34" x14ac:dyDescent="0.3">
      <c r="A2" s="8" t="s">
        <v>1</v>
      </c>
      <c r="B2" s="8">
        <v>5</v>
      </c>
      <c r="C2" s="9" t="s">
        <v>14</v>
      </c>
      <c r="D2" s="8">
        <v>2500</v>
      </c>
      <c r="E2" s="8">
        <v>25</v>
      </c>
      <c r="F2" s="8">
        <v>200</v>
      </c>
      <c r="G2" s="8">
        <v>17.3</v>
      </c>
      <c r="H2" s="8" t="s">
        <v>24</v>
      </c>
      <c r="I2" s="8">
        <f>4.25/1000</f>
        <v>4.2500000000000003E-3</v>
      </c>
      <c r="J2" s="15">
        <v>190.25452109845949</v>
      </c>
      <c r="K2" s="15">
        <v>1.0296400000000001</v>
      </c>
      <c r="L2" s="15">
        <v>1.6969999999999999E-2</v>
      </c>
      <c r="M2" s="27">
        <v>0.97121323957888195</v>
      </c>
      <c r="N2" s="27">
        <v>1.600704000976421E-2</v>
      </c>
      <c r="O2" s="24" t="s">
        <v>41</v>
      </c>
      <c r="Q2" s="8">
        <f>-9.22/10000</f>
        <v>-9.2200000000000008E-4</v>
      </c>
      <c r="R2" s="8">
        <f>0.11/10000</f>
        <v>1.1E-5</v>
      </c>
      <c r="S2" s="8">
        <v>1.1100000000000001E-3</v>
      </c>
      <c r="T2" s="8">
        <v>3.0000000000000001E-5</v>
      </c>
      <c r="U2" s="15">
        <v>1.2039045553145336</v>
      </c>
      <c r="V2" s="8">
        <v>0.04</v>
      </c>
      <c r="W2" s="8" t="s">
        <v>73</v>
      </c>
      <c r="Y2" s="21">
        <v>0.98275606936416193</v>
      </c>
      <c r="Z2" s="21">
        <v>2.4000000000000001E-5</v>
      </c>
      <c r="AA2" s="15">
        <v>0.98</v>
      </c>
      <c r="AB2" s="15">
        <v>0.02</v>
      </c>
      <c r="AC2" s="30" t="s">
        <v>106</v>
      </c>
      <c r="AF2" s="8" t="s">
        <v>39</v>
      </c>
    </row>
    <row r="3" spans="1:34" x14ac:dyDescent="0.3">
      <c r="C3" s="9" t="s">
        <v>15</v>
      </c>
      <c r="D3" s="8">
        <v>2500</v>
      </c>
      <c r="E3" s="8">
        <v>25</v>
      </c>
      <c r="F3" s="8">
        <v>200</v>
      </c>
      <c r="G3" s="8">
        <v>17.3</v>
      </c>
      <c r="H3" s="8" t="s">
        <v>24</v>
      </c>
      <c r="I3" s="8">
        <f t="shared" ref="I3:I33" si="0">4.25/1000</f>
        <v>4.2500000000000003E-3</v>
      </c>
      <c r="J3" s="15">
        <v>28.229437522353148</v>
      </c>
      <c r="K3" s="8">
        <v>1.43</v>
      </c>
      <c r="L3" s="8">
        <v>0.05</v>
      </c>
      <c r="M3" s="15">
        <v>0.69930069930069938</v>
      </c>
      <c r="N3" s="15">
        <v>2.5000000000000001E-2</v>
      </c>
      <c r="O3" s="24" t="s">
        <v>42</v>
      </c>
      <c r="Q3" s="8">
        <f>-9.09/10000</f>
        <v>-9.0899999999999998E-4</v>
      </c>
      <c r="R3" s="8">
        <f>0.09/10000</f>
        <v>9.0000000000000002E-6</v>
      </c>
      <c r="S3" s="8">
        <v>1.07E-3</v>
      </c>
      <c r="T3" s="8">
        <v>3.0000000000000001E-5</v>
      </c>
      <c r="U3" s="15">
        <v>1.1771177117711771</v>
      </c>
      <c r="V3" s="8">
        <v>0.04</v>
      </c>
      <c r="W3" s="8" t="s">
        <v>74</v>
      </c>
      <c r="Y3" s="21">
        <v>0.95523815028901726</v>
      </c>
      <c r="Z3" s="21">
        <v>1.9000000000000001E-5</v>
      </c>
      <c r="AA3" s="27">
        <v>0.95499999999999996</v>
      </c>
      <c r="AB3" s="27">
        <v>1.9E-2</v>
      </c>
      <c r="AC3" s="30" t="s">
        <v>107</v>
      </c>
      <c r="AF3" s="8" t="s">
        <v>39</v>
      </c>
    </row>
    <row r="4" spans="1:34" x14ac:dyDescent="0.3">
      <c r="C4" s="9" t="s">
        <v>16</v>
      </c>
      <c r="D4" s="8">
        <v>2500</v>
      </c>
      <c r="E4" s="8">
        <v>25</v>
      </c>
      <c r="F4" s="8">
        <v>200</v>
      </c>
      <c r="G4" s="8">
        <v>17.3</v>
      </c>
      <c r="H4" s="8" t="s">
        <v>24</v>
      </c>
      <c r="I4" s="8">
        <f t="shared" si="0"/>
        <v>4.2500000000000003E-3</v>
      </c>
      <c r="J4" s="15">
        <v>2.2716020957697123</v>
      </c>
      <c r="K4" s="8">
        <v>0.875</v>
      </c>
      <c r="L4" s="8">
        <v>1.6E-2</v>
      </c>
      <c r="M4" s="15">
        <v>1.1428571428571428</v>
      </c>
      <c r="N4" s="15">
        <v>2.0897959183673469E-2</v>
      </c>
      <c r="O4" s="24" t="s">
        <v>43</v>
      </c>
      <c r="Q4" s="8">
        <f>-9.72/10000</f>
        <v>-9.720000000000001E-4</v>
      </c>
      <c r="R4" s="8">
        <f>0.08/10000</f>
        <v>7.9999999999999996E-6</v>
      </c>
      <c r="S4" s="8">
        <v>1.72E-3</v>
      </c>
      <c r="T4" s="8">
        <v>2.0000000000000002E-5</v>
      </c>
      <c r="U4" s="15">
        <v>1.7695473251028804</v>
      </c>
      <c r="V4" s="8">
        <v>0.03</v>
      </c>
      <c r="W4" s="8" t="s">
        <v>75</v>
      </c>
      <c r="Y4" s="21">
        <v>1.0922358381502892</v>
      </c>
      <c r="Z4" s="21">
        <v>1.8E-5</v>
      </c>
      <c r="AA4" s="27">
        <v>9.1999999999999998E-2</v>
      </c>
      <c r="AB4" s="27">
        <v>1.7999999999999999E-2</v>
      </c>
      <c r="AC4" s="30" t="s">
        <v>108</v>
      </c>
      <c r="AF4" s="8" t="s">
        <v>39</v>
      </c>
    </row>
    <row r="5" spans="1:34" s="20" customFormat="1" x14ac:dyDescent="0.3">
      <c r="A5" s="17"/>
      <c r="B5" s="17"/>
      <c r="C5" s="18" t="s">
        <v>17</v>
      </c>
      <c r="D5" s="17">
        <v>2500</v>
      </c>
      <c r="E5" s="17">
        <v>25</v>
      </c>
      <c r="F5" s="17">
        <v>200</v>
      </c>
      <c r="G5" s="17">
        <v>17.3</v>
      </c>
      <c r="H5" s="17" t="s">
        <v>24</v>
      </c>
      <c r="I5" s="17">
        <f t="shared" si="0"/>
        <v>4.2500000000000003E-3</v>
      </c>
      <c r="J5" s="19" t="s">
        <v>34</v>
      </c>
      <c r="K5" s="17" t="s">
        <v>34</v>
      </c>
      <c r="L5" s="17" t="s">
        <v>34</v>
      </c>
      <c r="M5" s="22" t="s">
        <v>34</v>
      </c>
      <c r="N5" s="25" t="s">
        <v>34</v>
      </c>
      <c r="O5" s="24" t="s">
        <v>44</v>
      </c>
      <c r="P5" s="17" t="s">
        <v>34</v>
      </c>
      <c r="Q5" s="17" t="s">
        <v>34</v>
      </c>
      <c r="R5" s="17" t="s">
        <v>34</v>
      </c>
      <c r="S5" s="17" t="s">
        <v>34</v>
      </c>
      <c r="T5" s="17" t="s">
        <v>34</v>
      </c>
      <c r="U5" s="19" t="s">
        <v>34</v>
      </c>
      <c r="V5" s="17" t="s">
        <v>34</v>
      </c>
      <c r="W5" s="8" t="s">
        <v>44</v>
      </c>
      <c r="X5" s="17" t="s">
        <v>34</v>
      </c>
      <c r="Y5" s="22" t="s">
        <v>34</v>
      </c>
      <c r="Z5" s="22" t="s">
        <v>34</v>
      </c>
      <c r="AA5" s="21" t="s">
        <v>34</v>
      </c>
      <c r="AB5" s="24" t="s">
        <v>34</v>
      </c>
      <c r="AC5" s="30" t="s">
        <v>44</v>
      </c>
      <c r="AD5" s="17"/>
      <c r="AE5" s="17"/>
      <c r="AF5" s="17"/>
      <c r="AG5" s="17"/>
      <c r="AH5" s="17"/>
    </row>
    <row r="6" spans="1:34" x14ac:dyDescent="0.3">
      <c r="B6" s="8">
        <v>6</v>
      </c>
      <c r="C6" s="9" t="s">
        <v>14</v>
      </c>
      <c r="D6" s="8">
        <v>2500</v>
      </c>
      <c r="E6" s="8">
        <v>25</v>
      </c>
      <c r="F6" s="8">
        <v>200</v>
      </c>
      <c r="G6" s="8">
        <v>17.3</v>
      </c>
      <c r="H6" s="8" t="s">
        <v>24</v>
      </c>
      <c r="I6" s="8">
        <f t="shared" si="0"/>
        <v>4.2500000000000003E-3</v>
      </c>
      <c r="J6" s="15">
        <v>116.33706048767344</v>
      </c>
      <c r="K6" s="8">
        <v>1.9</v>
      </c>
      <c r="L6" s="8">
        <v>0.02</v>
      </c>
      <c r="M6" s="27">
        <v>0.52631578947368418</v>
      </c>
      <c r="N6" s="27">
        <v>5.5401662049861496E-3</v>
      </c>
      <c r="O6" s="24" t="s">
        <v>45</v>
      </c>
      <c r="Q6" s="8">
        <f>-8.31/10000</f>
        <v>-8.3100000000000003E-4</v>
      </c>
      <c r="R6" s="8">
        <f>0.1/10000</f>
        <v>1.0000000000000001E-5</v>
      </c>
      <c r="S6" s="8">
        <v>1.17E-3</v>
      </c>
      <c r="T6" s="8">
        <f>3/100000</f>
        <v>3.0000000000000001E-5</v>
      </c>
      <c r="U6" s="15">
        <v>1.407942238267148</v>
      </c>
      <c r="V6" s="8">
        <v>0.04</v>
      </c>
      <c r="W6" s="8" t="s">
        <v>76</v>
      </c>
      <c r="Y6" s="21">
        <v>0.7983364161849712</v>
      </c>
      <c r="Z6" s="21">
        <v>1.9000000000000001E-5</v>
      </c>
      <c r="AA6" s="27">
        <v>0.79800000000000004</v>
      </c>
      <c r="AB6" s="27">
        <v>1.9E-2</v>
      </c>
      <c r="AC6" s="30" t="s">
        <v>109</v>
      </c>
    </row>
    <row r="7" spans="1:34" x14ac:dyDescent="0.3">
      <c r="C7" s="9" t="s">
        <v>15</v>
      </c>
      <c r="D7" s="8">
        <v>2500</v>
      </c>
      <c r="E7" s="8">
        <v>25</v>
      </c>
      <c r="F7" s="8">
        <v>200</v>
      </c>
      <c r="G7" s="8">
        <v>17.3</v>
      </c>
      <c r="H7" s="8" t="s">
        <v>24</v>
      </c>
      <c r="I7" s="8">
        <f t="shared" si="0"/>
        <v>4.2500000000000003E-3</v>
      </c>
      <c r="J7" s="15">
        <v>1.5282807636873317</v>
      </c>
      <c r="K7" s="8">
        <v>1.41</v>
      </c>
      <c r="L7" s="8">
        <v>0.02</v>
      </c>
      <c r="M7" s="27">
        <v>0.70921985815602839</v>
      </c>
      <c r="N7" s="27">
        <v>1.0059856144057142E-2</v>
      </c>
      <c r="O7" s="24" t="s">
        <v>46</v>
      </c>
      <c r="Q7" s="8">
        <f>-8.12/10000</f>
        <v>-8.119999999999999E-4</v>
      </c>
      <c r="R7" s="8">
        <f>0.09/10000</f>
        <v>9.0000000000000002E-6</v>
      </c>
      <c r="S7" s="8">
        <v>1.23E-3</v>
      </c>
      <c r="T7" s="8">
        <f>3/100000</f>
        <v>3.0000000000000001E-5</v>
      </c>
      <c r="U7" s="15">
        <v>1.5147783251231528</v>
      </c>
      <c r="V7" s="8">
        <v>0.04</v>
      </c>
      <c r="W7" s="8" t="s">
        <v>77</v>
      </c>
      <c r="Y7" s="21">
        <v>0.76224739884393045</v>
      </c>
      <c r="Z7" s="21">
        <v>1.7E-5</v>
      </c>
      <c r="AA7" s="27">
        <v>0.76200000000000001</v>
      </c>
      <c r="AB7" s="27">
        <v>1.7000000000000001E-2</v>
      </c>
      <c r="AC7" s="30" t="s">
        <v>110</v>
      </c>
    </row>
    <row r="8" spans="1:34" x14ac:dyDescent="0.3">
      <c r="C8" s="9" t="s">
        <v>16</v>
      </c>
      <c r="D8" s="8">
        <v>2500</v>
      </c>
      <c r="E8" s="8">
        <v>25</v>
      </c>
      <c r="F8" s="8">
        <v>200</v>
      </c>
      <c r="G8" s="8">
        <v>17.3</v>
      </c>
      <c r="H8" s="8" t="s">
        <v>24</v>
      </c>
      <c r="I8" s="8">
        <f t="shared" si="0"/>
        <v>4.2500000000000003E-3</v>
      </c>
      <c r="J8" s="15">
        <v>272.1887552312254</v>
      </c>
      <c r="K8" s="8">
        <v>1.61</v>
      </c>
      <c r="L8" s="8">
        <v>0.06</v>
      </c>
      <c r="M8" s="15">
        <v>0.6211180124223602</v>
      </c>
      <c r="N8" s="15">
        <v>2.3147255121330191E-2</v>
      </c>
      <c r="O8" s="24" t="s">
        <v>47</v>
      </c>
      <c r="P8" s="8">
        <f>AVERAGE(M2:M9)</f>
        <v>0.75643210596982802</v>
      </c>
      <c r="Q8" s="8">
        <f>-8.08/10000</f>
        <v>-8.0800000000000002E-4</v>
      </c>
      <c r="R8" s="8">
        <f>0.1/10000</f>
        <v>1.0000000000000001E-5</v>
      </c>
      <c r="S8" s="8">
        <v>1.4E-3</v>
      </c>
      <c r="T8" s="8">
        <v>3.0000000000000001E-5</v>
      </c>
      <c r="U8" s="15">
        <v>1.7326732673267327</v>
      </c>
      <c r="V8" s="8">
        <v>0.04</v>
      </c>
      <c r="W8" s="8" t="s">
        <v>78</v>
      </c>
      <c r="X8" s="8">
        <f>AVERAGE(U2:U9)</f>
        <v>1.531331546232521</v>
      </c>
      <c r="Y8" s="21">
        <v>0.75475606936416184</v>
      </c>
      <c r="Z8" s="21">
        <v>1.9000000000000001E-5</v>
      </c>
      <c r="AA8" s="27">
        <v>0.755</v>
      </c>
      <c r="AB8" s="27">
        <v>1.9E-2</v>
      </c>
      <c r="AC8" s="30" t="s">
        <v>111</v>
      </c>
      <c r="AD8" s="21">
        <f>AVERAGE(Y2:Y9)</f>
        <v>0.87770090834021464</v>
      </c>
    </row>
    <row r="9" spans="1:34" s="12" customFormat="1" ht="15" thickBot="1" x14ac:dyDescent="0.35">
      <c r="A9" s="10"/>
      <c r="B9" s="10"/>
      <c r="C9" s="11" t="s">
        <v>17</v>
      </c>
      <c r="D9" s="10">
        <v>2500</v>
      </c>
      <c r="E9" s="10">
        <v>25</v>
      </c>
      <c r="F9" s="10">
        <v>200</v>
      </c>
      <c r="G9" s="10">
        <v>17.3</v>
      </c>
      <c r="H9" s="10" t="s">
        <v>24</v>
      </c>
      <c r="I9" s="10">
        <f t="shared" si="0"/>
        <v>4.2500000000000003E-3</v>
      </c>
      <c r="J9" s="16">
        <v>51.317009307286654</v>
      </c>
      <c r="K9" s="10">
        <v>1.6</v>
      </c>
      <c r="L9" s="10">
        <v>0.08</v>
      </c>
      <c r="M9" s="16">
        <v>0.625</v>
      </c>
      <c r="N9" s="16">
        <v>3.1249999999999993E-2</v>
      </c>
      <c r="O9" s="24" t="s">
        <v>48</v>
      </c>
      <c r="P9" s="10">
        <f>_xlfn.STDEV.P(M2:M9)</f>
        <v>0.20335966026770297</v>
      </c>
      <c r="Q9" s="10">
        <f>-8.31/10000</f>
        <v>-8.3100000000000003E-4</v>
      </c>
      <c r="R9" s="10">
        <f>0.2/10000</f>
        <v>2.0000000000000002E-5</v>
      </c>
      <c r="S9" s="10">
        <v>1.5900000000000001E-3</v>
      </c>
      <c r="T9" s="10">
        <f>7/100000</f>
        <v>6.9999999999999994E-5</v>
      </c>
      <c r="U9" s="16">
        <v>1.9133574007220215</v>
      </c>
      <c r="V9" s="16">
        <v>0.1</v>
      </c>
      <c r="W9" s="8" t="s">
        <v>79</v>
      </c>
      <c r="X9" s="10">
        <f>_xlfn.STDEV.P(U2:U9)</f>
        <v>0.26495385172546126</v>
      </c>
      <c r="Y9" s="23">
        <v>0.7983364161849712</v>
      </c>
      <c r="Z9" s="23">
        <v>4.0000000000000003E-5</v>
      </c>
      <c r="AA9" s="15">
        <v>0.8</v>
      </c>
      <c r="AB9" s="15">
        <v>0.04</v>
      </c>
      <c r="AC9" s="30" t="s">
        <v>112</v>
      </c>
      <c r="AD9" s="10">
        <f>_xlfn.STDEV.P(Y2:Y9)</f>
        <v>0.12195797775778963</v>
      </c>
      <c r="AE9" s="10"/>
      <c r="AF9" s="8"/>
      <c r="AG9" s="10"/>
      <c r="AH9" s="10"/>
    </row>
    <row r="10" spans="1:34" x14ac:dyDescent="0.3">
      <c r="A10" s="8" t="s">
        <v>18</v>
      </c>
      <c r="B10" s="8">
        <v>11</v>
      </c>
      <c r="C10" s="9" t="s">
        <v>14</v>
      </c>
      <c r="D10" s="8">
        <v>2500</v>
      </c>
      <c r="E10" s="8">
        <v>25</v>
      </c>
      <c r="F10" s="8">
        <v>200</v>
      </c>
      <c r="G10" s="8">
        <v>17.3</v>
      </c>
      <c r="H10" s="8" t="s">
        <v>24</v>
      </c>
      <c r="I10" s="8">
        <f t="shared" si="0"/>
        <v>4.2500000000000003E-3</v>
      </c>
      <c r="J10" s="15">
        <v>20.310155914064119</v>
      </c>
      <c r="K10" s="8">
        <v>1.0409999999999999</v>
      </c>
      <c r="L10" s="8">
        <v>1.4E-2</v>
      </c>
      <c r="M10" s="27">
        <v>0.96061479346781953</v>
      </c>
      <c r="N10" s="27">
        <v>1.29189309400091E-2</v>
      </c>
      <c r="O10" s="24" t="s">
        <v>49</v>
      </c>
      <c r="Q10" s="8">
        <f>-6.88/10000</f>
        <v>-6.8800000000000003E-4</v>
      </c>
      <c r="R10" s="8">
        <f>0.06/10000</f>
        <v>6.0000000000000002E-6</v>
      </c>
      <c r="S10" s="8">
        <v>1.7099999999999999E-3</v>
      </c>
      <c r="T10" s="8">
        <f>2/100000</f>
        <v>2.0000000000000002E-5</v>
      </c>
      <c r="U10" s="15">
        <v>2.4854651162790695</v>
      </c>
      <c r="V10" s="8">
        <v>0.04</v>
      </c>
      <c r="W10" s="8" t="s">
        <v>80</v>
      </c>
      <c r="Y10" s="21">
        <v>0.54721849710982662</v>
      </c>
      <c r="Z10" s="21">
        <v>1.0000000000000001E-5</v>
      </c>
      <c r="AA10" s="27">
        <v>0.54700000000000004</v>
      </c>
      <c r="AB10" s="27">
        <v>0.01</v>
      </c>
      <c r="AC10" s="30" t="s">
        <v>113</v>
      </c>
    </row>
    <row r="11" spans="1:34" x14ac:dyDescent="0.3">
      <c r="C11" s="9" t="s">
        <v>15</v>
      </c>
      <c r="D11" s="8">
        <v>2500</v>
      </c>
      <c r="E11" s="8">
        <v>25</v>
      </c>
      <c r="F11" s="8">
        <v>200</v>
      </c>
      <c r="G11" s="8">
        <v>17.3</v>
      </c>
      <c r="H11" s="8" t="s">
        <v>24</v>
      </c>
      <c r="I11" s="8">
        <f t="shared" si="0"/>
        <v>4.2500000000000003E-3</v>
      </c>
      <c r="J11" s="15">
        <v>3.7680947718904645</v>
      </c>
      <c r="K11" s="8">
        <v>1.4</v>
      </c>
      <c r="L11" s="8">
        <v>0.04</v>
      </c>
      <c r="M11" s="15">
        <v>0.7142857142857143</v>
      </c>
      <c r="N11" s="15">
        <v>2.0408163265306124E-2</v>
      </c>
      <c r="O11" s="24" t="s">
        <v>50</v>
      </c>
      <c r="Q11" s="8">
        <f>-6.7/10000</f>
        <v>-6.7000000000000002E-4</v>
      </c>
      <c r="R11" s="8">
        <f>0.06/10000</f>
        <v>6.0000000000000002E-6</v>
      </c>
      <c r="S11" s="8">
        <v>1.25E-3</v>
      </c>
      <c r="T11" s="8">
        <v>2.0000000000000002E-5</v>
      </c>
      <c r="U11" s="15">
        <v>1.8656716417910448</v>
      </c>
      <c r="V11" s="8">
        <v>0.03</v>
      </c>
      <c r="W11" s="8" t="s">
        <v>81</v>
      </c>
      <c r="Y11" s="21">
        <v>0.51895953757225444</v>
      </c>
      <c r="Z11" s="21">
        <v>9.0000000000000002E-6</v>
      </c>
      <c r="AA11" s="27">
        <v>0.51900000000000002</v>
      </c>
      <c r="AB11" s="27">
        <v>8.9999999999999993E-3</v>
      </c>
      <c r="AC11" s="30" t="s">
        <v>114</v>
      </c>
    </row>
    <row r="12" spans="1:34" x14ac:dyDescent="0.3">
      <c r="C12" s="9" t="s">
        <v>16</v>
      </c>
      <c r="D12" s="8">
        <v>2500</v>
      </c>
      <c r="E12" s="8">
        <v>25</v>
      </c>
      <c r="F12" s="8">
        <v>200</v>
      </c>
      <c r="G12" s="8">
        <v>17.3</v>
      </c>
      <c r="H12" s="8" t="s">
        <v>24</v>
      </c>
      <c r="I12" s="8">
        <f t="shared" si="0"/>
        <v>4.2500000000000003E-3</v>
      </c>
      <c r="J12" s="15">
        <v>1.9451820922981702</v>
      </c>
      <c r="K12" s="8">
        <v>0.82399999999999995</v>
      </c>
      <c r="L12" s="8">
        <v>6.0000000000000001E-3</v>
      </c>
      <c r="M12" s="27">
        <v>1.2135922330097089</v>
      </c>
      <c r="N12" s="27">
        <v>8.8368366481289488E-3</v>
      </c>
      <c r="O12" s="24" t="s">
        <v>51</v>
      </c>
      <c r="Q12" s="8">
        <f>-2.18/10000</f>
        <v>-2.1800000000000001E-4</v>
      </c>
      <c r="R12" s="8">
        <f>0.03/10000</f>
        <v>3.0000000000000001E-6</v>
      </c>
      <c r="S12" s="8">
        <f>5.92/10000</f>
        <v>5.9199999999999997E-4</v>
      </c>
      <c r="T12" s="8">
        <f>0.08/10000</f>
        <v>7.9999999999999996E-6</v>
      </c>
      <c r="U12" s="15">
        <v>2.7155963302752291</v>
      </c>
      <c r="V12" s="8">
        <v>0.05</v>
      </c>
      <c r="W12" s="8" t="s">
        <v>82</v>
      </c>
      <c r="Y12" s="21">
        <v>5.4941040462427752E-2</v>
      </c>
      <c r="Z12" s="21">
        <f>1.5/1000000</f>
        <v>1.5E-6</v>
      </c>
      <c r="AA12" s="24">
        <v>5.4899999999999997E-2</v>
      </c>
      <c r="AB12" s="24">
        <v>1.5E-3</v>
      </c>
      <c r="AC12" s="30" t="s">
        <v>115</v>
      </c>
    </row>
    <row r="13" spans="1:34" s="20" customFormat="1" x14ac:dyDescent="0.3">
      <c r="A13" s="17"/>
      <c r="B13" s="17"/>
      <c r="C13" s="18" t="s">
        <v>17</v>
      </c>
      <c r="D13" s="17">
        <v>2500</v>
      </c>
      <c r="E13" s="17">
        <v>25</v>
      </c>
      <c r="F13" s="17">
        <v>200</v>
      </c>
      <c r="G13" s="17">
        <v>17.3</v>
      </c>
      <c r="H13" s="17" t="s">
        <v>24</v>
      </c>
      <c r="I13" s="17">
        <f t="shared" si="0"/>
        <v>4.2500000000000003E-3</v>
      </c>
      <c r="J13" s="19">
        <v>0.39914287167606832</v>
      </c>
      <c r="K13" s="17">
        <v>1.0149999999999999</v>
      </c>
      <c r="L13" s="17">
        <v>1.4999999999999999E-2</v>
      </c>
      <c r="M13" s="28">
        <v>0.98522167487684742</v>
      </c>
      <c r="N13" s="28">
        <v>1.4559926229707107E-2</v>
      </c>
      <c r="O13" s="24" t="s">
        <v>52</v>
      </c>
      <c r="P13" s="17"/>
      <c r="Q13" s="17">
        <f>-1.31/10000</f>
        <v>-1.3100000000000001E-4</v>
      </c>
      <c r="R13" s="17">
        <f>0.13/10000</f>
        <v>1.3000000000000001E-5</v>
      </c>
      <c r="S13" s="17">
        <f>9.99/10000</f>
        <v>9.990000000000001E-4</v>
      </c>
      <c r="T13" s="17">
        <f>0.04/10000</f>
        <v>3.9999999999999998E-6</v>
      </c>
      <c r="U13" s="19">
        <v>7.6259541984732824</v>
      </c>
      <c r="V13" s="17">
        <v>0.8</v>
      </c>
      <c r="W13" s="8" t="s">
        <v>83</v>
      </c>
      <c r="X13" s="17"/>
      <c r="Y13" s="22">
        <v>1.9839306358381506E-2</v>
      </c>
      <c r="Z13" s="22">
        <v>3.9999999999999998E-6</v>
      </c>
      <c r="AA13" s="27">
        <v>0.02</v>
      </c>
      <c r="AB13" s="27">
        <v>4.0000000000000001E-3</v>
      </c>
      <c r="AC13" s="30" t="s">
        <v>116</v>
      </c>
      <c r="AD13" s="17"/>
      <c r="AE13" s="17"/>
      <c r="AF13" s="8"/>
      <c r="AG13" s="17"/>
      <c r="AH13" s="17"/>
    </row>
    <row r="14" spans="1:34" x14ac:dyDescent="0.3">
      <c r="B14" s="8">
        <v>12</v>
      </c>
      <c r="C14" s="9" t="s">
        <v>14</v>
      </c>
      <c r="D14" s="8">
        <v>2500</v>
      </c>
      <c r="E14" s="8">
        <v>25</v>
      </c>
      <c r="F14" s="8">
        <v>200</v>
      </c>
      <c r="G14" s="8">
        <v>17.3</v>
      </c>
      <c r="H14" s="8" t="s">
        <v>24</v>
      </c>
      <c r="I14" s="8">
        <f t="shared" si="0"/>
        <v>4.2500000000000003E-3</v>
      </c>
      <c r="J14" s="15">
        <v>58.684051631837058</v>
      </c>
      <c r="K14" s="8">
        <v>1.5669999999999999</v>
      </c>
      <c r="L14" s="8">
        <v>5.0000000000000001E-3</v>
      </c>
      <c r="M14" s="27">
        <v>0.63816209317166561</v>
      </c>
      <c r="N14" s="27">
        <v>2.0362542858062081E-3</v>
      </c>
      <c r="O14" s="24" t="s">
        <v>53</v>
      </c>
      <c r="Q14" s="8">
        <f>-7.51/10000</f>
        <v>-7.5099999999999993E-4</v>
      </c>
      <c r="R14" s="8">
        <f>0.07/10000</f>
        <v>7.0000000000000007E-6</v>
      </c>
      <c r="S14" s="8">
        <v>1.32E-3</v>
      </c>
      <c r="T14" s="8">
        <f>2/100000</f>
        <v>2.0000000000000002E-5</v>
      </c>
      <c r="U14" s="15">
        <v>1.7576564580559255</v>
      </c>
      <c r="V14" s="8">
        <v>0.03</v>
      </c>
      <c r="W14" s="8" t="s">
        <v>84</v>
      </c>
      <c r="Y14" s="21">
        <v>0.65202427745664737</v>
      </c>
      <c r="Z14" s="21">
        <v>1.2E-5</v>
      </c>
      <c r="AA14" s="27">
        <v>0.65</v>
      </c>
      <c r="AB14" s="27">
        <v>1.2E-2</v>
      </c>
      <c r="AC14" s="30" t="s">
        <v>117</v>
      </c>
    </row>
    <row r="15" spans="1:34" x14ac:dyDescent="0.3">
      <c r="C15" s="9" t="s">
        <v>15</v>
      </c>
      <c r="D15" s="8">
        <v>2500</v>
      </c>
      <c r="E15" s="8">
        <v>25</v>
      </c>
      <c r="F15" s="8">
        <v>200</v>
      </c>
      <c r="G15" s="8">
        <v>17.3</v>
      </c>
      <c r="H15" s="8" t="s">
        <v>24</v>
      </c>
      <c r="I15" s="8">
        <f t="shared" si="0"/>
        <v>4.2500000000000003E-3</v>
      </c>
      <c r="J15" s="15">
        <v>1.0215470236075033</v>
      </c>
      <c r="K15" s="8">
        <v>0.72524</v>
      </c>
      <c r="L15" s="8">
        <v>8.9999999999999993E-3</v>
      </c>
      <c r="M15" s="27">
        <v>1.3788538966411119</v>
      </c>
      <c r="N15" s="27">
        <v>1.71111426145414E-2</v>
      </c>
      <c r="O15" s="24" t="s">
        <v>54</v>
      </c>
      <c r="Q15" s="8">
        <f>-1.264/10000</f>
        <v>-1.2640000000000001E-4</v>
      </c>
      <c r="R15" s="8">
        <f>0.012/10000</f>
        <v>1.1999999999999999E-6</v>
      </c>
      <c r="S15" s="8">
        <f>2.1/10000</f>
        <v>2.1000000000000001E-4</v>
      </c>
      <c r="T15" s="8">
        <f>0.04/10000</f>
        <v>3.9999999999999998E-6</v>
      </c>
      <c r="U15" s="15">
        <v>1.6613924050632911</v>
      </c>
      <c r="V15" s="8">
        <v>0.04</v>
      </c>
      <c r="W15" s="8" t="s">
        <v>85</v>
      </c>
      <c r="Y15" s="21">
        <v>1.8470473988439307E-2</v>
      </c>
      <c r="Z15" s="21">
        <f>4/10000000</f>
        <v>3.9999999999999998E-7</v>
      </c>
      <c r="AA15" s="24">
        <v>1.8499999999999999E-2</v>
      </c>
      <c r="AB15" s="24">
        <v>4.0000000000000002E-4</v>
      </c>
      <c r="AC15" s="30" t="s">
        <v>118</v>
      </c>
    </row>
    <row r="16" spans="1:34" x14ac:dyDescent="0.3">
      <c r="C16" s="9" t="s">
        <v>16</v>
      </c>
      <c r="D16" s="8">
        <v>2500</v>
      </c>
      <c r="E16" s="8">
        <v>25</v>
      </c>
      <c r="F16" s="8">
        <v>200</v>
      </c>
      <c r="G16" s="8">
        <v>17.3</v>
      </c>
      <c r="H16" s="8" t="s">
        <v>24</v>
      </c>
      <c r="I16" s="8">
        <f t="shared" si="0"/>
        <v>4.2500000000000003E-3</v>
      </c>
      <c r="J16" s="15">
        <v>16.135645877115504</v>
      </c>
      <c r="K16" s="8">
        <v>1.7170000000000001</v>
      </c>
      <c r="L16" s="8">
        <v>1.4E-2</v>
      </c>
      <c r="M16" s="27">
        <v>0.58241118229470001</v>
      </c>
      <c r="N16" s="27">
        <v>4.7488389936667444E-3</v>
      </c>
      <c r="O16" s="24" t="s">
        <v>55</v>
      </c>
      <c r="P16" s="8">
        <f>AVERAGE(M10:M17)</f>
        <v>0.88057126989701739</v>
      </c>
      <c r="Q16" s="8">
        <f>-7.93/10000</f>
        <v>-7.9299999999999998E-4</v>
      </c>
      <c r="R16" s="8">
        <f>0.09/10000</f>
        <v>9.0000000000000002E-6</v>
      </c>
      <c r="S16" s="8">
        <v>1.34E-3</v>
      </c>
      <c r="T16" s="8">
        <f>3/100000</f>
        <v>3.0000000000000001E-5</v>
      </c>
      <c r="U16" s="15">
        <v>1.6897856242118539</v>
      </c>
      <c r="V16" s="8">
        <v>0.04</v>
      </c>
      <c r="W16" s="8" t="s">
        <v>86</v>
      </c>
      <c r="X16" s="31">
        <f>AVERAGE(U10:U17)</f>
        <v>2.7133615772674333</v>
      </c>
      <c r="Y16" s="21">
        <v>0.72699306358381499</v>
      </c>
      <c r="Z16" s="21">
        <v>1.7E-5</v>
      </c>
      <c r="AA16" s="27">
        <v>0.72699999999999998</v>
      </c>
      <c r="AB16" s="27">
        <v>1.7000000000000001E-2</v>
      </c>
      <c r="AC16" s="30" t="s">
        <v>119</v>
      </c>
      <c r="AD16" s="21">
        <f>AVERAGE(Y10:Y17)</f>
        <v>0.40567629479768791</v>
      </c>
    </row>
    <row r="17" spans="1:34" s="12" customFormat="1" ht="15" thickBot="1" x14ac:dyDescent="0.35">
      <c r="A17" s="10"/>
      <c r="B17" s="10"/>
      <c r="C17" s="11" t="s">
        <v>17</v>
      </c>
      <c r="D17" s="10">
        <v>2500</v>
      </c>
      <c r="E17" s="10">
        <v>25</v>
      </c>
      <c r="F17" s="10">
        <v>200</v>
      </c>
      <c r="G17" s="10">
        <v>17.3</v>
      </c>
      <c r="H17" s="10" t="s">
        <v>24</v>
      </c>
      <c r="I17" s="10">
        <f t="shared" si="0"/>
        <v>4.2500000000000003E-3</v>
      </c>
      <c r="J17" s="16">
        <v>12.066328321721839</v>
      </c>
      <c r="K17" s="10">
        <v>1.75</v>
      </c>
      <c r="L17" s="10">
        <v>0.02</v>
      </c>
      <c r="M17" s="29">
        <v>0.5714285714285714</v>
      </c>
      <c r="N17" s="29">
        <v>6.5306122448979594E-3</v>
      </c>
      <c r="O17" s="24" t="s">
        <v>56</v>
      </c>
      <c r="P17" s="10">
        <f>_xlfn.STDEV.P(M10:M17)</f>
        <v>0.28447955808295089</v>
      </c>
      <c r="Q17" s="10">
        <f>-7.82/10000</f>
        <v>-7.8200000000000003E-4</v>
      </c>
      <c r="R17" s="10">
        <f>0.09/10000</f>
        <v>9.0000000000000002E-6</v>
      </c>
      <c r="S17" s="10">
        <v>1.49E-3</v>
      </c>
      <c r="T17" s="10">
        <f>3/100000</f>
        <v>3.0000000000000001E-5</v>
      </c>
      <c r="U17" s="16">
        <v>1.9053708439897696</v>
      </c>
      <c r="V17" s="10">
        <v>0.04</v>
      </c>
      <c r="W17" s="8" t="s">
        <v>87</v>
      </c>
      <c r="X17" s="10">
        <f>_xlfn.STDEV.P(U10:U17)</f>
        <v>1.8915818264939432</v>
      </c>
      <c r="Y17" s="23">
        <v>0.706964161849711</v>
      </c>
      <c r="Z17" s="23">
        <v>1.5999999999999999E-5</v>
      </c>
      <c r="AA17" s="27">
        <v>0.70699999999999996</v>
      </c>
      <c r="AB17" s="27">
        <v>1.6E-2</v>
      </c>
      <c r="AC17" s="30" t="s">
        <v>120</v>
      </c>
      <c r="AD17" s="10">
        <f>_xlfn.STDEV.P(Y10:Y17)</f>
        <v>0.29778079382639899</v>
      </c>
      <c r="AE17" s="10"/>
      <c r="AF17" s="8"/>
      <c r="AG17" s="10"/>
      <c r="AH17" s="10"/>
    </row>
    <row r="18" spans="1:34" x14ac:dyDescent="0.3">
      <c r="A18" s="8" t="s">
        <v>19</v>
      </c>
      <c r="B18" s="8">
        <v>17</v>
      </c>
      <c r="C18" s="9" t="s">
        <v>14</v>
      </c>
      <c r="D18" s="8">
        <v>2500</v>
      </c>
      <c r="E18" s="8">
        <v>25</v>
      </c>
      <c r="F18" s="8">
        <v>200</v>
      </c>
      <c r="G18" s="8">
        <v>17.3</v>
      </c>
      <c r="H18" s="8" t="s">
        <v>24</v>
      </c>
      <c r="I18" s="8">
        <f t="shared" si="0"/>
        <v>4.2500000000000003E-3</v>
      </c>
      <c r="J18" s="15">
        <v>22.322615848034275</v>
      </c>
      <c r="K18" s="8">
        <v>0.48799999999999999</v>
      </c>
      <c r="L18" s="8">
        <v>1.4E-2</v>
      </c>
      <c r="M18" s="15">
        <v>2.0491803278688523</v>
      </c>
      <c r="N18" s="15">
        <v>5.878796022574577E-2</v>
      </c>
      <c r="O18" s="24" t="s">
        <v>57</v>
      </c>
      <c r="Q18" s="8">
        <f>-5.35/10000</f>
        <v>-5.3499999999999999E-4</v>
      </c>
      <c r="R18" s="8">
        <f>0.09/10000</f>
        <v>9.0000000000000002E-6</v>
      </c>
      <c r="S18" s="8">
        <v>3.1199999999999999E-3</v>
      </c>
      <c r="T18" s="8">
        <f>3/100000</f>
        <v>3.0000000000000001E-5</v>
      </c>
      <c r="U18" s="15">
        <v>5.8317757009345792</v>
      </c>
      <c r="V18" s="8">
        <v>0.11</v>
      </c>
      <c r="W18" s="8" t="s">
        <v>88</v>
      </c>
      <c r="Y18" s="21">
        <v>0.33089595375722547</v>
      </c>
      <c r="Z18" s="21">
        <v>1.1E-5</v>
      </c>
      <c r="AA18" s="27">
        <v>0.33100000000000002</v>
      </c>
      <c r="AB18" s="27">
        <v>1.0999999999999999E-2</v>
      </c>
      <c r="AC18" s="30" t="s">
        <v>121</v>
      </c>
    </row>
    <row r="19" spans="1:34" x14ac:dyDescent="0.3">
      <c r="C19" s="9" t="s">
        <v>15</v>
      </c>
      <c r="D19" s="8">
        <v>2500</v>
      </c>
      <c r="E19" s="8">
        <v>25</v>
      </c>
      <c r="F19" s="8">
        <v>200</v>
      </c>
      <c r="G19" s="8">
        <v>17.3</v>
      </c>
      <c r="H19" s="8" t="s">
        <v>24</v>
      </c>
      <c r="I19" s="8">
        <f t="shared" si="0"/>
        <v>4.2500000000000003E-3</v>
      </c>
      <c r="J19" s="15">
        <v>22.096445933401242</v>
      </c>
      <c r="K19" s="8">
        <v>0.49199999999999999</v>
      </c>
      <c r="L19" s="8">
        <v>1.2999999999999999E-2</v>
      </c>
      <c r="M19" s="15">
        <v>2.0325203252032522</v>
      </c>
      <c r="N19" s="15">
        <v>5.3704805340736329E-2</v>
      </c>
      <c r="O19" s="24" t="s">
        <v>58</v>
      </c>
      <c r="Q19" s="8">
        <f>-5.79/10000</f>
        <v>-5.7899999999999998E-4</v>
      </c>
      <c r="R19" s="8">
        <f>0.12/10000</f>
        <v>1.2E-5</v>
      </c>
      <c r="S19" s="8">
        <v>3.0500000000000002E-3</v>
      </c>
      <c r="T19" s="8">
        <f>3/100000</f>
        <v>3.0000000000000001E-5</v>
      </c>
      <c r="U19" s="15">
        <v>5.2677029360967191</v>
      </c>
      <c r="V19" s="8">
        <v>0.12</v>
      </c>
      <c r="W19" s="8" t="s">
        <v>89</v>
      </c>
      <c r="Y19" s="21">
        <v>0.38756184971098262</v>
      </c>
      <c r="Z19" s="21">
        <v>1.5999999999999999E-5</v>
      </c>
      <c r="AA19" s="27">
        <v>0.38800000000000001</v>
      </c>
      <c r="AB19" s="27">
        <v>1.6E-2</v>
      </c>
      <c r="AC19" s="30" t="s">
        <v>122</v>
      </c>
    </row>
    <row r="20" spans="1:34" x14ac:dyDescent="0.3">
      <c r="C20" s="9" t="s">
        <v>16</v>
      </c>
      <c r="D20" s="8">
        <v>2500</v>
      </c>
      <c r="E20" s="8">
        <v>25</v>
      </c>
      <c r="F20" s="8">
        <v>200</v>
      </c>
      <c r="G20" s="8">
        <v>17.3</v>
      </c>
      <c r="H20" s="8" t="s">
        <v>24</v>
      </c>
      <c r="I20" s="8">
        <f t="shared" si="0"/>
        <v>4.2500000000000003E-3</v>
      </c>
      <c r="J20" s="15">
        <v>9.4190911984620556</v>
      </c>
      <c r="K20" s="8">
        <v>0.40970000000000001</v>
      </c>
      <c r="L20" s="8">
        <v>1E-3</v>
      </c>
      <c r="M20" s="27">
        <v>2.4408103490358797</v>
      </c>
      <c r="N20" s="27">
        <v>5.9575551599606539E-3</v>
      </c>
      <c r="O20" s="24" t="s">
        <v>59</v>
      </c>
      <c r="Q20" s="8">
        <f>-5.7/10000</f>
        <v>-5.6999999999999998E-4</v>
      </c>
      <c r="R20" s="8">
        <f>0.08/10000</f>
        <v>7.9999999999999996E-6</v>
      </c>
      <c r="S20" s="8">
        <v>3.3500000000000001E-3</v>
      </c>
      <c r="T20" s="8">
        <f>2/100000</f>
        <v>2.0000000000000002E-5</v>
      </c>
      <c r="U20" s="15">
        <v>5.8771929824561404</v>
      </c>
      <c r="V20" s="8">
        <v>0.09</v>
      </c>
      <c r="W20" s="8" t="s">
        <v>90</v>
      </c>
      <c r="Y20" s="21">
        <v>0.37560693641618492</v>
      </c>
      <c r="Z20" s="21">
        <v>1.1E-5</v>
      </c>
      <c r="AA20" s="27">
        <v>0.376</v>
      </c>
      <c r="AB20" s="27">
        <v>1.0999999999999999E-2</v>
      </c>
      <c r="AC20" s="30" t="s">
        <v>123</v>
      </c>
    </row>
    <row r="21" spans="1:34" s="20" customFormat="1" x14ac:dyDescent="0.3">
      <c r="A21" s="17"/>
      <c r="B21" s="17"/>
      <c r="C21" s="18" t="s">
        <v>17</v>
      </c>
      <c r="D21" s="17">
        <v>2500</v>
      </c>
      <c r="E21" s="17">
        <v>25</v>
      </c>
      <c r="F21" s="17">
        <v>200</v>
      </c>
      <c r="G21" s="17">
        <v>17.3</v>
      </c>
      <c r="H21" s="17" t="s">
        <v>24</v>
      </c>
      <c r="I21" s="17">
        <f t="shared" si="0"/>
        <v>4.2500000000000003E-3</v>
      </c>
      <c r="J21" s="19">
        <v>10.391647797628687</v>
      </c>
      <c r="K21" s="17">
        <v>0.40100000000000002</v>
      </c>
      <c r="L21" s="17">
        <v>1.2E-2</v>
      </c>
      <c r="M21" s="19">
        <v>2.4937655860349124</v>
      </c>
      <c r="N21" s="28">
        <v>0.08</v>
      </c>
      <c r="O21" s="24" t="s">
        <v>60</v>
      </c>
      <c r="P21" s="17"/>
      <c r="Q21" s="17">
        <f>-5.42/10000</f>
        <v>-5.4199999999999995E-4</v>
      </c>
      <c r="R21" s="17">
        <f>0.1/10000</f>
        <v>1.0000000000000001E-5</v>
      </c>
      <c r="S21" s="17">
        <v>3.2599999999999999E-3</v>
      </c>
      <c r="T21" s="17">
        <f>3/100000</f>
        <v>3.0000000000000001E-5</v>
      </c>
      <c r="U21" s="19">
        <v>6.0147601476014767</v>
      </c>
      <c r="V21" s="17">
        <v>0.12</v>
      </c>
      <c r="W21" s="8" t="s">
        <v>91</v>
      </c>
      <c r="X21" s="17"/>
      <c r="Y21" s="22">
        <v>0.33961156069364157</v>
      </c>
      <c r="Z21" s="22">
        <v>1.2999999999999999E-5</v>
      </c>
      <c r="AA21" s="27">
        <v>0.34</v>
      </c>
      <c r="AB21" s="27">
        <v>1.2999999999999999E-2</v>
      </c>
      <c r="AC21" s="30" t="s">
        <v>124</v>
      </c>
      <c r="AD21" s="17"/>
      <c r="AE21" s="17"/>
      <c r="AF21" s="8"/>
      <c r="AG21" s="17"/>
      <c r="AH21" s="17"/>
    </row>
    <row r="22" spans="1:34" x14ac:dyDescent="0.3">
      <c r="B22" s="8">
        <v>18</v>
      </c>
      <c r="C22" s="9" t="s">
        <v>14</v>
      </c>
      <c r="D22" s="8">
        <v>2500</v>
      </c>
      <c r="E22" s="8">
        <v>25</v>
      </c>
      <c r="F22" s="8">
        <v>200</v>
      </c>
      <c r="G22" s="8">
        <v>17.3</v>
      </c>
      <c r="H22" s="8" t="s">
        <v>24</v>
      </c>
      <c r="I22" s="8">
        <f t="shared" si="0"/>
        <v>4.2500000000000003E-3</v>
      </c>
      <c r="J22" s="15">
        <v>98.24030034229213</v>
      </c>
      <c r="K22" s="8">
        <v>0.76</v>
      </c>
      <c r="L22" s="8">
        <v>0.03</v>
      </c>
      <c r="M22" s="15">
        <v>1.3157894736842106</v>
      </c>
      <c r="N22" s="15">
        <v>5.1939058171745149E-2</v>
      </c>
      <c r="O22" s="24" t="s">
        <v>61</v>
      </c>
      <c r="Q22" s="8">
        <f>-6.28/10000</f>
        <v>-6.2799999999999998E-4</v>
      </c>
      <c r="R22" s="8">
        <f>0.11/10000</f>
        <v>1.1E-5</v>
      </c>
      <c r="S22" s="8">
        <v>3.5300000000000002E-3</v>
      </c>
      <c r="T22" s="8">
        <f>3/100000</f>
        <v>3.0000000000000001E-5</v>
      </c>
      <c r="U22" s="15">
        <v>5.6210191082802554</v>
      </c>
      <c r="V22" s="8">
        <v>0.11</v>
      </c>
      <c r="W22" s="8" t="s">
        <v>92</v>
      </c>
      <c r="Y22" s="21">
        <v>0.45593526011560692</v>
      </c>
      <c r="Z22" s="21">
        <v>1.5999999999999999E-5</v>
      </c>
      <c r="AA22" s="27">
        <v>0.45600000000000002</v>
      </c>
      <c r="AB22" s="27">
        <v>1.6E-2</v>
      </c>
      <c r="AC22" s="30" t="s">
        <v>125</v>
      </c>
    </row>
    <row r="23" spans="1:34" x14ac:dyDescent="0.3">
      <c r="C23" s="9" t="s">
        <v>15</v>
      </c>
      <c r="D23" s="8">
        <v>2500</v>
      </c>
      <c r="E23" s="8">
        <v>25</v>
      </c>
      <c r="F23" s="8">
        <v>200</v>
      </c>
      <c r="G23" s="8">
        <v>17.3</v>
      </c>
      <c r="H23" s="8" t="s">
        <v>24</v>
      </c>
      <c r="I23" s="8">
        <f t="shared" si="0"/>
        <v>4.2500000000000003E-3</v>
      </c>
      <c r="J23" s="15">
        <v>51.787169180089442</v>
      </c>
      <c r="K23" s="8">
        <v>0.64</v>
      </c>
      <c r="L23" s="8">
        <v>0.02</v>
      </c>
      <c r="M23" s="15">
        <v>1.5625</v>
      </c>
      <c r="N23" s="15">
        <v>4.8828125E-2</v>
      </c>
      <c r="O23" s="24" t="s">
        <v>62</v>
      </c>
      <c r="P23" s="8">
        <f>AVERAGE(M18:M24)</f>
        <v>1.984938008832444</v>
      </c>
      <c r="Q23" s="8">
        <f>-6.38/10000</f>
        <v>-6.38E-4</v>
      </c>
      <c r="R23" s="8">
        <f>0.12/10000</f>
        <v>1.2E-5</v>
      </c>
      <c r="S23" s="8">
        <v>3.5100000000000001E-3</v>
      </c>
      <c r="T23" s="8">
        <f>3/100000</f>
        <v>3.0000000000000001E-5</v>
      </c>
      <c r="U23" s="15">
        <v>5.5015673981191222</v>
      </c>
      <c r="V23" s="8">
        <v>0.11</v>
      </c>
      <c r="W23" s="8" t="s">
        <v>93</v>
      </c>
      <c r="X23" s="8">
        <f>AVERAGE(U18:U24)</f>
        <v>5.7540246253344138</v>
      </c>
      <c r="Y23" s="21">
        <v>0.47057109826589599</v>
      </c>
      <c r="Z23" s="21">
        <v>1.8E-5</v>
      </c>
      <c r="AA23" s="27">
        <v>0.47099999999999997</v>
      </c>
      <c r="AB23" s="27">
        <v>1.7999999999999999E-2</v>
      </c>
      <c r="AC23" s="30" t="s">
        <v>126</v>
      </c>
    </row>
    <row r="24" spans="1:34" x14ac:dyDescent="0.3">
      <c r="C24" s="9" t="s">
        <v>16</v>
      </c>
      <c r="D24" s="8">
        <v>2500</v>
      </c>
      <c r="E24" s="8">
        <v>25</v>
      </c>
      <c r="F24" s="8">
        <v>200</v>
      </c>
      <c r="G24" s="8">
        <v>17.3</v>
      </c>
      <c r="H24" s="8" t="s">
        <v>24</v>
      </c>
      <c r="I24" s="8">
        <f t="shared" si="0"/>
        <v>4.2500000000000003E-3</v>
      </c>
      <c r="J24" s="15">
        <v>44.130261809304258</v>
      </c>
      <c r="K24" s="8">
        <v>0.5</v>
      </c>
      <c r="L24" s="8">
        <v>1.7000000000000001E-2</v>
      </c>
      <c r="M24" s="15">
        <v>2</v>
      </c>
      <c r="N24" s="15">
        <v>6.8000000000000005E-2</v>
      </c>
      <c r="O24" s="24" t="s">
        <v>63</v>
      </c>
      <c r="P24" s="8">
        <f>_xlfn.STDEV.P(M18:M24)</f>
        <v>0.39633260621531202</v>
      </c>
      <c r="Q24" s="8">
        <f>-5.97/10000</f>
        <v>-5.9699999999999998E-4</v>
      </c>
      <c r="R24" s="8">
        <f>0.11/10000</f>
        <v>1.1E-5</v>
      </c>
      <c r="S24" s="8">
        <v>3.6800000000000001E-3</v>
      </c>
      <c r="T24" s="8">
        <f>3/100000</f>
        <v>3.0000000000000001E-5</v>
      </c>
      <c r="U24" s="15">
        <v>6.1641541038525967</v>
      </c>
      <c r="V24" s="8">
        <v>0.12</v>
      </c>
      <c r="W24" s="8" t="s">
        <v>94</v>
      </c>
      <c r="X24" s="8">
        <f>_xlfn.STDEV.P(U18:U24)</f>
        <v>0.28669017129936253</v>
      </c>
      <c r="Y24" s="21">
        <v>0.41203352601156068</v>
      </c>
      <c r="Z24" s="21">
        <v>1.5E-5</v>
      </c>
      <c r="AA24" s="27">
        <v>0.41199999999999998</v>
      </c>
      <c r="AB24" s="27">
        <v>1.4999999999999999E-2</v>
      </c>
      <c r="AC24" s="30" t="s">
        <v>127</v>
      </c>
      <c r="AD24" s="21">
        <f>AVERAGE(Y18:Y24)</f>
        <v>0.39603088356729976</v>
      </c>
    </row>
    <row r="25" spans="1:34" s="12" customFormat="1" ht="15" thickBot="1" x14ac:dyDescent="0.35">
      <c r="A25" s="10"/>
      <c r="B25" s="10"/>
      <c r="C25" s="11" t="s">
        <v>17</v>
      </c>
      <c r="D25" s="10">
        <v>2500</v>
      </c>
      <c r="E25" s="10">
        <v>25</v>
      </c>
      <c r="F25" s="10">
        <v>200</v>
      </c>
      <c r="G25" s="10">
        <v>17.3</v>
      </c>
      <c r="H25" s="10" t="s">
        <v>24</v>
      </c>
      <c r="I25" s="10">
        <f t="shared" si="0"/>
        <v>4.2500000000000003E-3</v>
      </c>
      <c r="J25" s="16" t="s">
        <v>34</v>
      </c>
      <c r="K25" s="10" t="s">
        <v>34</v>
      </c>
      <c r="L25" s="10" t="s">
        <v>34</v>
      </c>
      <c r="M25" s="23" t="s">
        <v>34</v>
      </c>
      <c r="N25" s="26" t="s">
        <v>34</v>
      </c>
      <c r="O25" s="24" t="s">
        <v>44</v>
      </c>
      <c r="P25" s="10" t="s">
        <v>34</v>
      </c>
      <c r="Q25" s="10" t="s">
        <v>34</v>
      </c>
      <c r="R25" s="10" t="s">
        <v>34</v>
      </c>
      <c r="S25" s="10" t="s">
        <v>34</v>
      </c>
      <c r="T25" s="10" t="s">
        <v>34</v>
      </c>
      <c r="U25" s="16" t="s">
        <v>34</v>
      </c>
      <c r="V25" s="10" t="s">
        <v>34</v>
      </c>
      <c r="W25" s="8" t="s">
        <v>44</v>
      </c>
      <c r="X25" s="10" t="s">
        <v>34</v>
      </c>
      <c r="Y25" s="23" t="s">
        <v>34</v>
      </c>
      <c r="Z25" s="23" t="s">
        <v>34</v>
      </c>
      <c r="AA25" s="21" t="s">
        <v>34</v>
      </c>
      <c r="AB25" s="24" t="s">
        <v>34</v>
      </c>
      <c r="AC25" s="30" t="s">
        <v>44</v>
      </c>
      <c r="AD25" s="10">
        <f>_xlfn.STDEV.P(Y18:Y24)</f>
        <v>4.9735620648053404E-2</v>
      </c>
      <c r="AE25" s="10"/>
      <c r="AF25" s="10"/>
      <c r="AG25" s="10"/>
      <c r="AH25" s="10"/>
    </row>
    <row r="26" spans="1:34" x14ac:dyDescent="0.3">
      <c r="A26" s="8" t="s">
        <v>20</v>
      </c>
      <c r="B26" s="8">
        <v>23</v>
      </c>
      <c r="C26" s="9" t="s">
        <v>14</v>
      </c>
      <c r="D26" s="8">
        <v>2500</v>
      </c>
      <c r="E26" s="8">
        <v>25</v>
      </c>
      <c r="F26" s="8">
        <v>200</v>
      </c>
      <c r="G26" s="8">
        <v>17.3</v>
      </c>
      <c r="H26" s="8" t="s">
        <v>24</v>
      </c>
      <c r="I26" s="8">
        <f t="shared" si="0"/>
        <v>4.2500000000000003E-3</v>
      </c>
      <c r="J26" s="15">
        <v>4.7059534758993484</v>
      </c>
      <c r="K26" s="8">
        <v>0.314</v>
      </c>
      <c r="L26" s="8">
        <v>2E-3</v>
      </c>
      <c r="M26" s="15">
        <v>3.19</v>
      </c>
      <c r="N26" s="15">
        <v>2.0284798571950181E-2</v>
      </c>
      <c r="O26" s="24" t="s">
        <v>64</v>
      </c>
      <c r="Q26" s="8">
        <f>-5.22/10000</f>
        <v>-5.22E-4</v>
      </c>
      <c r="R26" s="8">
        <f>0.08/10000</f>
        <v>7.9999999999999996E-6</v>
      </c>
      <c r="S26" s="8">
        <v>4.4000000000000003E-3</v>
      </c>
      <c r="T26" s="8">
        <v>3.0000000000000001E-5</v>
      </c>
      <c r="U26" s="15">
        <v>8.4291187739463602</v>
      </c>
      <c r="V26" s="8">
        <v>0.14000000000000001</v>
      </c>
      <c r="W26" s="8" t="s">
        <v>95</v>
      </c>
      <c r="Y26" s="21">
        <v>0.31501040462427748</v>
      </c>
      <c r="Z26" s="21">
        <f>10/1000000</f>
        <v>1.0000000000000001E-5</v>
      </c>
      <c r="AA26" s="27">
        <v>0.315</v>
      </c>
      <c r="AB26" s="27">
        <v>0.01</v>
      </c>
      <c r="AC26" s="30" t="s">
        <v>128</v>
      </c>
    </row>
    <row r="27" spans="1:34" x14ac:dyDescent="0.3">
      <c r="C27" s="9" t="s">
        <v>15</v>
      </c>
      <c r="D27" s="8">
        <v>2500</v>
      </c>
      <c r="E27" s="8">
        <v>25</v>
      </c>
      <c r="F27" s="8">
        <v>200</v>
      </c>
      <c r="G27" s="8">
        <v>17.3</v>
      </c>
      <c r="H27" s="8" t="s">
        <v>24</v>
      </c>
      <c r="I27" s="8">
        <f t="shared" si="0"/>
        <v>4.2500000000000003E-3</v>
      </c>
      <c r="J27" s="15">
        <v>22.168099631275943</v>
      </c>
      <c r="K27" s="8">
        <v>0.29499999999999998</v>
      </c>
      <c r="L27" s="8">
        <v>3.0000000000000001E-3</v>
      </c>
      <c r="M27" s="15">
        <v>3.3898305084745766</v>
      </c>
      <c r="N27" s="15">
        <v>0.04</v>
      </c>
      <c r="O27" s="24" t="s">
        <v>65</v>
      </c>
      <c r="Q27" s="8">
        <f>-5.14/10000</f>
        <v>-5.1399999999999992E-4</v>
      </c>
      <c r="R27" s="8">
        <f>0.08/10000</f>
        <v>7.9999999999999996E-6</v>
      </c>
      <c r="S27" s="8">
        <v>4.5999999999999999E-3</v>
      </c>
      <c r="T27" s="8">
        <f>3/100000</f>
        <v>3.0000000000000001E-5</v>
      </c>
      <c r="U27" s="15">
        <v>8.9494163424124533</v>
      </c>
      <c r="V27" s="8">
        <v>0.15</v>
      </c>
      <c r="W27" s="8" t="s">
        <v>96</v>
      </c>
      <c r="Y27" s="21">
        <v>0.30542890173410397</v>
      </c>
      <c r="Z27" s="21">
        <v>1.0000000000000001E-5</v>
      </c>
      <c r="AA27" s="27">
        <v>0.30499999999999999</v>
      </c>
      <c r="AB27" s="27">
        <v>0.01</v>
      </c>
      <c r="AC27" s="30" t="s">
        <v>129</v>
      </c>
    </row>
    <row r="28" spans="1:34" x14ac:dyDescent="0.3">
      <c r="C28" s="9" t="s">
        <v>16</v>
      </c>
      <c r="D28" s="8">
        <v>2500</v>
      </c>
      <c r="E28" s="8">
        <v>25</v>
      </c>
      <c r="F28" s="8">
        <v>200</v>
      </c>
      <c r="G28" s="8">
        <v>17.3</v>
      </c>
      <c r="H28" s="8" t="s">
        <v>24</v>
      </c>
      <c r="I28" s="8">
        <f t="shared" si="0"/>
        <v>4.2500000000000003E-3</v>
      </c>
      <c r="J28" s="15">
        <v>24.436043220645139</v>
      </c>
      <c r="K28" s="8">
        <v>0.39600000000000002</v>
      </c>
      <c r="L28" s="8">
        <v>3.0000000000000001E-3</v>
      </c>
      <c r="M28" s="27">
        <v>2.5252525252525251</v>
      </c>
      <c r="N28" s="27">
        <v>1.9130700948882765E-2</v>
      </c>
      <c r="O28" s="24" t="s">
        <v>66</v>
      </c>
      <c r="Q28" s="8">
        <f>-4.91/10000</f>
        <v>-4.9100000000000001E-4</v>
      </c>
      <c r="R28" s="8">
        <f>0.05/10000</f>
        <v>5.0000000000000004E-6</v>
      </c>
      <c r="S28" s="8">
        <v>4.2100000000000002E-3</v>
      </c>
      <c r="T28" s="8">
        <f>1.5/100000</f>
        <v>1.5E-5</v>
      </c>
      <c r="U28" s="15">
        <v>8.5743380855397149</v>
      </c>
      <c r="V28" s="8">
        <v>0.09</v>
      </c>
      <c r="W28" s="8" t="s">
        <v>97</v>
      </c>
      <c r="Y28" s="21">
        <v>0.27870635838150293</v>
      </c>
      <c r="Z28" s="21">
        <v>6.0000000000000002E-6</v>
      </c>
      <c r="AA28" s="27">
        <v>0.27900000000000003</v>
      </c>
      <c r="AB28" s="27">
        <v>6.0000000000000001E-3</v>
      </c>
      <c r="AC28" s="30" t="s">
        <v>130</v>
      </c>
    </row>
    <row r="29" spans="1:34" s="20" customFormat="1" x14ac:dyDescent="0.3">
      <c r="A29" s="17"/>
      <c r="B29" s="17"/>
      <c r="C29" s="18" t="s">
        <v>17</v>
      </c>
      <c r="D29" s="17">
        <v>2500</v>
      </c>
      <c r="E29" s="17">
        <v>25</v>
      </c>
      <c r="F29" s="17">
        <v>200</v>
      </c>
      <c r="G29" s="17">
        <v>17.3</v>
      </c>
      <c r="H29" s="17" t="s">
        <v>24</v>
      </c>
      <c r="I29" s="17">
        <f t="shared" si="0"/>
        <v>4.2500000000000003E-3</v>
      </c>
      <c r="J29" s="19">
        <v>24.254013127629893</v>
      </c>
      <c r="K29" s="17">
        <v>0.32800000000000001</v>
      </c>
      <c r="L29" s="17">
        <v>5.0000000000000001E-3</v>
      </c>
      <c r="M29" s="19">
        <v>3.05</v>
      </c>
      <c r="N29" s="19">
        <v>0.05</v>
      </c>
      <c r="O29" s="24" t="s">
        <v>67</v>
      </c>
      <c r="P29" s="17"/>
      <c r="Q29" s="17">
        <f>-4.97/10000</f>
        <v>-4.9699999999999994E-4</v>
      </c>
      <c r="R29" s="17">
        <f>0.07/10000</f>
        <v>7.0000000000000007E-6</v>
      </c>
      <c r="S29" s="17">
        <v>4.2500000000000003E-3</v>
      </c>
      <c r="T29" s="17">
        <f>2/100000</f>
        <v>2.0000000000000002E-5</v>
      </c>
      <c r="U29" s="19">
        <v>8.5513078470824961</v>
      </c>
      <c r="V29" s="17">
        <v>0.13</v>
      </c>
      <c r="W29" s="8" t="s">
        <v>98</v>
      </c>
      <c r="X29" s="17"/>
      <c r="Y29" s="22">
        <v>0.28555953757225427</v>
      </c>
      <c r="Z29" s="22">
        <v>7.9999999999999996E-6</v>
      </c>
      <c r="AA29" s="27">
        <v>0.28599999999999998</v>
      </c>
      <c r="AB29" s="27">
        <v>8.0000000000000002E-3</v>
      </c>
      <c r="AC29" s="30" t="s">
        <v>131</v>
      </c>
      <c r="AD29" s="17"/>
      <c r="AE29" s="17"/>
      <c r="AF29" s="17"/>
      <c r="AG29" s="17"/>
      <c r="AH29" s="17"/>
    </row>
    <row r="30" spans="1:34" x14ac:dyDescent="0.3">
      <c r="B30" s="8">
        <v>24</v>
      </c>
      <c r="C30" s="9" t="s">
        <v>14</v>
      </c>
      <c r="D30" s="8">
        <v>2500</v>
      </c>
      <c r="E30" s="8">
        <v>25</v>
      </c>
      <c r="F30" s="8">
        <v>200</v>
      </c>
      <c r="G30" s="8">
        <v>17.3</v>
      </c>
      <c r="H30" s="8" t="s">
        <v>24</v>
      </c>
      <c r="I30" s="8">
        <f t="shared" si="0"/>
        <v>4.2500000000000003E-3</v>
      </c>
      <c r="J30" s="15">
        <v>6.6523156097780767</v>
      </c>
      <c r="K30" s="8">
        <v>0.311</v>
      </c>
      <c r="L30" s="8">
        <v>3.0000000000000001E-3</v>
      </c>
      <c r="M30" s="15">
        <v>3.22</v>
      </c>
      <c r="N30" s="15">
        <v>0.03</v>
      </c>
      <c r="O30" s="24" t="s">
        <v>68</v>
      </c>
      <c r="Q30" s="8">
        <f>-4.46/10000</f>
        <v>-4.46E-4</v>
      </c>
      <c r="R30" s="8">
        <f>0.04/10000</f>
        <v>3.9999999999999998E-6</v>
      </c>
      <c r="S30" s="8">
        <v>5.2700000000000004E-3</v>
      </c>
      <c r="T30" s="8">
        <f>1.7/100000</f>
        <v>1.7E-5</v>
      </c>
      <c r="U30" s="15">
        <v>11.816143497757848</v>
      </c>
      <c r="V30" s="8">
        <v>0.11</v>
      </c>
      <c r="W30" s="8" t="s">
        <v>99</v>
      </c>
      <c r="Y30" s="21">
        <v>0.2299606936416185</v>
      </c>
      <c r="Z30" s="21">
        <f>4/1000000</f>
        <v>3.9999999999999998E-6</v>
      </c>
      <c r="AA30" s="27">
        <v>0.23</v>
      </c>
      <c r="AB30" s="27">
        <v>4.0000000000000001E-3</v>
      </c>
      <c r="AC30" s="30" t="s">
        <v>132</v>
      </c>
    </row>
    <row r="31" spans="1:34" x14ac:dyDescent="0.3">
      <c r="C31" s="9" t="s">
        <v>15</v>
      </c>
      <c r="D31" s="8">
        <v>2500</v>
      </c>
      <c r="E31" s="8">
        <v>25</v>
      </c>
      <c r="F31" s="8">
        <v>200</v>
      </c>
      <c r="G31" s="8">
        <v>17.3</v>
      </c>
      <c r="H31" s="8" t="s">
        <v>24</v>
      </c>
      <c r="I31" s="8">
        <f t="shared" si="0"/>
        <v>4.2500000000000003E-3</v>
      </c>
      <c r="J31" s="15">
        <v>0.28723372998384017</v>
      </c>
      <c r="K31" s="8">
        <v>0.26600000000000001</v>
      </c>
      <c r="L31" s="8">
        <v>4.0000000000000001E-3</v>
      </c>
      <c r="M31" s="15">
        <v>3.76</v>
      </c>
      <c r="N31" s="15">
        <v>0.06</v>
      </c>
      <c r="O31" s="24" t="s">
        <v>69</v>
      </c>
      <c r="Q31" s="8">
        <f>-1.247/100000</f>
        <v>-1.2470000000000001E-5</v>
      </c>
      <c r="R31" s="8">
        <f>0.014/100000</f>
        <v>1.4000000000000001E-7</v>
      </c>
      <c r="S31" s="8">
        <f>1.761/10000</f>
        <v>1.761E-4</v>
      </c>
      <c r="T31" s="8">
        <f>0.009/10000</f>
        <v>8.9999999999999996E-7</v>
      </c>
      <c r="U31" s="15">
        <v>14.121892542101042</v>
      </c>
      <c r="V31" s="8">
        <v>0.17</v>
      </c>
      <c r="W31" s="8" t="s">
        <v>100</v>
      </c>
      <c r="Y31" s="21">
        <v>1.7976982658959542E-4</v>
      </c>
      <c r="Z31" s="32">
        <f>4/1000000000</f>
        <v>4.0000000000000002E-9</v>
      </c>
      <c r="AA31" s="21">
        <v>1.7976982658959542E-4</v>
      </c>
      <c r="AB31" s="21">
        <v>4.0365317919075154E-6</v>
      </c>
      <c r="AC31" s="30" t="s">
        <v>133</v>
      </c>
    </row>
    <row r="32" spans="1:34" x14ac:dyDescent="0.3">
      <c r="C32" s="9" t="s">
        <v>16</v>
      </c>
      <c r="D32" s="8">
        <v>2500</v>
      </c>
      <c r="E32" s="8">
        <v>25</v>
      </c>
      <c r="F32" s="8">
        <v>200</v>
      </c>
      <c r="G32" s="8">
        <v>17.3</v>
      </c>
      <c r="H32" s="8" t="s">
        <v>24</v>
      </c>
      <c r="I32" s="8">
        <f t="shared" si="0"/>
        <v>4.2500000000000003E-3</v>
      </c>
      <c r="J32" s="15">
        <v>11.979432031565093</v>
      </c>
      <c r="K32" s="8">
        <v>0.21</v>
      </c>
      <c r="L32" s="8">
        <v>2E-3</v>
      </c>
      <c r="M32" s="15">
        <v>4.76</v>
      </c>
      <c r="N32" s="15">
        <v>0.05</v>
      </c>
      <c r="O32" s="24" t="s">
        <v>70</v>
      </c>
      <c r="P32" s="8">
        <f>AVERAGE(M26:M33)</f>
        <v>3.4481353792158882</v>
      </c>
      <c r="Q32" s="8">
        <f>-3.731/10000</f>
        <v>-3.7309999999999996E-4</v>
      </c>
      <c r="R32" s="8">
        <f>0.019/10000</f>
        <v>1.9E-6</v>
      </c>
      <c r="S32" s="8">
        <v>6.1199999999999996E-3</v>
      </c>
      <c r="T32" s="8">
        <f>1.4/100000</f>
        <v>1.4E-5</v>
      </c>
      <c r="U32" s="15">
        <v>16.403109086035915</v>
      </c>
      <c r="V32" s="8">
        <v>0.09</v>
      </c>
      <c r="W32" s="8" t="s">
        <v>101</v>
      </c>
      <c r="X32" s="8">
        <f>AVERAGE(U26:U33)</f>
        <v>11.20846382538746</v>
      </c>
      <c r="Y32" s="21">
        <v>0.16092902890173408</v>
      </c>
      <c r="Z32" s="21">
        <f>1.6/1000000</f>
        <v>1.6000000000000001E-6</v>
      </c>
      <c r="AA32" s="24">
        <v>0.16089999999999999</v>
      </c>
      <c r="AB32" s="24">
        <v>1.6000000000000001E-3</v>
      </c>
      <c r="AC32" s="30" t="s">
        <v>134</v>
      </c>
      <c r="AD32" s="21">
        <f>AVERAGE(Y26:Y33)</f>
        <v>0.22138238596820808</v>
      </c>
    </row>
    <row r="33" spans="1:34" s="12" customFormat="1" ht="15" thickBot="1" x14ac:dyDescent="0.35">
      <c r="A33" s="10"/>
      <c r="B33" s="10"/>
      <c r="C33" s="11" t="s">
        <v>17</v>
      </c>
      <c r="D33" s="10">
        <v>2500</v>
      </c>
      <c r="E33" s="10">
        <v>25</v>
      </c>
      <c r="F33" s="10">
        <v>200</v>
      </c>
      <c r="G33" s="10">
        <v>17.3</v>
      </c>
      <c r="H33" s="10" t="s">
        <v>24</v>
      </c>
      <c r="I33" s="10">
        <f t="shared" si="0"/>
        <v>4.2500000000000003E-3</v>
      </c>
      <c r="J33" s="16">
        <v>7.6516611973216522</v>
      </c>
      <c r="K33" s="10">
        <v>0.27100000000000002</v>
      </c>
      <c r="L33" s="10">
        <v>3.0000000000000001E-3</v>
      </c>
      <c r="M33" s="16">
        <v>3.69</v>
      </c>
      <c r="N33" s="16">
        <v>0.04</v>
      </c>
      <c r="O33" s="24" t="s">
        <v>71</v>
      </c>
      <c r="P33" s="10">
        <f>_xlfn.STDEV.P(M26:M33)</f>
        <v>0.61329544728426955</v>
      </c>
      <c r="Q33" s="10">
        <f>-4.11/10000</f>
        <v>-4.1100000000000002E-4</v>
      </c>
      <c r="R33" s="10">
        <f>0.03/10000</f>
        <v>3.0000000000000001E-6</v>
      </c>
      <c r="S33" s="10">
        <v>5.2700000000000004E-3</v>
      </c>
      <c r="T33" s="10">
        <f>1.4/100000</f>
        <v>1.4E-5</v>
      </c>
      <c r="U33" s="16">
        <v>12.822384428223845</v>
      </c>
      <c r="V33" s="16">
        <v>0.1</v>
      </c>
      <c r="W33" s="8" t="s">
        <v>102</v>
      </c>
      <c r="X33" s="10">
        <f>_xlfn.STDEV.P(U26:U33)</f>
        <v>2.8564307124341535</v>
      </c>
      <c r="Y33" s="23">
        <v>0.19528439306358383</v>
      </c>
      <c r="Z33" s="23">
        <f>3/1000000</f>
        <v>3.0000000000000001E-6</v>
      </c>
      <c r="AA33" s="27">
        <v>0.19500000000000001</v>
      </c>
      <c r="AB33" s="27">
        <v>3.0000000000000001E-3</v>
      </c>
      <c r="AC33" s="30" t="s">
        <v>135</v>
      </c>
      <c r="AD33" s="10">
        <f>_xlfn.STDEV.P(Y26:Y33)</f>
        <v>9.7835746059268563E-2</v>
      </c>
      <c r="AE33" s="10"/>
      <c r="AF33" s="10"/>
      <c r="AG33" s="10"/>
      <c r="AH33" s="10"/>
    </row>
    <row r="35" spans="1:34" x14ac:dyDescent="0.3">
      <c r="J35" s="15">
        <v>1000</v>
      </c>
    </row>
    <row r="36" spans="1:34" x14ac:dyDescent="0.3">
      <c r="R36" s="8">
        <f>2*Y32*R32/ABS(Q32)</f>
        <v>1.6390520231213872E-3</v>
      </c>
    </row>
  </sheetData>
  <pageMargins left="0.7" right="0.7" top="0.75" bottom="0.75" header="0.3" footer="0.3"/>
  <ignoredErrors>
    <ignoredError sqref="C18:C25 C10:C17 C2:C9 C26:C33" numberStoredAsText="1"/>
    <ignoredError sqref="R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 Bandurist</cp:lastModifiedBy>
  <dcterms:created xsi:type="dcterms:W3CDTF">2015-06-05T18:17:20Z</dcterms:created>
  <dcterms:modified xsi:type="dcterms:W3CDTF">2024-01-22T16:34:24Z</dcterms:modified>
</cp:coreProperties>
</file>