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esktop\Master_Thesis\Mikhail_Bandurist_Transistors\15012024_Barcelona_Samples\"/>
    </mc:Choice>
  </mc:AlternateContent>
  <xr:revisionPtr revIDLastSave="0" documentId="13_ncr:1_{A89EB5C3-E482-4857-94A3-29B413D541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P35" i="1"/>
  <c r="U35" i="1" s="1"/>
  <c r="S34" i="1"/>
  <c r="R34" i="1"/>
  <c r="Q34" i="1"/>
  <c r="U34" i="1" s="1"/>
  <c r="P34" i="1"/>
  <c r="S33" i="1"/>
  <c r="R33" i="1"/>
  <c r="Q33" i="1"/>
  <c r="U33" i="1" s="1"/>
  <c r="P33" i="1"/>
  <c r="U32" i="1"/>
  <c r="T34" i="1"/>
  <c r="T35" i="1"/>
  <c r="T32" i="1"/>
  <c r="S32" i="1"/>
  <c r="R32" i="1"/>
  <c r="Q32" i="1"/>
  <c r="P32" i="1"/>
  <c r="I101" i="1"/>
  <c r="I99" i="1"/>
  <c r="D101" i="1"/>
  <c r="D99" i="1"/>
  <c r="D95" i="1"/>
  <c r="G95" i="1" s="1"/>
  <c r="C95" i="1"/>
  <c r="E94" i="1"/>
  <c r="D94" i="1"/>
  <c r="C94" i="1"/>
  <c r="F93" i="1"/>
  <c r="E93" i="1"/>
  <c r="D93" i="1"/>
  <c r="C93" i="1"/>
  <c r="F92" i="1"/>
  <c r="E92" i="1"/>
  <c r="D92" i="1"/>
  <c r="H92" i="1" s="1"/>
  <c r="C92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H85" i="1" s="1"/>
  <c r="C85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H78" i="1" s="1"/>
  <c r="C78" i="1"/>
  <c r="C65" i="1"/>
  <c r="F67" i="1"/>
  <c r="E67" i="1"/>
  <c r="D67" i="1"/>
  <c r="C67" i="1"/>
  <c r="F66" i="1"/>
  <c r="E66" i="1"/>
  <c r="D66" i="1"/>
  <c r="F65" i="1"/>
  <c r="E65" i="1"/>
  <c r="D65" i="1"/>
  <c r="E64" i="1"/>
  <c r="D64" i="1"/>
  <c r="C64" i="1"/>
  <c r="H64" i="1" s="1"/>
  <c r="F60" i="1"/>
  <c r="E60" i="1"/>
  <c r="D60" i="1"/>
  <c r="C60" i="1"/>
  <c r="E59" i="1"/>
  <c r="G59" i="1" s="1"/>
  <c r="D59" i="1"/>
  <c r="C59" i="1"/>
  <c r="F58" i="1"/>
  <c r="E58" i="1"/>
  <c r="D58" i="1"/>
  <c r="C58" i="1"/>
  <c r="F57" i="1"/>
  <c r="E57" i="1"/>
  <c r="D57" i="1"/>
  <c r="C57" i="1"/>
  <c r="G57" i="1" s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E42" i="1"/>
  <c r="D42" i="1"/>
  <c r="C42" i="1"/>
  <c r="E41" i="1"/>
  <c r="D41" i="1"/>
  <c r="C41" i="1"/>
  <c r="E40" i="1"/>
  <c r="D40" i="1"/>
  <c r="C40" i="1"/>
  <c r="E39" i="1"/>
  <c r="D39" i="1"/>
  <c r="C39" i="1"/>
  <c r="F35" i="1"/>
  <c r="E35" i="1"/>
  <c r="D35" i="1"/>
  <c r="F34" i="1"/>
  <c r="E34" i="1"/>
  <c r="D34" i="1"/>
  <c r="C34" i="1"/>
  <c r="F33" i="1"/>
  <c r="E33" i="1"/>
  <c r="D33" i="1"/>
  <c r="C33" i="1"/>
  <c r="F32" i="1"/>
  <c r="E32" i="1"/>
  <c r="D32" i="1"/>
  <c r="C32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28" i="1"/>
  <c r="E28" i="1"/>
  <c r="D28" i="1"/>
  <c r="F27" i="1"/>
  <c r="E27" i="1"/>
  <c r="D27" i="1"/>
  <c r="F26" i="1"/>
  <c r="E26" i="1"/>
  <c r="D26" i="1"/>
  <c r="F25" i="1"/>
  <c r="E25" i="1"/>
  <c r="D25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C4" i="1"/>
  <c r="D4" i="1"/>
  <c r="F14" i="1"/>
  <c r="E14" i="1"/>
  <c r="D14" i="1"/>
  <c r="C14" i="1"/>
  <c r="F13" i="1"/>
  <c r="E13" i="1"/>
  <c r="D13" i="1"/>
  <c r="C13" i="1"/>
  <c r="E12" i="1"/>
  <c r="F12" i="1"/>
  <c r="D12" i="1"/>
  <c r="C12" i="1"/>
  <c r="E11" i="1"/>
  <c r="F11" i="1"/>
  <c r="D11" i="1"/>
  <c r="C11" i="1"/>
  <c r="T33" i="1" l="1"/>
  <c r="H60" i="1"/>
  <c r="H65" i="1"/>
  <c r="H57" i="1"/>
  <c r="G58" i="1"/>
  <c r="G64" i="1"/>
  <c r="G78" i="1"/>
  <c r="G85" i="1"/>
  <c r="G92" i="1"/>
  <c r="H94" i="1"/>
  <c r="G60" i="1"/>
  <c r="H67" i="1"/>
  <c r="G32" i="1"/>
  <c r="H39" i="1"/>
  <c r="H46" i="1"/>
  <c r="G48" i="1"/>
  <c r="H66" i="1"/>
  <c r="G67" i="1"/>
  <c r="G87" i="1"/>
  <c r="H95" i="1"/>
  <c r="H93" i="1"/>
  <c r="G94" i="1"/>
  <c r="G93" i="1"/>
  <c r="H88" i="1"/>
  <c r="G88" i="1"/>
  <c r="H87" i="1"/>
  <c r="H86" i="1"/>
  <c r="G86" i="1"/>
  <c r="H81" i="1"/>
  <c r="G81" i="1"/>
  <c r="H80" i="1"/>
  <c r="G80" i="1"/>
  <c r="H79" i="1"/>
  <c r="G79" i="1"/>
  <c r="G65" i="1"/>
  <c r="G66" i="1"/>
  <c r="H59" i="1"/>
  <c r="H58" i="1"/>
  <c r="H32" i="1"/>
  <c r="G34" i="1"/>
  <c r="G39" i="1"/>
  <c r="H41" i="1"/>
  <c r="G42" i="1"/>
  <c r="H33" i="1"/>
  <c r="H35" i="1"/>
  <c r="G40" i="1"/>
  <c r="G46" i="1"/>
  <c r="G47" i="1"/>
  <c r="H42" i="1"/>
  <c r="H49" i="1"/>
  <c r="G49" i="1"/>
  <c r="H48" i="1"/>
  <c r="H47" i="1"/>
  <c r="G41" i="1"/>
  <c r="H40" i="1"/>
  <c r="G35" i="1"/>
  <c r="H34" i="1"/>
  <c r="G33" i="1"/>
  <c r="G25" i="1"/>
  <c r="G27" i="1"/>
  <c r="G14" i="1"/>
  <c r="G5" i="1"/>
  <c r="G18" i="1"/>
  <c r="G26" i="1"/>
  <c r="H14" i="1"/>
  <c r="H5" i="1"/>
  <c r="G72" i="1"/>
  <c r="H74" i="1"/>
  <c r="H4" i="1"/>
  <c r="H18" i="1"/>
  <c r="H11" i="1"/>
  <c r="H25" i="1"/>
  <c r="G11" i="1"/>
  <c r="G4" i="1"/>
  <c r="H26" i="1"/>
  <c r="H27" i="1"/>
  <c r="G12" i="1"/>
  <c r="H28" i="1"/>
  <c r="G74" i="1"/>
  <c r="H73" i="1"/>
  <c r="G73" i="1"/>
  <c r="H72" i="1"/>
  <c r="H71" i="1"/>
  <c r="G71" i="1"/>
  <c r="G28" i="1"/>
  <c r="H21" i="1"/>
  <c r="G21" i="1"/>
  <c r="H20" i="1"/>
  <c r="G20" i="1"/>
  <c r="H19" i="1"/>
  <c r="G19" i="1"/>
  <c r="G7" i="1"/>
  <c r="H7" i="1"/>
  <c r="G6" i="1"/>
  <c r="H6" i="1"/>
  <c r="G13" i="1"/>
  <c r="H13" i="1"/>
  <c r="H12" i="1"/>
</calcChain>
</file>

<file path=xl/sharedStrings.xml><?xml version="1.0" encoding="utf-8"?>
<sst xmlns="http://schemas.openxmlformats.org/spreadsheetml/2006/main" count="165" uniqueCount="43">
  <si>
    <t>Ratio</t>
  </si>
  <si>
    <t>S5_d00</t>
  </si>
  <si>
    <t>I_Xray (A)</t>
  </si>
  <si>
    <t>Peak1</t>
  </si>
  <si>
    <t>Peak2</t>
  </si>
  <si>
    <t>Peak3</t>
  </si>
  <si>
    <t>Peak4</t>
  </si>
  <si>
    <t xml:space="preserve">|dI|_avg </t>
  </si>
  <si>
    <t>|dI|_err</t>
  </si>
  <si>
    <t>S5_d01</t>
  </si>
  <si>
    <t>S5_d10</t>
  </si>
  <si>
    <t>(10^-7)</t>
  </si>
  <si>
    <t>DR_40kV_17cm (uGy/s)</t>
  </si>
  <si>
    <t>S5_d11</t>
  </si>
  <si>
    <t>Sensitivity/Area (10^3 * uC/(Gy*cm^2)</t>
  </si>
  <si>
    <t>3.3±0.7</t>
  </si>
  <si>
    <t>3.3±1.2</t>
  </si>
  <si>
    <t>3.0±0.2</t>
  </si>
  <si>
    <t>6.2±0.3</t>
  </si>
  <si>
    <t>S11_d00</t>
  </si>
  <si>
    <t>S12_d00</t>
  </si>
  <si>
    <t>1.74±0.12</t>
  </si>
  <si>
    <t>S6_d00</t>
  </si>
  <si>
    <t>S6_d10</t>
  </si>
  <si>
    <t>S6_d11</t>
  </si>
  <si>
    <t>Dose rate (uGy/s)</t>
  </si>
  <si>
    <t>2.1±0.4</t>
  </si>
  <si>
    <t>2.0±0.4</t>
  </si>
  <si>
    <t>4.11±0.04</t>
  </si>
  <si>
    <t>S11_d01</t>
  </si>
  <si>
    <t>3.3±0.4</t>
  </si>
  <si>
    <t>1.9±0.7</t>
  </si>
  <si>
    <t>S12_d10</t>
  </si>
  <si>
    <t>S12_d11</t>
  </si>
  <si>
    <t>S12_d10_2</t>
  </si>
  <si>
    <t>|Photocurrent| (10^-7 A)</t>
  </si>
  <si>
    <t>3.9±0.2</t>
  </si>
  <si>
    <t>I skipped this variant</t>
  </si>
  <si>
    <t>2.7±0.2</t>
  </si>
  <si>
    <t>Average Sensitivity</t>
  </si>
  <si>
    <t>Sensitivity</t>
  </si>
  <si>
    <t>Avg_sens_err</t>
  </si>
  <si>
    <t>Avg_Sens_err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</si>
</sst>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0" fillId="2" borderId="0" xfId="0" applyNumberFormat="1" applyFill="1"/>
    <xf numFmtId="20" fontId="1" fillId="2" borderId="0" xfId="0" applyNumberFormat="1" applyFon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"/>
  <sheetViews>
    <sheetView tabSelected="1" topLeftCell="A70" workbookViewId="0">
      <selection activeCell="J92" sqref="J92"/>
    </sheetView>
  </sheetViews>
  <sheetFormatPr defaultRowHeight="14.4" x14ac:dyDescent="0.3"/>
  <sheetData>
    <row r="1" spans="1:18" x14ac:dyDescent="0.3">
      <c r="A1" t="s">
        <v>0</v>
      </c>
      <c r="O1" t="s">
        <v>2</v>
      </c>
      <c r="P1" t="s">
        <v>12</v>
      </c>
    </row>
    <row r="2" spans="1:18" x14ac:dyDescent="0.3">
      <c r="A2" s="2">
        <v>0.7104166666666667</v>
      </c>
      <c r="B2" t="s">
        <v>1</v>
      </c>
      <c r="C2" s="1" t="s">
        <v>11</v>
      </c>
      <c r="O2">
        <v>100</v>
      </c>
      <c r="P2">
        <v>1271.55</v>
      </c>
    </row>
    <row r="3" spans="1:18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">
        <v>14</v>
      </c>
      <c r="O3">
        <v>200</v>
      </c>
      <c r="P3">
        <v>2620.9499999999998</v>
      </c>
    </row>
    <row r="4" spans="1:18" x14ac:dyDescent="0.3">
      <c r="B4">
        <v>500</v>
      </c>
      <c r="C4">
        <f>2.165-0.0304</f>
        <v>2.1345999999999998</v>
      </c>
      <c r="D4">
        <f>1.775-0.034</f>
        <v>1.7409999999999999</v>
      </c>
      <c r="E4">
        <f>1.272-0.01595</f>
        <v>1.2560500000000001</v>
      </c>
      <c r="F4">
        <f>0.9509+0.0314</f>
        <v>0.98229999999999995</v>
      </c>
      <c r="G4">
        <f>AVERAGE(C4:F4)</f>
        <v>1.5284874999999998</v>
      </c>
      <c r="H4">
        <f>_xlfn.STDEV.P(C4:F4)</f>
        <v>0.44302282725470343</v>
      </c>
      <c r="J4" t="s">
        <v>15</v>
      </c>
      <c r="O4">
        <v>350</v>
      </c>
      <c r="P4">
        <v>4644.62</v>
      </c>
    </row>
    <row r="5" spans="1:18" x14ac:dyDescent="0.3">
      <c r="B5">
        <v>350</v>
      </c>
      <c r="C5">
        <f>0.6329+0.0276</f>
        <v>0.66049999999999998</v>
      </c>
      <c r="D5">
        <f>0.9011+0.01244</f>
        <v>0.91354000000000002</v>
      </c>
      <c r="E5">
        <f>0.7283+0.00635</f>
        <v>0.73464999999999991</v>
      </c>
      <c r="F5">
        <f>0.6724+0.06157</f>
        <v>0.73397000000000001</v>
      </c>
      <c r="G5">
        <f t="shared" ref="G5:G7" si="0">AVERAGE(C5:F5)</f>
        <v>0.76066499999999992</v>
      </c>
      <c r="H5">
        <f t="shared" ref="H5:H7" si="1">_xlfn.STDEV.P(C5:F5)</f>
        <v>9.3264671902066318E-2</v>
      </c>
      <c r="O5">
        <v>500</v>
      </c>
      <c r="P5">
        <v>6660.5</v>
      </c>
    </row>
    <row r="6" spans="1:18" x14ac:dyDescent="0.3">
      <c r="B6">
        <v>200</v>
      </c>
      <c r="C6">
        <f>0.5637+0.0277</f>
        <v>0.59139999999999993</v>
      </c>
      <c r="D6">
        <f>0.5406-0.0706</f>
        <v>0.47</v>
      </c>
      <c r="E6">
        <f>0.4+0.0446</f>
        <v>0.4446</v>
      </c>
      <c r="F6">
        <f>0.283+0.027</f>
        <v>0.31</v>
      </c>
      <c r="G6">
        <f t="shared" si="0"/>
        <v>0.45399999999999996</v>
      </c>
      <c r="H6">
        <f t="shared" si="1"/>
        <v>9.9948886937274106E-2</v>
      </c>
      <c r="P6" t="s">
        <v>25</v>
      </c>
      <c r="R6" t="s">
        <v>35</v>
      </c>
    </row>
    <row r="7" spans="1:18" x14ac:dyDescent="0.3">
      <c r="B7">
        <v>100</v>
      </c>
      <c r="C7">
        <f>0.3268-0.053</f>
        <v>0.27379999999999999</v>
      </c>
      <c r="D7">
        <f>0.389-0.05219</f>
        <v>0.33681</v>
      </c>
      <c r="E7">
        <f>0.4129+0.03267</f>
        <v>0.44556999999999997</v>
      </c>
      <c r="F7">
        <f>0.3+0.008</f>
        <v>0.308</v>
      </c>
      <c r="G7">
        <f t="shared" si="0"/>
        <v>0.34104499999999999</v>
      </c>
      <c r="H7">
        <f t="shared" si="1"/>
        <v>6.4337533563232033E-2</v>
      </c>
      <c r="O7">
        <v>500</v>
      </c>
      <c r="P7">
        <v>6660.5</v>
      </c>
    </row>
    <row r="8" spans="1:18" x14ac:dyDescent="0.3">
      <c r="O8">
        <v>350</v>
      </c>
      <c r="P8">
        <v>4644.62</v>
      </c>
    </row>
    <row r="9" spans="1:18" x14ac:dyDescent="0.3">
      <c r="B9" t="s">
        <v>9</v>
      </c>
      <c r="C9" s="1" t="s">
        <v>11</v>
      </c>
      <c r="O9">
        <v>200</v>
      </c>
      <c r="P9">
        <v>2620.9499999999998</v>
      </c>
    </row>
    <row r="10" spans="1:18" x14ac:dyDescent="0.3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J10" t="s">
        <v>14</v>
      </c>
      <c r="O10">
        <v>100</v>
      </c>
      <c r="P10">
        <v>1271.55</v>
      </c>
    </row>
    <row r="11" spans="1:18" x14ac:dyDescent="0.3">
      <c r="B11">
        <v>500</v>
      </c>
      <c r="C11">
        <f>1.484-0.06</f>
        <v>1.4239999999999999</v>
      </c>
      <c r="D11">
        <f>1.189-0.035</f>
        <v>1.1540000000000001</v>
      </c>
      <c r="E11">
        <f>1.171+0.124</f>
        <v>1.2949999999999999</v>
      </c>
      <c r="F11">
        <f>0.98+0.155</f>
        <v>1.135</v>
      </c>
      <c r="G11">
        <f>AVERAGE(C11:F11)</f>
        <v>1.252</v>
      </c>
      <c r="H11">
        <f>_xlfn.STDEV.P(C11:F11)</f>
        <v>0.11696794432664014</v>
      </c>
      <c r="J11" t="s">
        <v>16</v>
      </c>
    </row>
    <row r="12" spans="1:18" x14ac:dyDescent="0.3">
      <c r="B12">
        <v>350</v>
      </c>
      <c r="C12">
        <f>0.617-0.024</f>
        <v>0.59299999999999997</v>
      </c>
      <c r="D12">
        <f>0.686+0.015</f>
        <v>0.70100000000000007</v>
      </c>
      <c r="E12">
        <f>0.53+0.086</f>
        <v>0.61599999999999999</v>
      </c>
      <c r="F12">
        <f>0.556+0.025</f>
        <v>0.58100000000000007</v>
      </c>
      <c r="G12">
        <f t="shared" ref="G12:G14" si="2">AVERAGE(C12:F12)</f>
        <v>0.62275000000000003</v>
      </c>
      <c r="H12">
        <f t="shared" ref="H12:H14" si="3">_xlfn.STDEV.P(C12:F12)</f>
        <v>4.6895495519292694E-2</v>
      </c>
    </row>
    <row r="13" spans="1:18" x14ac:dyDescent="0.3">
      <c r="B13">
        <v>200</v>
      </c>
      <c r="C13">
        <f>0.3+0.009</f>
        <v>0.309</v>
      </c>
      <c r="D13">
        <f>0.502-0.031</f>
        <v>0.47099999999999997</v>
      </c>
      <c r="E13">
        <f>0.53+0.019</f>
        <v>0.54900000000000004</v>
      </c>
      <c r="F13">
        <f>0.359-0.025</f>
        <v>0.33399999999999996</v>
      </c>
      <c r="G13">
        <f t="shared" si="2"/>
        <v>0.41575000000000006</v>
      </c>
      <c r="H13">
        <f t="shared" si="3"/>
        <v>9.8598618144474709E-2</v>
      </c>
    </row>
    <row r="14" spans="1:18" x14ac:dyDescent="0.3">
      <c r="B14">
        <v>100</v>
      </c>
      <c r="C14">
        <f>0.191+0.031</f>
        <v>0.222</v>
      </c>
      <c r="D14">
        <f>0.39-0.029</f>
        <v>0.36099999999999999</v>
      </c>
      <c r="E14">
        <f>0.302+0.072</f>
        <v>0.374</v>
      </c>
      <c r="F14">
        <f>0.196+0.0057</f>
        <v>0.20170000000000002</v>
      </c>
      <c r="G14">
        <f t="shared" si="2"/>
        <v>0.28967500000000002</v>
      </c>
      <c r="H14">
        <f t="shared" si="3"/>
        <v>7.8290273182560807E-2</v>
      </c>
    </row>
    <row r="16" spans="1:18" x14ac:dyDescent="0.3">
      <c r="B16" t="s">
        <v>10</v>
      </c>
    </row>
    <row r="17" spans="2:23" x14ac:dyDescent="0.3"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J17" t="s">
        <v>14</v>
      </c>
    </row>
    <row r="18" spans="2:23" x14ac:dyDescent="0.3">
      <c r="B18">
        <v>500</v>
      </c>
      <c r="C18">
        <f>0.826+0.0639</f>
        <v>0.88989999999999991</v>
      </c>
      <c r="D18">
        <f>1.148+0.003</f>
        <v>1.1509999999999998</v>
      </c>
      <c r="E18">
        <f>0.9112+0.1458</f>
        <v>1.0569999999999999</v>
      </c>
      <c r="F18">
        <f>0.7802+0.1175</f>
        <v>0.89769999999999994</v>
      </c>
      <c r="G18">
        <f>AVERAGE(C18:F18)</f>
        <v>0.9988999999999999</v>
      </c>
      <c r="H18">
        <f>_xlfn.STDEV.P(C18:F18)</f>
        <v>0.1102638426683928</v>
      </c>
      <c r="J18" t="s">
        <v>17</v>
      </c>
    </row>
    <row r="19" spans="2:23" x14ac:dyDescent="0.3">
      <c r="B19">
        <v>350</v>
      </c>
      <c r="C19">
        <f>0.56-0.00138</f>
        <v>0.55862000000000001</v>
      </c>
      <c r="D19">
        <f>0.685+0.132</f>
        <v>0.81700000000000006</v>
      </c>
      <c r="E19">
        <f>0.585+0.08</f>
        <v>0.66499999999999992</v>
      </c>
      <c r="F19">
        <f>0.4529+0.212</f>
        <v>0.66490000000000005</v>
      </c>
      <c r="G19">
        <f t="shared" ref="G19:G21" si="4">AVERAGE(C19:F19)</f>
        <v>0.67637999999999998</v>
      </c>
      <c r="H19">
        <f t="shared" ref="H19:H21" si="5">_xlfn.STDEV.P(C19:F19)</f>
        <v>9.2063424876549435E-2</v>
      </c>
    </row>
    <row r="20" spans="2:23" x14ac:dyDescent="0.3">
      <c r="B20">
        <v>200</v>
      </c>
      <c r="C20">
        <f>0.3466+0.02387</f>
        <v>0.37047000000000002</v>
      </c>
      <c r="D20">
        <f>0.54-0.0115</f>
        <v>0.52850000000000008</v>
      </c>
      <c r="E20">
        <f>0.375+0.1373</f>
        <v>0.51229999999999998</v>
      </c>
      <c r="F20">
        <f>0.2624+0.118</f>
        <v>0.38040000000000002</v>
      </c>
      <c r="G20">
        <f t="shared" si="4"/>
        <v>0.44791750000000002</v>
      </c>
      <c r="H20">
        <f t="shared" si="5"/>
        <v>7.279315502676062E-2</v>
      </c>
    </row>
    <row r="21" spans="2:23" x14ac:dyDescent="0.3">
      <c r="B21">
        <v>100</v>
      </c>
      <c r="C21">
        <f>0.277+0.03298</f>
        <v>0.30998000000000003</v>
      </c>
      <c r="D21">
        <f>0.4798-0.05594</f>
        <v>0.42386000000000001</v>
      </c>
      <c r="E21">
        <f>0.28+0.0443</f>
        <v>0.32430000000000003</v>
      </c>
      <c r="F21">
        <f>0.0788+0.0962</f>
        <v>0.17499999999999999</v>
      </c>
      <c r="G21">
        <f t="shared" si="4"/>
        <v>0.30828500000000003</v>
      </c>
      <c r="H21">
        <f t="shared" si="5"/>
        <v>8.8574580298187114E-2</v>
      </c>
    </row>
    <row r="23" spans="2:23" x14ac:dyDescent="0.3">
      <c r="B23" t="s">
        <v>13</v>
      </c>
      <c r="C23" s="1" t="s">
        <v>11</v>
      </c>
    </row>
    <row r="24" spans="2:23" x14ac:dyDescent="0.3"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J24" t="s">
        <v>14</v>
      </c>
    </row>
    <row r="25" spans="2:23" x14ac:dyDescent="0.3">
      <c r="B25">
        <v>500</v>
      </c>
      <c r="D25">
        <f>0.9504+0.514</f>
        <v>1.4643999999999999</v>
      </c>
      <c r="E25">
        <f>0.689+0.9879</f>
        <v>1.6768999999999998</v>
      </c>
      <c r="F25">
        <f>0.5188+1.069</f>
        <v>1.5878000000000001</v>
      </c>
      <c r="G25">
        <f>AVERAGE(C25:F25)</f>
        <v>1.5763666666666667</v>
      </c>
      <c r="H25">
        <f>_xlfn.STDEV.P(C25:F25)</f>
        <v>8.71286532790575E-2</v>
      </c>
      <c r="J25" t="s">
        <v>18</v>
      </c>
    </row>
    <row r="26" spans="2:23" x14ac:dyDescent="0.3">
      <c r="B26">
        <v>350</v>
      </c>
      <c r="D26">
        <f>0.392+0.69</f>
        <v>1.0819999999999999</v>
      </c>
      <c r="E26">
        <f>0.4333+0.7221</f>
        <v>1.1554</v>
      </c>
      <c r="F26">
        <f>0.3754+0.8438</f>
        <v>1.2192000000000001</v>
      </c>
      <c r="G26">
        <f t="shared" ref="G26:G28" si="6">AVERAGE(C26:F26)</f>
        <v>1.1521999999999999</v>
      </c>
      <c r="H26">
        <f t="shared" ref="H26:H28" si="7">_xlfn.STDEV.P(C26:F26)</f>
        <v>5.6057351584486013E-2</v>
      </c>
    </row>
    <row r="27" spans="2:23" x14ac:dyDescent="0.3">
      <c r="B27">
        <v>200</v>
      </c>
      <c r="D27">
        <f>0.4161+0.174</f>
        <v>0.59010000000000007</v>
      </c>
      <c r="E27">
        <f>0.2871+0.4</f>
        <v>0.68710000000000004</v>
      </c>
      <c r="F27">
        <f>0.2379+0.3999</f>
        <v>0.63779999999999992</v>
      </c>
      <c r="G27">
        <f t="shared" si="6"/>
        <v>0.63833333333333331</v>
      </c>
      <c r="H27">
        <f t="shared" si="7"/>
        <v>3.9601879865593353E-2</v>
      </c>
    </row>
    <row r="28" spans="2:23" x14ac:dyDescent="0.3">
      <c r="B28">
        <v>100</v>
      </c>
      <c r="D28">
        <f>0.199+0.02947</f>
        <v>0.22847000000000001</v>
      </c>
      <c r="E28">
        <f>0.1549+0.10245</f>
        <v>0.25735000000000002</v>
      </c>
      <c r="F28">
        <f>0.09328+0.1326</f>
        <v>0.22588</v>
      </c>
      <c r="G28">
        <f t="shared" si="6"/>
        <v>0.23723333333333332</v>
      </c>
      <c r="H28">
        <f t="shared" si="7"/>
        <v>1.426387589526619E-2</v>
      </c>
    </row>
    <row r="30" spans="2:23" x14ac:dyDescent="0.3">
      <c r="B30" t="s">
        <v>22</v>
      </c>
      <c r="C30" s="1" t="s">
        <v>11</v>
      </c>
      <c r="O30" t="s">
        <v>22</v>
      </c>
      <c r="P30" s="1" t="s">
        <v>11</v>
      </c>
    </row>
    <row r="31" spans="2:23" x14ac:dyDescent="0.3"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J31" t="s">
        <v>14</v>
      </c>
      <c r="O31" t="s">
        <v>2</v>
      </c>
      <c r="P31" t="s">
        <v>3</v>
      </c>
      <c r="Q31" t="s">
        <v>4</v>
      </c>
      <c r="R31" t="s">
        <v>5</v>
      </c>
      <c r="S31" t="s">
        <v>6</v>
      </c>
      <c r="T31" t="s">
        <v>7</v>
      </c>
      <c r="U31" t="s">
        <v>8</v>
      </c>
      <c r="W31" t="s">
        <v>14</v>
      </c>
    </row>
    <row r="32" spans="2:23" x14ac:dyDescent="0.3">
      <c r="B32">
        <v>500</v>
      </c>
      <c r="C32">
        <f>0.6899-0.0277789</f>
        <v>0.66212109999999991</v>
      </c>
      <c r="D32">
        <f>0.4274+0.33557</f>
        <v>0.76296999999999993</v>
      </c>
      <c r="E32">
        <f>0.2367+0.5133</f>
        <v>0.75</v>
      </c>
      <c r="F32">
        <f>0.2412+0.5188</f>
        <v>0.76</v>
      </c>
      <c r="G32">
        <f>AVERAGE(C32:F32)</f>
        <v>0.73377277500000004</v>
      </c>
      <c r="H32">
        <f>_xlfn.STDEV.P(C32:F32)</f>
        <v>4.1646220237878465E-2</v>
      </c>
      <c r="J32" t="s">
        <v>26</v>
      </c>
      <c r="O32">
        <v>500</v>
      </c>
      <c r="P32">
        <f>0.71982-0.1474</f>
        <v>0.57242000000000004</v>
      </c>
      <c r="Q32">
        <f>0.63003+0.0111443</f>
        <v>0.64117429999999997</v>
      </c>
      <c r="R32">
        <f>0.6054+0.07055</f>
        <v>0.67595000000000005</v>
      </c>
      <c r="S32">
        <f>0.73576-0.036356</f>
        <v>0.69940399999999991</v>
      </c>
      <c r="T32">
        <f>AVERAGE(P32:S32)</f>
        <v>0.64723707500000005</v>
      </c>
      <c r="U32">
        <f>_xlfn.STDEV.P(P32:S32)</f>
        <v>4.7906607264205973E-2</v>
      </c>
    </row>
    <row r="33" spans="2:21" x14ac:dyDescent="0.3">
      <c r="B33">
        <v>350</v>
      </c>
      <c r="C33">
        <f>0.44554+0.27568</f>
        <v>0.72121999999999997</v>
      </c>
      <c r="D33">
        <f>0.3024+0.446</f>
        <v>0.74839999999999995</v>
      </c>
      <c r="E33">
        <f>0.14341+0.54281</f>
        <v>0.68622000000000005</v>
      </c>
      <c r="F33">
        <f>0.1389+0.4974</f>
        <v>0.63629999999999998</v>
      </c>
      <c r="G33">
        <f t="shared" ref="G33:G35" si="8">AVERAGE(C33:F33)</f>
        <v>0.69803499999999996</v>
      </c>
      <c r="H33">
        <f t="shared" ref="H33:H35" si="9">_xlfn.STDEV.P(C33:F33)</f>
        <v>4.1907582547791977E-2</v>
      </c>
      <c r="O33">
        <v>350</v>
      </c>
      <c r="P33">
        <f>0.5898+0.03864</f>
        <v>0.62844</v>
      </c>
      <c r="Q33">
        <f>0.68287-0.0322</f>
        <v>0.65066999999999997</v>
      </c>
      <c r="R33">
        <f>0.67336+0.010905</f>
        <v>0.68426500000000001</v>
      </c>
      <c r="S33">
        <f>0.6778+0.0325</f>
        <v>0.71029999999999993</v>
      </c>
      <c r="T33">
        <f t="shared" ref="T33:T35" si="10">AVERAGE(P33:S33)</f>
        <v>0.66841875000000006</v>
      </c>
      <c r="U33">
        <f t="shared" ref="U33:U35" si="11">_xlfn.STDEV.P(P33:S33)</f>
        <v>3.1298807160776897E-2</v>
      </c>
    </row>
    <row r="34" spans="2:21" x14ac:dyDescent="0.3">
      <c r="B34">
        <v>200</v>
      </c>
      <c r="C34">
        <f>0.22316+0.03411</f>
        <v>0.25727</v>
      </c>
      <c r="D34">
        <f>0.22535+0.22708</f>
        <v>0.45243</v>
      </c>
      <c r="E34">
        <f>0.12224+0.33454</f>
        <v>0.45678000000000002</v>
      </c>
      <c r="F34">
        <f>0.1924+0.25899</f>
        <v>0.45138999999999996</v>
      </c>
      <c r="G34">
        <f t="shared" si="8"/>
        <v>0.40446749999999998</v>
      </c>
      <c r="H34">
        <f t="shared" si="9"/>
        <v>8.5008564384713575E-2</v>
      </c>
      <c r="O34">
        <v>200</v>
      </c>
      <c r="P34">
        <f>0.267-0.05836</f>
        <v>0.20864000000000002</v>
      </c>
      <c r="Q34">
        <f>0.3547+0.08414</f>
        <v>0.43884000000000001</v>
      </c>
      <c r="R34">
        <f>0.3284+0.07952</f>
        <v>0.40792</v>
      </c>
      <c r="S34">
        <f>0.4633-0.01833</f>
        <v>0.44496999999999998</v>
      </c>
      <c r="T34">
        <f t="shared" si="10"/>
        <v>0.37509250000000005</v>
      </c>
      <c r="U34">
        <f t="shared" si="11"/>
        <v>9.7121944321301459E-2</v>
      </c>
    </row>
    <row r="35" spans="2:21" x14ac:dyDescent="0.3">
      <c r="B35">
        <v>100</v>
      </c>
      <c r="D35">
        <f>0.1298+0.1289</f>
        <v>0.25869999999999999</v>
      </c>
      <c r="E35">
        <f>0.146469+0.13065</f>
        <v>0.277119</v>
      </c>
      <c r="F35">
        <f>0.164222+0.17685</f>
        <v>0.34107200000000004</v>
      </c>
      <c r="G35">
        <f t="shared" si="8"/>
        <v>0.29229700000000003</v>
      </c>
      <c r="H35">
        <f t="shared" si="9"/>
        <v>3.5299342382920589E-2</v>
      </c>
      <c r="O35">
        <v>100</v>
      </c>
      <c r="P35">
        <f>0.18144+0.04606</f>
        <v>0.22749999999999998</v>
      </c>
      <c r="Q35">
        <f>0.3529-0.00827</f>
        <v>0.34462999999999999</v>
      </c>
      <c r="T35">
        <f t="shared" si="10"/>
        <v>0.28606500000000001</v>
      </c>
      <c r="U35">
        <f t="shared" si="11"/>
        <v>5.8564999999999867E-2</v>
      </c>
    </row>
    <row r="37" spans="2:21" x14ac:dyDescent="0.3">
      <c r="B37" t="s">
        <v>23</v>
      </c>
      <c r="C37" s="1" t="s">
        <v>11</v>
      </c>
    </row>
    <row r="38" spans="2:21" x14ac:dyDescent="0.3"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J38" t="s">
        <v>14</v>
      </c>
    </row>
    <row r="39" spans="2:21" x14ac:dyDescent="0.3">
      <c r="B39">
        <v>500</v>
      </c>
      <c r="C39">
        <f>0.4652+0.081652</f>
        <v>0.546852</v>
      </c>
      <c r="D39">
        <f>0.3067333+0.3783</f>
        <v>0.68503329999999996</v>
      </c>
      <c r="E39">
        <f>0.21543+0.517</f>
        <v>0.73243000000000003</v>
      </c>
      <c r="G39">
        <f>AVERAGE(C39:F39)</f>
        <v>0.6547717666666667</v>
      </c>
      <c r="H39">
        <f>_xlfn.STDEV.P(C39:F39)</f>
        <v>7.8725763765802204E-2</v>
      </c>
      <c r="J39" t="s">
        <v>27</v>
      </c>
    </row>
    <row r="40" spans="2:21" x14ac:dyDescent="0.3">
      <c r="B40">
        <v>350</v>
      </c>
      <c r="C40">
        <f>0.2942+0.11964</f>
        <v>0.41383999999999999</v>
      </c>
      <c r="D40">
        <f>0.25636+0.25288</f>
        <v>0.50923999999999991</v>
      </c>
      <c r="E40">
        <f>0.1774+0.2908</f>
        <v>0.46820000000000001</v>
      </c>
      <c r="G40">
        <f t="shared" ref="G40:G42" si="12">AVERAGE(C40:F40)</f>
        <v>0.46375999999999995</v>
      </c>
      <c r="H40">
        <f t="shared" ref="H40:H42" si="13">_xlfn.STDEV.P(C40:F40)</f>
        <v>3.9073223568065099E-2</v>
      </c>
    </row>
    <row r="41" spans="2:21" x14ac:dyDescent="0.3">
      <c r="B41">
        <v>200</v>
      </c>
      <c r="C41">
        <f>0.15576+0.04525</f>
        <v>0.20101000000000002</v>
      </c>
      <c r="D41">
        <f>0.14826+0.095352</f>
        <v>0.243612</v>
      </c>
      <c r="E41">
        <f>0.17975+0.0410156</f>
        <v>0.22076560000000001</v>
      </c>
      <c r="G41">
        <f t="shared" si="12"/>
        <v>0.2217958666666667</v>
      </c>
      <c r="H41">
        <f t="shared" si="13"/>
        <v>1.7407444538727921E-2</v>
      </c>
    </row>
    <row r="42" spans="2:21" x14ac:dyDescent="0.3">
      <c r="B42">
        <v>100</v>
      </c>
      <c r="C42">
        <f>0.18786-0.01136</f>
        <v>0.17649999999999999</v>
      </c>
      <c r="D42">
        <f>0.076206+0.1025</f>
        <v>0.17870599999999998</v>
      </c>
      <c r="E42">
        <f>0.08618+0.047</f>
        <v>0.13318000000000002</v>
      </c>
      <c r="G42">
        <f t="shared" si="12"/>
        <v>0.16279533333333332</v>
      </c>
      <c r="H42">
        <f t="shared" si="13"/>
        <v>2.0960559555720123E-2</v>
      </c>
    </row>
    <row r="44" spans="2:21" x14ac:dyDescent="0.3">
      <c r="B44" t="s">
        <v>24</v>
      </c>
      <c r="C44" s="1" t="s">
        <v>11</v>
      </c>
    </row>
    <row r="45" spans="2:21" x14ac:dyDescent="0.3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J45" t="s">
        <v>14</v>
      </c>
    </row>
    <row r="46" spans="2:21" x14ac:dyDescent="0.3">
      <c r="B46">
        <v>500</v>
      </c>
      <c r="C46">
        <f>0.39734+0.54695</f>
        <v>0.94429000000000007</v>
      </c>
      <c r="D46">
        <f>0.32965+0.87088</f>
        <v>1.2005300000000001</v>
      </c>
      <c r="E46">
        <f>0.31386+1.00636</f>
        <v>1.3202199999999999</v>
      </c>
      <c r="F46">
        <f>0.18565+1.0784</f>
        <v>1.2640500000000001</v>
      </c>
      <c r="G46">
        <f>AVERAGE(C46:F46)</f>
        <v>1.1822725000000001</v>
      </c>
      <c r="H46">
        <f>_xlfn.STDEV.P(C46:F46)</f>
        <v>0.14377593581246531</v>
      </c>
      <c r="J46" t="s">
        <v>28</v>
      </c>
    </row>
    <row r="47" spans="2:21" x14ac:dyDescent="0.3">
      <c r="B47">
        <v>350</v>
      </c>
      <c r="C47">
        <f>0.6577795-0.000525</f>
        <v>0.65725449999999996</v>
      </c>
      <c r="D47">
        <f>0.9599+0.00515</f>
        <v>0.96504999999999996</v>
      </c>
      <c r="E47">
        <f>0.80245-0.0314</f>
        <v>0.77105000000000001</v>
      </c>
      <c r="F47">
        <f>1.01975-0.0449</f>
        <v>0.97484999999999988</v>
      </c>
      <c r="G47">
        <f t="shared" ref="G47:G49" si="14">AVERAGE(C47:F47)</f>
        <v>0.84205112500000001</v>
      </c>
      <c r="H47">
        <f t="shared" ref="H47:H49" si="15">_xlfn.STDEV.P(C47:F47)</f>
        <v>0.13412234789100877</v>
      </c>
    </row>
    <row r="48" spans="2:21" x14ac:dyDescent="0.3">
      <c r="B48">
        <v>200</v>
      </c>
      <c r="C48">
        <f>0.1724+0.1914</f>
        <v>0.36380000000000001</v>
      </c>
      <c r="D48">
        <f>0.1698+0.4152</f>
        <v>0.58499999999999996</v>
      </c>
      <c r="E48">
        <f>0.025357+0.5003</f>
        <v>0.52565699999999993</v>
      </c>
      <c r="F48">
        <f>0.17997+0.2515</f>
        <v>0.43147000000000002</v>
      </c>
      <c r="G48">
        <f t="shared" si="14"/>
        <v>0.47648174999999998</v>
      </c>
      <c r="H48">
        <f t="shared" si="15"/>
        <v>8.5025952239228222E-2</v>
      </c>
    </row>
    <row r="49" spans="1:10" x14ac:dyDescent="0.3">
      <c r="B49">
        <v>100</v>
      </c>
      <c r="C49">
        <f>0.1181+0.0473</f>
        <v>0.16539999999999999</v>
      </c>
      <c r="D49">
        <f>0.1261+0.1764</f>
        <v>0.30249999999999999</v>
      </c>
      <c r="E49">
        <f>0.06591+0.248</f>
        <v>0.31391000000000002</v>
      </c>
      <c r="F49">
        <f>0.05156+0.1489</f>
        <v>0.20046</v>
      </c>
      <c r="G49">
        <f t="shared" si="14"/>
        <v>0.24556749999999999</v>
      </c>
      <c r="H49">
        <f t="shared" si="15"/>
        <v>6.397953085753294E-2</v>
      </c>
    </row>
    <row r="55" spans="1:10" x14ac:dyDescent="0.3">
      <c r="A55" s="3">
        <v>0.3756944444444445</v>
      </c>
      <c r="B55" t="s">
        <v>19</v>
      </c>
      <c r="C55" s="1" t="s">
        <v>11</v>
      </c>
    </row>
    <row r="56" spans="1:10" x14ac:dyDescent="0.3"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J56" t="s">
        <v>14</v>
      </c>
    </row>
    <row r="57" spans="1:10" x14ac:dyDescent="0.3">
      <c r="B57">
        <v>500</v>
      </c>
      <c r="C57">
        <f>1.29352-0.0304</f>
        <v>1.26312</v>
      </c>
      <c r="D57">
        <f>1.05016-0.027</f>
        <v>1.0231600000000001</v>
      </c>
      <c r="E57">
        <f>0.698+0.0158</f>
        <v>0.71379999999999999</v>
      </c>
      <c r="F57">
        <f>0.5262+0.1047</f>
        <v>0.63090000000000002</v>
      </c>
      <c r="G57">
        <f>AVERAGE(C57:F57)</f>
        <v>0.90774500000000002</v>
      </c>
      <c r="H57">
        <f>_xlfn.STDEV.P(C57:F57)</f>
        <v>0.25192748455656849</v>
      </c>
      <c r="J57" t="s">
        <v>31</v>
      </c>
    </row>
    <row r="58" spans="1:10" x14ac:dyDescent="0.3">
      <c r="B58">
        <v>350</v>
      </c>
      <c r="C58">
        <f>0.239-0.0204</f>
        <v>0.21859999999999999</v>
      </c>
      <c r="D58">
        <f>0.362+0.0289</f>
        <v>0.39089999999999997</v>
      </c>
      <c r="E58">
        <f>0.294+0.056</f>
        <v>0.35</v>
      </c>
      <c r="F58">
        <f>0.28302+0.1233</f>
        <v>0.40632000000000001</v>
      </c>
      <c r="G58">
        <f t="shared" ref="G58:G60" si="16">AVERAGE(C58:F58)</f>
        <v>0.34145499999999995</v>
      </c>
      <c r="H58">
        <f t="shared" ref="H58:H60" si="17">_xlfn.STDEV.P(C58:F58)</f>
        <v>7.3855677337629363E-2</v>
      </c>
    </row>
    <row r="59" spans="1:10" x14ac:dyDescent="0.3">
      <c r="B59">
        <v>200</v>
      </c>
      <c r="C59">
        <f>0.2+0.04266</f>
        <v>0.24266000000000001</v>
      </c>
      <c r="D59">
        <f>0.189+0.1192</f>
        <v>0.30820000000000003</v>
      </c>
      <c r="E59">
        <f>0.1523+0.08</f>
        <v>0.23230000000000001</v>
      </c>
      <c r="G59">
        <f t="shared" si="16"/>
        <v>0.26105333333333336</v>
      </c>
      <c r="H59">
        <f t="shared" si="17"/>
        <v>3.3604945403252061E-2</v>
      </c>
    </row>
    <row r="60" spans="1:10" x14ac:dyDescent="0.3">
      <c r="B60">
        <v>100</v>
      </c>
      <c r="C60">
        <f>0.0599+0.01958</f>
        <v>7.9479999999999995E-2</v>
      </c>
      <c r="D60">
        <f>0.209+0.01322</f>
        <v>0.22222</v>
      </c>
      <c r="E60">
        <f>0.1235+0.0184</f>
        <v>0.1419</v>
      </c>
      <c r="F60">
        <f>0.1388-0.01548</f>
        <v>0.12332000000000001</v>
      </c>
      <c r="G60">
        <f t="shared" si="16"/>
        <v>0.14172999999999999</v>
      </c>
      <c r="H60">
        <f t="shared" si="17"/>
        <v>5.1702658538995881E-2</v>
      </c>
    </row>
    <row r="62" spans="1:10" x14ac:dyDescent="0.3">
      <c r="B62" t="s">
        <v>29</v>
      </c>
      <c r="C62" s="1" t="s">
        <v>11</v>
      </c>
    </row>
    <row r="63" spans="1:10" x14ac:dyDescent="0.3"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J63" t="s">
        <v>14</v>
      </c>
    </row>
    <row r="64" spans="1:10" x14ac:dyDescent="0.3">
      <c r="B64">
        <v>500</v>
      </c>
      <c r="C64">
        <f>0.2849+0.5365</f>
        <v>0.82139999999999991</v>
      </c>
      <c r="D64">
        <f>0.3055+0.655</f>
        <v>0.96050000000000002</v>
      </c>
      <c r="E64">
        <f>0.14798+0.7034</f>
        <v>0.85138000000000003</v>
      </c>
      <c r="G64">
        <f>AVERAGE(C64:F64)</f>
        <v>0.87775999999999998</v>
      </c>
      <c r="H64">
        <f>_xlfn.STDEV.P(C64:F64)</f>
        <v>5.9772517653740094E-2</v>
      </c>
      <c r="J64" t="s">
        <v>30</v>
      </c>
    </row>
    <row r="65" spans="2:10" x14ac:dyDescent="0.3">
      <c r="B65">
        <v>350</v>
      </c>
      <c r="C65">
        <f>-0.1434+0.5855</f>
        <v>0.44210000000000005</v>
      </c>
      <c r="D65">
        <f>0.2797+0.5352</f>
        <v>0.81489999999999996</v>
      </c>
      <c r="E65">
        <f>0.1697+0.5798</f>
        <v>0.74949999999999994</v>
      </c>
      <c r="F65">
        <f>0.171158+0.6393</f>
        <v>0.81045800000000001</v>
      </c>
      <c r="G65">
        <f t="shared" ref="G65:G67" si="18">AVERAGE(C65:F65)</f>
        <v>0.70423950000000002</v>
      </c>
      <c r="H65">
        <f t="shared" ref="H65:H67" si="19">_xlfn.STDEV.P(C65:F65)</f>
        <v>0.15353643404986941</v>
      </c>
    </row>
    <row r="66" spans="2:10" x14ac:dyDescent="0.3">
      <c r="B66">
        <v>200</v>
      </c>
      <c r="D66">
        <f>0.1323+0.1372</f>
        <v>0.26949999999999996</v>
      </c>
      <c r="E66">
        <f>0.1083+0.1246</f>
        <v>0.2329</v>
      </c>
      <c r="F66">
        <f>0.14998</f>
        <v>0.14998</v>
      </c>
      <c r="G66">
        <f t="shared" si="18"/>
        <v>0.21745999999999999</v>
      </c>
      <c r="H66">
        <f t="shared" si="19"/>
        <v>5.0000351998760878E-2</v>
      </c>
    </row>
    <row r="67" spans="2:10" x14ac:dyDescent="0.3">
      <c r="B67">
        <v>100</v>
      </c>
      <c r="C67">
        <f>-0.0628+0.1433</f>
        <v>8.0500000000000016E-2</v>
      </c>
      <c r="D67">
        <f>0.0855+0.04165</f>
        <v>0.12715000000000001</v>
      </c>
      <c r="E67">
        <f>0.02998+0.1118</f>
        <v>0.14177999999999999</v>
      </c>
      <c r="F67">
        <f>0.05693+0.11647</f>
        <v>0.1734</v>
      </c>
      <c r="G67">
        <f t="shared" si="18"/>
        <v>0.1307075</v>
      </c>
      <c r="H67">
        <f t="shared" si="19"/>
        <v>3.3461540143125475E-2</v>
      </c>
    </row>
    <row r="69" spans="2:10" x14ac:dyDescent="0.3">
      <c r="B69" t="s">
        <v>20</v>
      </c>
      <c r="C69" s="1" t="s">
        <v>11</v>
      </c>
    </row>
    <row r="70" spans="2:10" x14ac:dyDescent="0.3"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J70" t="s">
        <v>14</v>
      </c>
    </row>
    <row r="71" spans="2:10" x14ac:dyDescent="0.3">
      <c r="B71">
        <v>500</v>
      </c>
      <c r="C71">
        <f>0.6345-0.0391</f>
        <v>0.59539999999999993</v>
      </c>
      <c r="D71">
        <f>0.4481+0.086</f>
        <v>0.53410000000000002</v>
      </c>
      <c r="E71">
        <f>0.2842+0.2495</f>
        <v>0.53370000000000006</v>
      </c>
      <c r="F71">
        <f>0.2635+0.2607</f>
        <v>0.5242</v>
      </c>
      <c r="G71">
        <f>AVERAGE(C71:F71)</f>
        <v>0.54685000000000006</v>
      </c>
      <c r="H71">
        <f>_xlfn.STDEV.P(C71:F71)</f>
        <v>2.8309053322214745E-2</v>
      </c>
      <c r="J71" t="s">
        <v>21</v>
      </c>
    </row>
    <row r="72" spans="2:10" x14ac:dyDescent="0.3">
      <c r="B72">
        <v>350</v>
      </c>
      <c r="C72">
        <f>0.3833-0.0971</f>
        <v>0.28619999999999995</v>
      </c>
      <c r="D72">
        <f>0.2849+0.1375</f>
        <v>0.4224</v>
      </c>
      <c r="E72">
        <f>0.1531+0.2713</f>
        <v>0.4244</v>
      </c>
      <c r="F72">
        <f>0.12672+0.3186</f>
        <v>0.44531999999999999</v>
      </c>
      <c r="G72">
        <f t="shared" ref="G72:G74" si="20">AVERAGE(C72:F72)</f>
        <v>0.39457999999999999</v>
      </c>
      <c r="H72">
        <f t="shared" ref="H72:H74" si="21">_xlfn.STDEV.P(C72:F72)</f>
        <v>6.3213837092839051E-2</v>
      </c>
    </row>
    <row r="73" spans="2:10" x14ac:dyDescent="0.3">
      <c r="B73">
        <v>200</v>
      </c>
      <c r="C73">
        <f>0.12925+0.0635</f>
        <v>0.19275</v>
      </c>
      <c r="D73">
        <f>0.1533+0.175</f>
        <v>0.32829999999999998</v>
      </c>
      <c r="E73">
        <f>0.05+0.2834</f>
        <v>0.33339999999999997</v>
      </c>
      <c r="F73">
        <f>0.04441+0.271</f>
        <v>0.31541000000000002</v>
      </c>
      <c r="G73">
        <f t="shared" si="20"/>
        <v>0.29246499999999997</v>
      </c>
      <c r="H73">
        <f t="shared" si="21"/>
        <v>5.7942591631717853E-2</v>
      </c>
    </row>
    <row r="74" spans="2:10" x14ac:dyDescent="0.3">
      <c r="B74">
        <v>100</v>
      </c>
      <c r="C74">
        <f>0.0387+0.03387</f>
        <v>7.2569999999999996E-2</v>
      </c>
      <c r="D74">
        <f>0.06922+0.0877</f>
        <v>0.15692</v>
      </c>
      <c r="E74">
        <f>0.0478+0.1366</f>
        <v>0.18440000000000001</v>
      </c>
      <c r="F74">
        <f>0.02314+0.0937</f>
        <v>0.11684</v>
      </c>
      <c r="G74">
        <f t="shared" si="20"/>
        <v>0.13268249999999998</v>
      </c>
      <c r="H74">
        <f t="shared" si="21"/>
        <v>4.2209755018834283E-2</v>
      </c>
    </row>
    <row r="76" spans="2:10" x14ac:dyDescent="0.3">
      <c r="B76" t="s">
        <v>32</v>
      </c>
      <c r="C76" s="1" t="s">
        <v>11</v>
      </c>
    </row>
    <row r="77" spans="2:10" x14ac:dyDescent="0.3">
      <c r="B77" t="s">
        <v>2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J77" t="s">
        <v>14</v>
      </c>
    </row>
    <row r="78" spans="2:10" x14ac:dyDescent="0.3">
      <c r="B78">
        <v>500</v>
      </c>
      <c r="C78">
        <f>0.8287+0.2383</f>
        <v>1.0669999999999999</v>
      </c>
      <c r="D78">
        <f>0.7742+0.3445</f>
        <v>1.1187</v>
      </c>
      <c r="E78">
        <f>0.5552+0.6257</f>
        <v>1.1809000000000001</v>
      </c>
      <c r="F78">
        <f>0.4616+0.83</f>
        <v>1.2915999999999999</v>
      </c>
      <c r="G78">
        <f>AVERAGE(C78:F78)</f>
        <v>1.16455</v>
      </c>
      <c r="H78">
        <f>_xlfn.STDEV.P(C78:F78)</f>
        <v>8.3706705227239678E-2</v>
      </c>
      <c r="J78" t="s">
        <v>37</v>
      </c>
    </row>
    <row r="79" spans="2:10" x14ac:dyDescent="0.3">
      <c r="B79">
        <v>350</v>
      </c>
      <c r="C79">
        <f>0.095468+0.4442</f>
        <v>0.53966800000000004</v>
      </c>
      <c r="D79">
        <f>0.3728+0.4042</f>
        <v>0.77700000000000002</v>
      </c>
      <c r="E79">
        <f>0.3685+0.4332</f>
        <v>0.80169999999999997</v>
      </c>
      <c r="F79">
        <f>0.2569+0.57</f>
        <v>0.82689999999999997</v>
      </c>
      <c r="G79">
        <f t="shared" ref="G79:G81" si="22">AVERAGE(C79:F79)</f>
        <v>0.73631699999999989</v>
      </c>
      <c r="H79">
        <f t="shared" ref="H79:H81" si="23">_xlfn.STDEV.P(C79:F79)</f>
        <v>0.11489794631324006</v>
      </c>
    </row>
    <row r="80" spans="2:10" x14ac:dyDescent="0.3">
      <c r="B80">
        <v>200</v>
      </c>
      <c r="C80">
        <f>0.1906+0.07</f>
        <v>0.2606</v>
      </c>
      <c r="D80">
        <f>0.2688+0.08</f>
        <v>0.3488</v>
      </c>
      <c r="E80">
        <f>0.219+0.198</f>
        <v>0.41700000000000004</v>
      </c>
      <c r="F80">
        <f>0.1261+0.1392</f>
        <v>0.26529999999999998</v>
      </c>
      <c r="G80">
        <f t="shared" si="22"/>
        <v>0.32292500000000002</v>
      </c>
      <c r="H80">
        <f t="shared" si="23"/>
        <v>6.4661943019058879E-2</v>
      </c>
    </row>
    <row r="81" spans="2:10" x14ac:dyDescent="0.3">
      <c r="B81">
        <v>100</v>
      </c>
      <c r="C81">
        <f>-0.05922+0.15</f>
        <v>9.078E-2</v>
      </c>
      <c r="D81">
        <f>0.2496+0.01921</f>
        <v>0.26880999999999999</v>
      </c>
      <c r="E81">
        <f>0.135+0.065</f>
        <v>0.2</v>
      </c>
      <c r="F81">
        <f>0.05558+0.07381</f>
        <v>0.12939000000000001</v>
      </c>
      <c r="G81">
        <f t="shared" si="22"/>
        <v>0.17224500000000001</v>
      </c>
      <c r="H81">
        <f t="shared" si="23"/>
        <v>6.8132658285142519E-2</v>
      </c>
    </row>
    <row r="83" spans="2:10" x14ac:dyDescent="0.3">
      <c r="B83" t="s">
        <v>34</v>
      </c>
      <c r="C83" s="1" t="s">
        <v>11</v>
      </c>
    </row>
    <row r="84" spans="2:10" x14ac:dyDescent="0.3">
      <c r="B84" t="s">
        <v>2</v>
      </c>
      <c r="C84" t="s">
        <v>3</v>
      </c>
      <c r="D84" t="s">
        <v>4</v>
      </c>
      <c r="E84" t="s">
        <v>5</v>
      </c>
      <c r="F84" t="s">
        <v>6</v>
      </c>
      <c r="G84" t="s">
        <v>7</v>
      </c>
      <c r="H84" t="s">
        <v>8</v>
      </c>
      <c r="J84" t="s">
        <v>14</v>
      </c>
    </row>
    <row r="85" spans="2:10" x14ac:dyDescent="0.3">
      <c r="B85">
        <v>500</v>
      </c>
      <c r="C85">
        <f>0.9852+0.0296</f>
        <v>1.0147999999999999</v>
      </c>
      <c r="D85">
        <f>1.0395-0.0366</f>
        <v>1.0029000000000001</v>
      </c>
      <c r="E85">
        <f>1.0404+0.02269</f>
        <v>1.0630900000000001</v>
      </c>
      <c r="F85">
        <f>1.1846-0.05223</f>
        <v>1.1323700000000001</v>
      </c>
      <c r="G85">
        <f>AVERAGE(C85:F85)</f>
        <v>1.0532900000000001</v>
      </c>
      <c r="H85">
        <f>_xlfn.STDEV.P(C85:F85)</f>
        <v>5.0917380627836725E-2</v>
      </c>
      <c r="J85" t="s">
        <v>36</v>
      </c>
    </row>
    <row r="86" spans="2:10" x14ac:dyDescent="0.3">
      <c r="B86">
        <v>350</v>
      </c>
      <c r="C86">
        <f>0.5659-0.03502</f>
        <v>0.53087999999999991</v>
      </c>
      <c r="D86">
        <f>0.7371-0.02795</f>
        <v>0.70914999999999995</v>
      </c>
      <c r="E86">
        <f>0.755+0.0428</f>
        <v>0.79779999999999995</v>
      </c>
      <c r="F86">
        <f>0.70566+0.05022</f>
        <v>0.75588</v>
      </c>
      <c r="G86">
        <f t="shared" ref="G86:G88" si="24">AVERAGE(C86:F86)</f>
        <v>0.69842749999999998</v>
      </c>
      <c r="H86">
        <f t="shared" ref="H86:H88" si="25">_xlfn.STDEV.P(C86:F86)</f>
        <v>0.10168925739108341</v>
      </c>
    </row>
    <row r="87" spans="2:10" x14ac:dyDescent="0.3">
      <c r="B87">
        <v>200</v>
      </c>
      <c r="C87">
        <f>0.2795+0.01302</f>
        <v>0.29252</v>
      </c>
      <c r="D87">
        <f>0.3549-0.026405</f>
        <v>0.32849499999999998</v>
      </c>
      <c r="E87">
        <f>0.32805+0.0966</f>
        <v>0.42465000000000003</v>
      </c>
      <c r="F87">
        <f>0.3039+0.0041118</f>
        <v>0.3080118</v>
      </c>
      <c r="G87">
        <f t="shared" si="24"/>
        <v>0.33841920000000003</v>
      </c>
      <c r="H87">
        <f t="shared" si="25"/>
        <v>5.1394520986385257E-2</v>
      </c>
    </row>
    <row r="88" spans="2:10" x14ac:dyDescent="0.3">
      <c r="B88">
        <v>100</v>
      </c>
      <c r="C88">
        <f>0.08355+0.02771</f>
        <v>0.11126</v>
      </c>
      <c r="D88">
        <f>0.29326-0.0249</f>
        <v>0.26836000000000004</v>
      </c>
      <c r="E88">
        <f>0.1563+0.1309</f>
        <v>0.28720000000000001</v>
      </c>
      <c r="F88">
        <f>0.10019+0.04487</f>
        <v>0.14505999999999999</v>
      </c>
      <c r="G88">
        <f t="shared" si="24"/>
        <v>0.20297000000000001</v>
      </c>
      <c r="H88">
        <f t="shared" si="25"/>
        <v>7.6050702166383724E-2</v>
      </c>
    </row>
    <row r="90" spans="2:10" x14ac:dyDescent="0.3">
      <c r="B90" t="s">
        <v>33</v>
      </c>
      <c r="C90" s="1" t="s">
        <v>11</v>
      </c>
    </row>
    <row r="91" spans="2:10" x14ac:dyDescent="0.3"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J91" t="s">
        <v>14</v>
      </c>
    </row>
    <row r="92" spans="2:10" x14ac:dyDescent="0.3">
      <c r="B92">
        <v>500</v>
      </c>
      <c r="C92">
        <f>0.42909+0.011355</f>
        <v>0.44044500000000003</v>
      </c>
      <c r="D92">
        <f>0.7257-0.0236</f>
        <v>0.70210000000000006</v>
      </c>
      <c r="E92">
        <f>0.932+0.0012957</f>
        <v>0.93329570000000006</v>
      </c>
      <c r="F92">
        <f>0.9568-0.01634</f>
        <v>0.94045999999999996</v>
      </c>
      <c r="G92">
        <f>AVERAGE(C92:F92)</f>
        <v>0.75407517499999999</v>
      </c>
      <c r="H92">
        <f>_xlfn.STDEV.P(C92:F92)</f>
        <v>0.20489302395296893</v>
      </c>
      <c r="J92" t="s">
        <v>38</v>
      </c>
    </row>
    <row r="93" spans="2:10" x14ac:dyDescent="0.3">
      <c r="B93">
        <v>350</v>
      </c>
      <c r="C93">
        <f>0.33674-0.1335</f>
        <v>0.20323999999999998</v>
      </c>
      <c r="D93">
        <f>0.4936+0.01079</f>
        <v>0.50439000000000001</v>
      </c>
      <c r="E93">
        <f>0.4377+0.077757</f>
        <v>0.51545699999999994</v>
      </c>
      <c r="F93">
        <f>0.56939-0.031005</f>
        <v>0.538385</v>
      </c>
      <c r="G93">
        <f t="shared" ref="G93:G95" si="26">AVERAGE(C93:F93)</f>
        <v>0.44036799999999998</v>
      </c>
      <c r="H93">
        <f t="shared" ref="H93:H95" si="27">_xlfn.STDEV.P(C93:F93)</f>
        <v>0.13745380594767101</v>
      </c>
    </row>
    <row r="94" spans="2:10" x14ac:dyDescent="0.3">
      <c r="B94">
        <v>200</v>
      </c>
      <c r="C94">
        <f>0.3138+0.02537</f>
        <v>0.33917000000000003</v>
      </c>
      <c r="D94">
        <f>0.2632+0.01924</f>
        <v>0.28243999999999997</v>
      </c>
      <c r="E94">
        <f>0.256068-0.02326</f>
        <v>0.23280800000000001</v>
      </c>
      <c r="G94">
        <f t="shared" si="26"/>
        <v>0.284806</v>
      </c>
      <c r="H94">
        <f t="shared" si="27"/>
        <v>4.3454322592810048E-2</v>
      </c>
    </row>
    <row r="95" spans="2:10" x14ac:dyDescent="0.3">
      <c r="B95">
        <v>100</v>
      </c>
      <c r="C95">
        <f>0.08647+0.06442</f>
        <v>0.15089000000000002</v>
      </c>
      <c r="D95">
        <f>0.100336-0.01281</f>
        <v>8.7525999999999993E-2</v>
      </c>
      <c r="G95">
        <f t="shared" si="26"/>
        <v>0.11920800000000001</v>
      </c>
      <c r="H95">
        <f t="shared" si="27"/>
        <v>3.1681999999999995E-2</v>
      </c>
    </row>
    <row r="98" spans="2:9" x14ac:dyDescent="0.3">
      <c r="B98" t="s">
        <v>0</v>
      </c>
      <c r="C98" t="s">
        <v>40</v>
      </c>
      <c r="D98" t="s">
        <v>39</v>
      </c>
      <c r="G98" t="s">
        <v>0</v>
      </c>
      <c r="H98" t="s">
        <v>40</v>
      </c>
      <c r="I98" t="s">
        <v>39</v>
      </c>
    </row>
    <row r="99" spans="2:9" x14ac:dyDescent="0.3">
      <c r="B99" s="4">
        <v>0.7104166666666667</v>
      </c>
      <c r="C99">
        <v>3.3</v>
      </c>
      <c r="D99">
        <f>AVERAGE(C99:C105)</f>
        <v>3.43</v>
      </c>
      <c r="G99" s="4">
        <v>0.3756944444444445</v>
      </c>
      <c r="H99">
        <v>1.9</v>
      </c>
      <c r="I99">
        <f>AVERAGE(H99:H103)</f>
        <v>2.7079999999999997</v>
      </c>
    </row>
    <row r="100" spans="2:9" x14ac:dyDescent="0.3">
      <c r="B100" s="4"/>
      <c r="C100">
        <v>3.3</v>
      </c>
      <c r="D100" t="s">
        <v>41</v>
      </c>
      <c r="H100">
        <v>3.3</v>
      </c>
      <c r="I100" t="s">
        <v>42</v>
      </c>
    </row>
    <row r="101" spans="2:9" x14ac:dyDescent="0.3">
      <c r="C101">
        <v>3</v>
      </c>
      <c r="D101">
        <f>_xlfn.STDEV.P(C99:C105)</f>
        <v>1.3184298020210024</v>
      </c>
      <c r="H101">
        <v>1.74</v>
      </c>
      <c r="I101">
        <f>_xlfn.STDEV.P(H99:H103)</f>
        <v>0.81991219042041386</v>
      </c>
    </row>
    <row r="102" spans="2:9" x14ac:dyDescent="0.3">
      <c r="C102">
        <v>6.2</v>
      </c>
      <c r="H102">
        <v>3.9</v>
      </c>
    </row>
    <row r="103" spans="2:9" x14ac:dyDescent="0.3">
      <c r="C103">
        <v>2.1</v>
      </c>
      <c r="H103">
        <v>2.7</v>
      </c>
    </row>
    <row r="104" spans="2:9" x14ac:dyDescent="0.3">
      <c r="C104">
        <v>2</v>
      </c>
    </row>
    <row r="105" spans="2:9" x14ac:dyDescent="0.3">
      <c r="C105">
        <v>4.1100000000000003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 Bandurist</cp:lastModifiedBy>
  <dcterms:created xsi:type="dcterms:W3CDTF">2015-06-05T18:17:20Z</dcterms:created>
  <dcterms:modified xsi:type="dcterms:W3CDTF">2024-01-28T19:33:23Z</dcterms:modified>
</cp:coreProperties>
</file>