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Master_Thesis\Mikhail_Bandurist_Transistors\Sample12_device3_15122023\"/>
    </mc:Choice>
  </mc:AlternateContent>
  <xr:revisionPtr revIDLastSave="0" documentId="13_ncr:1_{E93BF352-891B-46F6-8D3D-2E46B1D5936A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1" l="1"/>
  <c r="D103" i="1"/>
  <c r="C103" i="1"/>
  <c r="B103" i="1"/>
  <c r="E102" i="1"/>
  <c r="D102" i="1"/>
  <c r="C102" i="1"/>
  <c r="B102" i="1"/>
  <c r="E101" i="1"/>
  <c r="D101" i="1"/>
  <c r="C101" i="1"/>
  <c r="B101" i="1"/>
  <c r="G101" i="1"/>
  <c r="F101" i="1"/>
  <c r="G100" i="1"/>
  <c r="F100" i="1"/>
  <c r="E100" i="1"/>
  <c r="D100" i="1"/>
  <c r="C100" i="1"/>
  <c r="B100" i="1"/>
  <c r="E95" i="1"/>
  <c r="D95" i="1"/>
  <c r="F95" i="1" s="1"/>
  <c r="C95" i="1"/>
  <c r="B95" i="1"/>
  <c r="E94" i="1"/>
  <c r="D94" i="1"/>
  <c r="C94" i="1"/>
  <c r="B94" i="1"/>
  <c r="G93" i="1"/>
  <c r="G95" i="1"/>
  <c r="F93" i="1"/>
  <c r="E93" i="1"/>
  <c r="D93" i="1"/>
  <c r="C93" i="1"/>
  <c r="B93" i="1"/>
  <c r="G92" i="1"/>
  <c r="F92" i="1"/>
  <c r="E92" i="1"/>
  <c r="D92" i="1"/>
  <c r="C92" i="1"/>
  <c r="B92" i="1"/>
  <c r="E87" i="1"/>
  <c r="D87" i="1"/>
  <c r="F87" i="1" s="1"/>
  <c r="C87" i="1"/>
  <c r="B87" i="1"/>
  <c r="E86" i="1"/>
  <c r="D86" i="1"/>
  <c r="F86" i="1" s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E79" i="1"/>
  <c r="D79" i="1"/>
  <c r="C79" i="1"/>
  <c r="B79" i="1"/>
  <c r="E78" i="1"/>
  <c r="D78" i="1"/>
  <c r="C78" i="1"/>
  <c r="B78" i="1"/>
  <c r="G77" i="1"/>
  <c r="F77" i="1"/>
  <c r="E77" i="1"/>
  <c r="D77" i="1"/>
  <c r="C77" i="1"/>
  <c r="B77" i="1"/>
  <c r="G76" i="1"/>
  <c r="F76" i="1"/>
  <c r="D76" i="1"/>
  <c r="C76" i="1"/>
  <c r="B76" i="1"/>
  <c r="E71" i="1"/>
  <c r="D71" i="1"/>
  <c r="C71" i="1"/>
  <c r="B71" i="1"/>
  <c r="E70" i="1"/>
  <c r="D70" i="1"/>
  <c r="C70" i="1"/>
  <c r="B70" i="1"/>
  <c r="E69" i="1"/>
  <c r="D69" i="1"/>
  <c r="C69" i="1"/>
  <c r="B69" i="1"/>
  <c r="G68" i="1"/>
  <c r="F68" i="1"/>
  <c r="F71" i="1"/>
  <c r="E68" i="1"/>
  <c r="D68" i="1"/>
  <c r="C68" i="1"/>
  <c r="B68" i="1"/>
  <c r="G67" i="1"/>
  <c r="F67" i="1"/>
  <c r="E67" i="1"/>
  <c r="D67" i="1"/>
  <c r="C67" i="1"/>
  <c r="B67" i="1"/>
  <c r="E63" i="1"/>
  <c r="D63" i="1"/>
  <c r="C63" i="1"/>
  <c r="B63" i="1"/>
  <c r="E62" i="1"/>
  <c r="D62" i="1"/>
  <c r="F62" i="1" s="1"/>
  <c r="C62" i="1"/>
  <c r="B62" i="1"/>
  <c r="G62" i="1" s="1"/>
  <c r="E61" i="1"/>
  <c r="D61" i="1"/>
  <c r="C61" i="1"/>
  <c r="G61" i="1" s="1"/>
  <c r="B61" i="1"/>
  <c r="E60" i="1"/>
  <c r="D60" i="1"/>
  <c r="F60" i="1" s="1"/>
  <c r="C60" i="1"/>
  <c r="G60" i="1" s="1"/>
  <c r="B60" i="1"/>
  <c r="G63" i="1"/>
  <c r="G59" i="1"/>
  <c r="F59" i="1"/>
  <c r="E59" i="1"/>
  <c r="D59" i="1"/>
  <c r="C59" i="1"/>
  <c r="B59" i="1"/>
  <c r="E55" i="1"/>
  <c r="D55" i="1"/>
  <c r="C55" i="1"/>
  <c r="B55" i="1"/>
  <c r="E54" i="1"/>
  <c r="D54" i="1"/>
  <c r="C54" i="1"/>
  <c r="B54" i="1"/>
  <c r="E53" i="1"/>
  <c r="D53" i="1"/>
  <c r="C53" i="1"/>
  <c r="B53" i="1"/>
  <c r="G52" i="1"/>
  <c r="G53" i="1"/>
  <c r="G54" i="1"/>
  <c r="G55" i="1"/>
  <c r="F52" i="1"/>
  <c r="F53" i="1"/>
  <c r="F54" i="1"/>
  <c r="F55" i="1"/>
  <c r="E52" i="1"/>
  <c r="D52" i="1"/>
  <c r="C52" i="1"/>
  <c r="B52" i="1"/>
  <c r="G51" i="1"/>
  <c r="F51" i="1"/>
  <c r="E51" i="1"/>
  <c r="D51" i="1"/>
  <c r="C51" i="1"/>
  <c r="B51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G44" i="1"/>
  <c r="G45" i="1"/>
  <c r="G46" i="1"/>
  <c r="G47" i="1"/>
  <c r="F44" i="1"/>
  <c r="F45" i="1"/>
  <c r="F46" i="1"/>
  <c r="F47" i="1"/>
  <c r="G43" i="1"/>
  <c r="F43" i="1"/>
  <c r="E43" i="1"/>
  <c r="D43" i="1"/>
  <c r="C43" i="1"/>
  <c r="B43" i="1"/>
  <c r="E39" i="1"/>
  <c r="D39" i="1"/>
  <c r="C39" i="1"/>
  <c r="B39" i="1"/>
  <c r="E38" i="1"/>
  <c r="D38" i="1"/>
  <c r="C38" i="1"/>
  <c r="B38" i="1"/>
  <c r="F38" i="1" s="1"/>
  <c r="E37" i="1"/>
  <c r="D37" i="1"/>
  <c r="C37" i="1"/>
  <c r="B37" i="1"/>
  <c r="G36" i="1"/>
  <c r="G37" i="1"/>
  <c r="F36" i="1"/>
  <c r="F37" i="1"/>
  <c r="E36" i="1"/>
  <c r="D36" i="1"/>
  <c r="C36" i="1"/>
  <c r="B36" i="1"/>
  <c r="G35" i="1"/>
  <c r="F35" i="1"/>
  <c r="E35" i="1"/>
  <c r="D35" i="1"/>
  <c r="C35" i="1"/>
  <c r="B35" i="1"/>
  <c r="M27" i="1"/>
  <c r="L27" i="1"/>
  <c r="E31" i="1"/>
  <c r="G31" i="1" s="1"/>
  <c r="D31" i="1"/>
  <c r="C31" i="1"/>
  <c r="B31" i="1"/>
  <c r="E30" i="1"/>
  <c r="D30" i="1"/>
  <c r="C30" i="1"/>
  <c r="B30" i="1"/>
  <c r="E29" i="1"/>
  <c r="D29" i="1"/>
  <c r="C29" i="1"/>
  <c r="B29" i="1"/>
  <c r="F29" i="1" s="1"/>
  <c r="G28" i="1"/>
  <c r="G29" i="1"/>
  <c r="F28" i="1"/>
  <c r="F31" i="1"/>
  <c r="E28" i="1"/>
  <c r="D28" i="1"/>
  <c r="C28" i="1"/>
  <c r="B28" i="1"/>
  <c r="G27" i="1"/>
  <c r="F27" i="1"/>
  <c r="E27" i="1"/>
  <c r="D27" i="1"/>
  <c r="C27" i="1"/>
  <c r="B27" i="1"/>
  <c r="E23" i="1"/>
  <c r="D23" i="1"/>
  <c r="C23" i="1"/>
  <c r="G23" i="1" s="1"/>
  <c r="B23" i="1"/>
  <c r="E22" i="1"/>
  <c r="D22" i="1"/>
  <c r="C22" i="1"/>
  <c r="B22" i="1"/>
  <c r="G22" i="1" s="1"/>
  <c r="E21" i="1"/>
  <c r="D21" i="1"/>
  <c r="C21" i="1"/>
  <c r="B21" i="1"/>
  <c r="G21" i="1" s="1"/>
  <c r="E20" i="1"/>
  <c r="D20" i="1"/>
  <c r="G20" i="1" s="1"/>
  <c r="C20" i="1"/>
  <c r="B20" i="1"/>
  <c r="G19" i="1"/>
  <c r="F19" i="1"/>
  <c r="E19" i="1"/>
  <c r="D19" i="1"/>
  <c r="C19" i="1"/>
  <c r="B19" i="1"/>
  <c r="E15" i="1"/>
  <c r="D15" i="1"/>
  <c r="C15" i="1"/>
  <c r="B15" i="1"/>
  <c r="E14" i="1"/>
  <c r="D14" i="1"/>
  <c r="F14" i="1" s="1"/>
  <c r="C14" i="1"/>
  <c r="B14" i="1"/>
  <c r="E13" i="1"/>
  <c r="D13" i="1"/>
  <c r="C13" i="1"/>
  <c r="B13" i="1"/>
  <c r="E12" i="1"/>
  <c r="D12" i="1"/>
  <c r="C12" i="1"/>
  <c r="B12" i="1"/>
  <c r="G15" i="1"/>
  <c r="F12" i="1"/>
  <c r="F13" i="1"/>
  <c r="G11" i="1"/>
  <c r="F11" i="1"/>
  <c r="E11" i="1"/>
  <c r="D11" i="1"/>
  <c r="C11" i="1"/>
  <c r="B11" i="1"/>
  <c r="M3" i="1"/>
  <c r="L3" i="1"/>
  <c r="F103" i="1" l="1"/>
  <c r="G103" i="1"/>
  <c r="F102" i="1"/>
  <c r="G102" i="1"/>
  <c r="F94" i="1"/>
  <c r="G94" i="1"/>
  <c r="G87" i="1"/>
  <c r="G86" i="1"/>
  <c r="F79" i="1"/>
  <c r="G79" i="1"/>
  <c r="G78" i="1"/>
  <c r="F78" i="1"/>
  <c r="G71" i="1"/>
  <c r="G70" i="1"/>
  <c r="F70" i="1"/>
  <c r="G69" i="1"/>
  <c r="F69" i="1"/>
  <c r="F63" i="1"/>
  <c r="F61" i="1"/>
  <c r="F39" i="1"/>
  <c r="G39" i="1"/>
  <c r="G38" i="1"/>
  <c r="F30" i="1"/>
  <c r="G30" i="1"/>
  <c r="F23" i="1"/>
  <c r="F22" i="1"/>
  <c r="F21" i="1"/>
  <c r="F20" i="1"/>
  <c r="F15" i="1"/>
  <c r="G14" i="1"/>
  <c r="G13" i="1"/>
  <c r="G12" i="1"/>
  <c r="E7" i="1" l="1"/>
  <c r="D7" i="1"/>
  <c r="C7" i="1"/>
  <c r="B7" i="1"/>
  <c r="F7" i="1"/>
  <c r="E6" i="1"/>
  <c r="D6" i="1"/>
  <c r="C6" i="1"/>
  <c r="B6" i="1"/>
  <c r="G6" i="1" s="1"/>
  <c r="E5" i="1"/>
  <c r="D5" i="1"/>
  <c r="C5" i="1"/>
  <c r="B5" i="1"/>
  <c r="G4" i="1"/>
  <c r="G5" i="1"/>
  <c r="F4" i="1"/>
  <c r="F5" i="1"/>
  <c r="E4" i="1"/>
  <c r="D4" i="1"/>
  <c r="C4" i="1"/>
  <c r="B4" i="1"/>
  <c r="G3" i="1"/>
  <c r="F3" i="1"/>
  <c r="E3" i="1"/>
  <c r="D3" i="1"/>
  <c r="C3" i="1"/>
  <c r="B3" i="1"/>
  <c r="G7" i="1" l="1"/>
  <c r="F6" i="1"/>
</calcChain>
</file>

<file path=xl/sharedStrings.xml><?xml version="1.0" encoding="utf-8"?>
<sst xmlns="http://schemas.openxmlformats.org/spreadsheetml/2006/main" count="164" uniqueCount="40">
  <si>
    <t>S12_d3</t>
  </si>
  <si>
    <t>I_XRay (uA)</t>
  </si>
  <si>
    <t>Peak1</t>
  </si>
  <si>
    <t>Peak2</t>
  </si>
  <si>
    <t>Peak3</t>
  </si>
  <si>
    <t>Peak4</t>
  </si>
  <si>
    <t>dI_average (10^-10 A)</t>
  </si>
  <si>
    <t>error (10^-10 A)</t>
  </si>
  <si>
    <t>VGate=1V</t>
  </si>
  <si>
    <t>VGate=2V</t>
  </si>
  <si>
    <t>Sensitivity per Volume (C/(Gy*m^3))</t>
  </si>
  <si>
    <t>Volume (10^(-21) m^3)</t>
  </si>
  <si>
    <t>Volume err (10^(-21) m^3)</t>
  </si>
  <si>
    <t xml:space="preserve">(3.31±0.34)*10^11 </t>
  </si>
  <si>
    <t>Dose rate (uGy/s)</t>
  </si>
  <si>
    <t>(3.3±0.3)*10^11</t>
  </si>
  <si>
    <t>VGate=3V</t>
  </si>
  <si>
    <t>delta I (10^(-10) A)</t>
  </si>
  <si>
    <t>(3.0±0.3)*10^11</t>
  </si>
  <si>
    <t>VGate=5V</t>
  </si>
  <si>
    <t>(2.8±0.3)*10^11</t>
  </si>
  <si>
    <t>VGate=10V</t>
  </si>
  <si>
    <t>(2.2±0.3)*10^11</t>
  </si>
  <si>
    <t>VGate=15V</t>
  </si>
  <si>
    <t>VGate=20V</t>
  </si>
  <si>
    <t>VGate=25V</t>
  </si>
  <si>
    <t>VGate=30V</t>
  </si>
  <si>
    <t>(2.0±0.2)*10^11</t>
  </si>
  <si>
    <t>(2.0±0.3)*10^11</t>
  </si>
  <si>
    <t>(1.5±0.3)*10^11</t>
  </si>
  <si>
    <t>(0.92±0.09)*10^11</t>
  </si>
  <si>
    <t>VGate=35V</t>
  </si>
  <si>
    <t>VGate=40V</t>
  </si>
  <si>
    <t>VGate=45V</t>
  </si>
  <si>
    <t>VGate=50V</t>
  </si>
  <si>
    <t>Not seen</t>
  </si>
  <si>
    <t>(2.0±1.2)*10^11</t>
  </si>
  <si>
    <t>The Photocurrent plot is not linear</t>
  </si>
  <si>
    <t>(0.9±0.7)*10^11</t>
  </si>
  <si>
    <t>(4.2±0.5)*10^11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</si>
</sst>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2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tabSelected="1" topLeftCell="A2377" zoomScaleNormal="100" workbookViewId="0">
      <selection activeCell="I99" sqref="I99"/>
    </sheetView>
  </sheetViews>
  <sheetFormatPr defaultRowHeight="14.4" x14ac:dyDescent="0.3"/>
  <cols>
    <col min="1" max="1" width="10.77734375" customWidth="1"/>
    <col min="6" max="6" width="19" customWidth="1"/>
    <col min="9" max="9" width="19.88671875" customWidth="1"/>
    <col min="12" max="12" width="21" customWidth="1"/>
  </cols>
  <sheetData>
    <row r="1" spans="1:14" ht="15" thickBot="1" x14ac:dyDescent="0.35">
      <c r="A1" s="3" t="s">
        <v>0</v>
      </c>
      <c r="B1" s="2" t="s">
        <v>8</v>
      </c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I2" s="4" t="s">
        <v>10</v>
      </c>
      <c r="L2" t="s">
        <v>11</v>
      </c>
      <c r="M2" t="s">
        <v>12</v>
      </c>
    </row>
    <row r="3" spans="1:14" x14ac:dyDescent="0.3">
      <c r="A3">
        <v>100</v>
      </c>
      <c r="B3">
        <f>2.9036-0.61675</f>
        <v>2.2868499999999998</v>
      </c>
      <c r="C3">
        <f>2.8162-0.55516</f>
        <v>2.2610399999999999</v>
      </c>
      <c r="D3">
        <f>2.7481-0.48485</f>
        <v>2.2632500000000002</v>
      </c>
      <c r="E3">
        <f>2.6921-0.4668</f>
        <v>2.2252999999999998</v>
      </c>
      <c r="F3">
        <f>AVERAGE(B3:E3)</f>
        <v>2.2591099999999997</v>
      </c>
      <c r="G3">
        <f>_xlfn.STDEV.P(B3:E3)</f>
        <v>2.1985723777033148E-2</v>
      </c>
      <c r="I3" t="s">
        <v>13</v>
      </c>
      <c r="L3">
        <f>20*3.8*3.3</f>
        <v>250.79999999999998</v>
      </c>
      <c r="M3">
        <f>20*3.8*0.3</f>
        <v>22.8</v>
      </c>
    </row>
    <row r="4" spans="1:14" x14ac:dyDescent="0.3">
      <c r="A4">
        <v>200</v>
      </c>
      <c r="B4">
        <f>3.972-0.39119</f>
        <v>3.58081</v>
      </c>
      <c r="C4">
        <f>3.8703-0.34424</f>
        <v>3.5260599999999998</v>
      </c>
      <c r="D4">
        <f>3.8017-0.30835</f>
        <v>3.49335</v>
      </c>
      <c r="E4">
        <f>3.7418-0.27612</f>
        <v>3.4656799999999999</v>
      </c>
      <c r="F4">
        <f t="shared" ref="F4:F7" si="0">AVERAGE(B4:E4)</f>
        <v>3.5164749999999998</v>
      </c>
      <c r="G4">
        <f t="shared" ref="G4:G7" si="1">_xlfn.STDEV.P(B4:E4)</f>
        <v>4.2853710749478906E-2</v>
      </c>
      <c r="L4" t="s">
        <v>14</v>
      </c>
      <c r="N4" t="s">
        <v>17</v>
      </c>
    </row>
    <row r="5" spans="1:14" x14ac:dyDescent="0.3">
      <c r="A5">
        <v>300</v>
      </c>
      <c r="B5">
        <f>4.7554-0.25547</f>
        <v>4.49993</v>
      </c>
      <c r="C5">
        <f>4.6955-0.23564</f>
        <v>4.4598599999999999</v>
      </c>
      <c r="D5">
        <f>4.661-0.20841</f>
        <v>4.4525899999999998</v>
      </c>
      <c r="E5">
        <f>4.6245-0.20068</f>
        <v>4.4238200000000001</v>
      </c>
      <c r="F5">
        <f t="shared" si="0"/>
        <v>4.4590499999999995</v>
      </c>
      <c r="G5">
        <f t="shared" si="1"/>
        <v>2.717864510971801E-2</v>
      </c>
      <c r="L5">
        <v>1066.28</v>
      </c>
    </row>
    <row r="6" spans="1:14" x14ac:dyDescent="0.3">
      <c r="A6">
        <v>400</v>
      </c>
      <c r="B6">
        <f>5.5401-0.19448</f>
        <v>5.3456200000000003</v>
      </c>
      <c r="C6">
        <f>5.5033-0.17742</f>
        <v>5.3258800000000006</v>
      </c>
      <c r="D6">
        <f>5.4809-0.16664</f>
        <v>5.31426</v>
      </c>
      <c r="E6">
        <f>5.4598-0.15218</f>
        <v>5.30762</v>
      </c>
      <c r="F6">
        <f t="shared" si="0"/>
        <v>5.3233450000000007</v>
      </c>
      <c r="G6">
        <f t="shared" si="1"/>
        <v>1.4425798938013925E-2</v>
      </c>
      <c r="L6">
        <v>2220.4</v>
      </c>
    </row>
    <row r="7" spans="1:14" x14ac:dyDescent="0.3">
      <c r="A7">
        <v>500</v>
      </c>
      <c r="B7">
        <f>6.32-0.15532</f>
        <v>6.1646800000000006</v>
      </c>
      <c r="C7">
        <f>6.3007-0.14392</f>
        <v>6.1567800000000004</v>
      </c>
      <c r="D7">
        <f>6.2776-0.13543</f>
        <v>6.1421699999999992</v>
      </c>
      <c r="E7">
        <f>6.2584-0.1308</f>
        <v>6.1276000000000002</v>
      </c>
      <c r="F7">
        <f t="shared" si="0"/>
        <v>6.1478075000000008</v>
      </c>
      <c r="G7">
        <f t="shared" si="1"/>
        <v>1.4189005206497293E-2</v>
      </c>
      <c r="L7">
        <v>3367.2</v>
      </c>
    </row>
    <row r="8" spans="1:14" x14ac:dyDescent="0.3">
      <c r="L8">
        <v>4562.8</v>
      </c>
    </row>
    <row r="9" spans="1:14" x14ac:dyDescent="0.3">
      <c r="B9" s="2" t="s">
        <v>9</v>
      </c>
      <c r="L9">
        <v>5709.6</v>
      </c>
    </row>
    <row r="10" spans="1:14" x14ac:dyDescent="0.3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s="1" t="s">
        <v>7</v>
      </c>
      <c r="I10" s="4" t="s">
        <v>10</v>
      </c>
    </row>
    <row r="11" spans="1:14" x14ac:dyDescent="0.3">
      <c r="A11">
        <v>100</v>
      </c>
      <c r="B11">
        <f>2.4417-0.41513</f>
        <v>2.02657</v>
      </c>
      <c r="C11">
        <f>2.4054-0.37045</f>
        <v>2.0349500000000003</v>
      </c>
      <c r="D11">
        <f>2.3659-0.33672</f>
        <v>2.0291799999999998</v>
      </c>
      <c r="E11">
        <f>2.3398-0.31335</f>
        <v>2.0264499999999996</v>
      </c>
      <c r="F11">
        <f>AVERAGE(B11:E11)</f>
        <v>2.0292874999999997</v>
      </c>
      <c r="G11">
        <f>_xlfn.STDEV.P(B11:E11)</f>
        <v>3.4464356587641789E-3</v>
      </c>
      <c r="I11" t="s">
        <v>15</v>
      </c>
    </row>
    <row r="12" spans="1:14" x14ac:dyDescent="0.3">
      <c r="A12">
        <v>200</v>
      </c>
      <c r="B12">
        <f>3.535-0.29138</f>
        <v>3.2436199999999999</v>
      </c>
      <c r="C12">
        <f>3.4735-0.26025</f>
        <v>3.2132499999999999</v>
      </c>
      <c r="D12">
        <f>3.4265-0.23671</f>
        <v>3.1897899999999999</v>
      </c>
      <c r="E12">
        <f>3.3916-0.22396</f>
        <v>3.16764</v>
      </c>
      <c r="F12">
        <f t="shared" ref="F12:F15" si="2">AVERAGE(B12:E12)</f>
        <v>3.2035750000000003</v>
      </c>
      <c r="G12">
        <f t="shared" ref="G12:G15" si="3">_xlfn.STDEV.P(B12:E12)</f>
        <v>2.8189351269584037E-2</v>
      </c>
    </row>
    <row r="13" spans="1:14" x14ac:dyDescent="0.3">
      <c r="A13">
        <v>300</v>
      </c>
      <c r="B13">
        <f>4.3536-0.22255</f>
        <v>4.1310500000000001</v>
      </c>
      <c r="C13">
        <f>4.3198-0.19466</f>
        <v>4.12514</v>
      </c>
      <c r="D13">
        <f>4.2857-0.17877</f>
        <v>4.1069300000000002</v>
      </c>
      <c r="E13">
        <f>4.2587-0.16533</f>
        <v>4.0933700000000002</v>
      </c>
      <c r="F13">
        <f t="shared" si="2"/>
        <v>4.1141225000000006</v>
      </c>
      <c r="G13">
        <f t="shared" si="3"/>
        <v>1.4919147721971206E-2</v>
      </c>
    </row>
    <row r="14" spans="1:14" x14ac:dyDescent="0.3">
      <c r="A14">
        <v>400</v>
      </c>
      <c r="B14">
        <f>5.098-0.16861</f>
        <v>4.9293899999999997</v>
      </c>
      <c r="C14">
        <f>5.079-0.15514</f>
        <v>4.9238599999999995</v>
      </c>
      <c r="D14">
        <f>5.0637-0.14609</f>
        <v>4.9176099999999998</v>
      </c>
      <c r="E14">
        <f>5.0495-0.13664</f>
        <v>4.9128600000000002</v>
      </c>
      <c r="F14">
        <f t="shared" si="2"/>
        <v>4.9209300000000002</v>
      </c>
      <c r="G14">
        <f t="shared" si="3"/>
        <v>6.2510759073936542E-3</v>
      </c>
    </row>
    <row r="15" spans="1:14" x14ac:dyDescent="0.3">
      <c r="A15">
        <v>500</v>
      </c>
      <c r="B15">
        <f>5.8196-0.14201</f>
        <v>5.6775900000000004</v>
      </c>
      <c r="C15">
        <f>5.7993-0.13396</f>
        <v>5.6653399999999996</v>
      </c>
      <c r="D15">
        <f>5.7934-0.12934</f>
        <v>5.6640600000000001</v>
      </c>
      <c r="E15">
        <f>5.769-0.12349</f>
        <v>5.6455099999999998</v>
      </c>
      <c r="F15">
        <f t="shared" si="2"/>
        <v>5.6631249999999991</v>
      </c>
      <c r="G15">
        <f t="shared" si="3"/>
        <v>1.1459765486256858E-2</v>
      </c>
    </row>
    <row r="17" spans="1:14" x14ac:dyDescent="0.3">
      <c r="B17" s="2" t="s">
        <v>16</v>
      </c>
    </row>
    <row r="18" spans="1:14" x14ac:dyDescent="0.3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s="1" t="s">
        <v>7</v>
      </c>
      <c r="I18" s="4" t="s">
        <v>10</v>
      </c>
    </row>
    <row r="19" spans="1:14" x14ac:dyDescent="0.3">
      <c r="A19">
        <v>100</v>
      </c>
      <c r="B19">
        <f>2.241-0.3898</f>
        <v>1.8512000000000002</v>
      </c>
      <c r="C19">
        <f>2.1936-0.34938</f>
        <v>1.84422</v>
      </c>
      <c r="D19">
        <f>2.173-0.32104</f>
        <v>1.8519600000000001</v>
      </c>
      <c r="E19">
        <f>2.1436-0.29677</f>
        <v>1.8468300000000002</v>
      </c>
      <c r="F19">
        <f>AVERAGE(B19:E19)</f>
        <v>1.8485525000000003</v>
      </c>
      <c r="G19">
        <f>_xlfn.STDEV.P(B19:E19)</f>
        <v>3.1763924112112188E-3</v>
      </c>
      <c r="I19" t="s">
        <v>18</v>
      </c>
    </row>
    <row r="20" spans="1:14" x14ac:dyDescent="0.3">
      <c r="A20">
        <v>200</v>
      </c>
      <c r="B20">
        <f>3.1967-0.27034</f>
        <v>2.9263599999999999</v>
      </c>
      <c r="C20">
        <f>3.1493-0.24867</f>
        <v>2.90063</v>
      </c>
      <c r="D20">
        <f>3.116-0.22495</f>
        <v>2.8910499999999999</v>
      </c>
      <c r="E20">
        <f>3.0904-0.21092</f>
        <v>2.87948</v>
      </c>
      <c r="F20">
        <f t="shared" ref="F20:F23" si="4">AVERAGE(B20:E20)</f>
        <v>2.8993799999999998</v>
      </c>
      <c r="G20">
        <f t="shared" ref="G20:G23" si="5">_xlfn.STDEV.P(B20:E20)</f>
        <v>1.7283531178552549E-2</v>
      </c>
    </row>
    <row r="21" spans="1:14" x14ac:dyDescent="0.3">
      <c r="A21">
        <v>300</v>
      </c>
      <c r="B21">
        <f>3.9458-0.21281</f>
        <v>3.73299</v>
      </c>
      <c r="C21">
        <f>3.9235-0.19323</f>
        <v>3.73027</v>
      </c>
      <c r="D21">
        <f>3.9001-0.18108</f>
        <v>3.71902</v>
      </c>
      <c r="E21">
        <f>3.8873-0.16908</f>
        <v>3.7182200000000001</v>
      </c>
      <c r="F21">
        <f t="shared" si="4"/>
        <v>3.7251250000000002</v>
      </c>
      <c r="G21">
        <f t="shared" si="5"/>
        <v>6.5817797744986729E-3</v>
      </c>
    </row>
    <row r="22" spans="1:14" x14ac:dyDescent="0.3">
      <c r="A22">
        <v>400</v>
      </c>
      <c r="B22">
        <f>4.6327-0.16934</f>
        <v>4.4633599999999998</v>
      </c>
      <c r="C22">
        <f>4.6285-0.16102</f>
        <v>4.4674800000000001</v>
      </c>
      <c r="D22">
        <f>4.6076-0.14799</f>
        <v>4.4596099999999996</v>
      </c>
      <c r="E22">
        <f>4.6005-0.13821</f>
        <v>4.4622900000000003</v>
      </c>
      <c r="F22">
        <f t="shared" si="4"/>
        <v>4.4631850000000002</v>
      </c>
      <c r="G22">
        <f t="shared" si="5"/>
        <v>2.8310466262498673E-3</v>
      </c>
    </row>
    <row r="23" spans="1:14" x14ac:dyDescent="0.3">
      <c r="A23">
        <v>500</v>
      </c>
      <c r="B23">
        <f>5.2994-0.14581</f>
        <v>5.1535900000000003</v>
      </c>
      <c r="C23">
        <f>5.305-0.13661</f>
        <v>5.1683899999999996</v>
      </c>
      <c r="D23">
        <f>5.3021-0.13093</f>
        <v>5.17117</v>
      </c>
      <c r="E23">
        <f>5.3053-0.12739</f>
        <v>5.1779099999999998</v>
      </c>
      <c r="F23">
        <f t="shared" si="4"/>
        <v>5.1677650000000002</v>
      </c>
      <c r="G23">
        <f t="shared" si="5"/>
        <v>8.885891907962672E-3</v>
      </c>
    </row>
    <row r="25" spans="1:14" x14ac:dyDescent="0.3">
      <c r="B25" s="2" t="s">
        <v>19</v>
      </c>
    </row>
    <row r="26" spans="1:14" x14ac:dyDescent="0.3">
      <c r="A26" t="s">
        <v>1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s="1" t="s">
        <v>7</v>
      </c>
      <c r="I26" s="4" t="s">
        <v>10</v>
      </c>
      <c r="L26" t="s">
        <v>11</v>
      </c>
      <c r="M26" t="s">
        <v>12</v>
      </c>
    </row>
    <row r="27" spans="1:14" x14ac:dyDescent="0.3">
      <c r="A27">
        <v>100</v>
      </c>
      <c r="B27">
        <f>2.2928-0.60587</f>
        <v>1.6869300000000003</v>
      </c>
      <c r="C27">
        <f>2.2448-0.5796</f>
        <v>1.6652</v>
      </c>
      <c r="D27">
        <f>2.2003-0.53847</f>
        <v>1.6618299999999999</v>
      </c>
      <c r="E27">
        <f>2.1509-0.49669</f>
        <v>1.65421</v>
      </c>
      <c r="F27">
        <f>AVERAGE(B27:E27)</f>
        <v>1.6670425</v>
      </c>
      <c r="G27">
        <f>_xlfn.STDEV.P(B27:E27)</f>
        <v>1.2152681545650863E-2</v>
      </c>
      <c r="I27" t="s">
        <v>20</v>
      </c>
      <c r="L27">
        <f>20*3.8*3.3</f>
        <v>250.79999999999998</v>
      </c>
      <c r="M27">
        <f>20*3.8*0.3</f>
        <v>22.8</v>
      </c>
    </row>
    <row r="28" spans="1:14" x14ac:dyDescent="0.3">
      <c r="A28">
        <v>200</v>
      </c>
      <c r="B28">
        <f>3.0812-0.45572</f>
        <v>2.62548</v>
      </c>
      <c r="C28">
        <f>3.0369-0.4115</f>
        <v>2.6254</v>
      </c>
      <c r="D28">
        <f>2.9898-0.38325</f>
        <v>2.6065499999999999</v>
      </c>
      <c r="E28">
        <f>2.9549-0.35489</f>
        <v>2.6000099999999997</v>
      </c>
      <c r="F28">
        <f t="shared" ref="F28:F31" si="6">AVERAGE(B28:E28)</f>
        <v>2.61436</v>
      </c>
      <c r="G28">
        <f t="shared" ref="G28:G31" si="7">_xlfn.STDEV.P(B28:E28)</f>
        <v>1.1318730052439732E-2</v>
      </c>
      <c r="L28" t="s">
        <v>14</v>
      </c>
      <c r="N28" t="s">
        <v>17</v>
      </c>
    </row>
    <row r="29" spans="1:14" x14ac:dyDescent="0.3">
      <c r="A29">
        <v>300</v>
      </c>
      <c r="B29">
        <f>3.6972-0.3202</f>
        <v>3.3770000000000002</v>
      </c>
      <c r="C29">
        <f>3.6668-0.29069</f>
        <v>3.3761099999999997</v>
      </c>
      <c r="D29">
        <f>3.6524-0.28164</f>
        <v>3.3707600000000002</v>
      </c>
      <c r="E29">
        <f>3.6387-0.25753</f>
        <v>3.38117</v>
      </c>
      <c r="F29">
        <f t="shared" si="6"/>
        <v>3.3762600000000003</v>
      </c>
      <c r="G29">
        <f t="shared" si="7"/>
        <v>3.7056780756023009E-3</v>
      </c>
      <c r="L29">
        <v>1066.28</v>
      </c>
    </row>
    <row r="30" spans="1:14" x14ac:dyDescent="0.3">
      <c r="A30">
        <v>400</v>
      </c>
      <c r="B30">
        <f>4.3095-0.26041</f>
        <v>4.0490899999999996</v>
      </c>
      <c r="C30">
        <f>4.3132-0.23539</f>
        <v>4.0778100000000004</v>
      </c>
      <c r="D30">
        <f>4.3083-0.22054</f>
        <v>4.0877600000000003</v>
      </c>
      <c r="E30">
        <f>4.2973-0.20539</f>
        <v>4.0919099999999995</v>
      </c>
      <c r="F30">
        <f t="shared" si="6"/>
        <v>4.0766424999999993</v>
      </c>
      <c r="G30">
        <f t="shared" si="7"/>
        <v>1.671226103045315E-2</v>
      </c>
      <c r="L30">
        <v>2220.4</v>
      </c>
    </row>
    <row r="31" spans="1:14" x14ac:dyDescent="0.3">
      <c r="A31">
        <v>500</v>
      </c>
      <c r="B31">
        <f>4.9492-0.21186</f>
        <v>4.7373400000000006</v>
      </c>
      <c r="C31">
        <f>4.9468</f>
        <v>4.9467999999999996</v>
      </c>
      <c r="D31">
        <f>4.9606-0.17833</f>
        <v>4.7822700000000005</v>
      </c>
      <c r="E31">
        <f>4.9697-0.17132</f>
        <v>4.7983799999999999</v>
      </c>
      <c r="F31">
        <f t="shared" si="6"/>
        <v>4.8161974999999995</v>
      </c>
      <c r="G31">
        <f t="shared" si="7"/>
        <v>7.865121880015559E-2</v>
      </c>
      <c r="L31">
        <v>3367.2</v>
      </c>
    </row>
    <row r="32" spans="1:14" x14ac:dyDescent="0.3">
      <c r="L32">
        <v>4562.8</v>
      </c>
    </row>
    <row r="33" spans="1:12" x14ac:dyDescent="0.3">
      <c r="B33" s="2" t="s">
        <v>21</v>
      </c>
      <c r="L33">
        <v>5709.6</v>
      </c>
    </row>
    <row r="34" spans="1:12" x14ac:dyDescent="0.3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s="1" t="s">
        <v>7</v>
      </c>
      <c r="I34" s="4" t="s">
        <v>10</v>
      </c>
    </row>
    <row r="35" spans="1:12" x14ac:dyDescent="0.3">
      <c r="A35">
        <v>100</v>
      </c>
      <c r="B35">
        <f>3.2408-1.7145</f>
        <v>1.5263000000000002</v>
      </c>
      <c r="C35">
        <f>3.1578-1.6609</f>
        <v>1.4968999999999999</v>
      </c>
      <c r="D35">
        <f>3.0339-1.5607</f>
        <v>1.4732000000000001</v>
      </c>
      <c r="E35">
        <f>2.9002-1.4794</f>
        <v>1.4207999999999998</v>
      </c>
      <c r="F35">
        <f>AVERAGE(B35:E35)</f>
        <v>1.4793000000000001</v>
      </c>
      <c r="G35">
        <f>_xlfn.STDEV.P(B35:E35)</f>
        <v>3.8659474905901249E-2</v>
      </c>
      <c r="I35" t="s">
        <v>22</v>
      </c>
    </row>
    <row r="36" spans="1:12" x14ac:dyDescent="0.3">
      <c r="A36">
        <v>200</v>
      </c>
      <c r="B36">
        <f>3.6642-1.356</f>
        <v>2.3082000000000003</v>
      </c>
      <c r="C36">
        <f>3.631-1.3464</f>
        <v>2.2845999999999997</v>
      </c>
      <c r="D36">
        <f>3.4662-1.1742</f>
        <v>2.2920000000000003</v>
      </c>
      <c r="E36">
        <f>3.3279-1.0661</f>
        <v>2.2618</v>
      </c>
      <c r="F36">
        <f t="shared" ref="F36:F39" si="8">AVERAGE(B36:E36)</f>
        <v>2.2866499999999998</v>
      </c>
      <c r="G36">
        <f t="shared" ref="G36:G39" si="9">_xlfn.STDEV.P(B36:E36)</f>
        <v>1.6693936024796647E-2</v>
      </c>
    </row>
    <row r="37" spans="1:12" x14ac:dyDescent="0.3">
      <c r="A37">
        <v>300</v>
      </c>
      <c r="B37">
        <f>3.9463-1.0399</f>
        <v>2.9063999999999997</v>
      </c>
      <c r="C37">
        <f>3.9217-1.0109</f>
        <v>2.9108000000000001</v>
      </c>
      <c r="D37">
        <f>3.8447-0.84975</f>
        <v>2.9949500000000002</v>
      </c>
      <c r="E37">
        <f>3.8075-0.88477</f>
        <v>2.9227300000000001</v>
      </c>
      <c r="F37">
        <f t="shared" si="8"/>
        <v>2.9337199999999997</v>
      </c>
      <c r="G37">
        <f t="shared" si="9"/>
        <v>3.5852481782995313E-2</v>
      </c>
    </row>
    <row r="38" spans="1:12" x14ac:dyDescent="0.3">
      <c r="A38">
        <v>400</v>
      </c>
      <c r="B38">
        <f>4.333-0.83488</f>
        <v>3.4981200000000001</v>
      </c>
      <c r="C38">
        <f>4.3004-0.76782</f>
        <v>3.5325799999999998</v>
      </c>
      <c r="D38">
        <f>4.2601-0.7216</f>
        <v>3.5385000000000004</v>
      </c>
      <c r="E38">
        <f>4.2206-0.66397</f>
        <v>3.5566300000000002</v>
      </c>
      <c r="F38">
        <f t="shared" si="8"/>
        <v>3.5314575000000001</v>
      </c>
      <c r="G38">
        <f t="shared" si="9"/>
        <v>2.1189032982890033E-2</v>
      </c>
    </row>
    <row r="39" spans="1:12" x14ac:dyDescent="0.3">
      <c r="A39">
        <v>500</v>
      </c>
      <c r="B39">
        <f>4.8041-0.70387</f>
        <v>4.1002299999999998</v>
      </c>
      <c r="C39">
        <f>4.7808-0.6399</f>
        <v>4.1409000000000002</v>
      </c>
      <c r="D39">
        <f>4.8087-0.65517</f>
        <v>4.1535299999999999</v>
      </c>
      <c r="E39">
        <f>4.8265-0.68637</f>
        <v>4.1401300000000001</v>
      </c>
      <c r="F39">
        <f t="shared" si="8"/>
        <v>4.1336975000000002</v>
      </c>
      <c r="G39">
        <f t="shared" si="9"/>
        <v>2.0041548561675657E-2</v>
      </c>
    </row>
    <row r="41" spans="1:12" x14ac:dyDescent="0.3">
      <c r="B41" s="2" t="s">
        <v>23</v>
      </c>
    </row>
    <row r="42" spans="1:12" x14ac:dyDescent="0.3">
      <c r="A42" t="s">
        <v>1</v>
      </c>
      <c r="B42" t="s">
        <v>2</v>
      </c>
      <c r="C42" t="s">
        <v>3</v>
      </c>
      <c r="D42" t="s">
        <v>4</v>
      </c>
      <c r="E42" t="s">
        <v>5</v>
      </c>
      <c r="F42" t="s">
        <v>6</v>
      </c>
      <c r="G42" s="1" t="s">
        <v>7</v>
      </c>
      <c r="I42" s="4" t="s">
        <v>10</v>
      </c>
    </row>
    <row r="43" spans="1:12" x14ac:dyDescent="0.3">
      <c r="A43">
        <v>100</v>
      </c>
      <c r="B43">
        <f>1.4802+0.09301</f>
        <v>1.57321</v>
      </c>
      <c r="C43">
        <f>1.50726+0.04857</f>
        <v>1.55583</v>
      </c>
      <c r="D43">
        <f>1.57497-0.02364</f>
        <v>1.5513299999999999</v>
      </c>
      <c r="E43">
        <f>1.42766-0.05352</f>
        <v>1.3741399999999999</v>
      </c>
      <c r="F43">
        <f>AVERAGE(B43:E43)</f>
        <v>1.5136274999999999</v>
      </c>
      <c r="G43">
        <f>_xlfn.STDEV.P(B43:E43)</f>
        <v>8.0946535557428312E-2</v>
      </c>
      <c r="I43" t="s">
        <v>27</v>
      </c>
    </row>
    <row r="44" spans="1:12" x14ac:dyDescent="0.3">
      <c r="A44">
        <v>200</v>
      </c>
      <c r="B44">
        <f>4.8866-2.3768</f>
        <v>2.5097999999999998</v>
      </c>
      <c r="C44">
        <f>4.6127-2.2516</f>
        <v>2.3611000000000004</v>
      </c>
      <c r="D44">
        <f>4.5712-2.1233</f>
        <v>2.4479000000000002</v>
      </c>
      <c r="E44">
        <f>4.2712-1.8451</f>
        <v>2.4261000000000004</v>
      </c>
      <c r="F44">
        <f t="shared" ref="F44:F47" si="10">AVERAGE(B44:E44)</f>
        <v>2.4362250000000003</v>
      </c>
      <c r="G44">
        <f t="shared" ref="G44:G47" si="11">_xlfn.STDEV.P(B44:E44)</f>
        <v>5.3141009352476329E-2</v>
      </c>
    </row>
    <row r="45" spans="1:12" x14ac:dyDescent="0.3">
      <c r="A45">
        <v>300</v>
      </c>
      <c r="B45">
        <f>4.8762-1.838</f>
        <v>3.0381999999999998</v>
      </c>
      <c r="C45">
        <f>4.8438-1.8905</f>
        <v>2.9532999999999996</v>
      </c>
      <c r="D45">
        <f>4.75-1.7178</f>
        <v>3.0322</v>
      </c>
      <c r="E45">
        <f>4.6739-1.6937</f>
        <v>2.9802</v>
      </c>
      <c r="F45">
        <f t="shared" si="10"/>
        <v>3.0009749999999999</v>
      </c>
      <c r="G45">
        <f t="shared" si="11"/>
        <v>3.5585135590580602E-2</v>
      </c>
    </row>
    <row r="46" spans="1:12" x14ac:dyDescent="0.3">
      <c r="A46">
        <v>400</v>
      </c>
      <c r="B46">
        <f>5.054-1.538</f>
        <v>3.516</v>
      </c>
      <c r="C46">
        <f>5.0945-1.584</f>
        <v>3.5105</v>
      </c>
      <c r="D46">
        <f>5.0815-1.464</f>
        <v>3.6175000000000002</v>
      </c>
      <c r="E46">
        <f>5.012-1.4706</f>
        <v>3.5413999999999994</v>
      </c>
      <c r="F46">
        <f t="shared" si="10"/>
        <v>3.5463499999999999</v>
      </c>
      <c r="G46">
        <f t="shared" si="11"/>
        <v>4.2700029273994737E-2</v>
      </c>
    </row>
    <row r="47" spans="1:12" x14ac:dyDescent="0.3">
      <c r="A47">
        <v>500</v>
      </c>
      <c r="B47">
        <f>5.3654-1.3416</f>
        <v>4.0238000000000005</v>
      </c>
      <c r="C47">
        <f>5.3789-1.3516</f>
        <v>4.0273000000000003</v>
      </c>
      <c r="D47">
        <f>5.4711-1.4556</f>
        <v>4.0154999999999994</v>
      </c>
      <c r="E47">
        <f>5.5458-1.4429</f>
        <v>4.1029</v>
      </c>
      <c r="F47">
        <f t="shared" si="10"/>
        <v>4.0423749999999998</v>
      </c>
      <c r="G47">
        <f t="shared" si="11"/>
        <v>3.5205921021896312E-2</v>
      </c>
    </row>
    <row r="49" spans="1:9" x14ac:dyDescent="0.3">
      <c r="B49" s="2" t="s">
        <v>24</v>
      </c>
    </row>
    <row r="50" spans="1:9" x14ac:dyDescent="0.3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s="1" t="s">
        <v>7</v>
      </c>
      <c r="I50" s="4" t="s">
        <v>10</v>
      </c>
    </row>
    <row r="51" spans="1:9" x14ac:dyDescent="0.3">
      <c r="A51">
        <v>100</v>
      </c>
      <c r="B51">
        <f>1.96635-0.04797</f>
        <v>1.91838</v>
      </c>
      <c r="C51">
        <f>1.73462+0.03693</f>
        <v>1.77155</v>
      </c>
      <c r="D51">
        <f>1.63702+0.15247</f>
        <v>1.7894899999999998</v>
      </c>
      <c r="E51">
        <f>1.74552+0.04754</f>
        <v>1.7930599999999999</v>
      </c>
      <c r="F51">
        <f>AVERAGE(B51:E51)</f>
        <v>1.8181199999999997</v>
      </c>
      <c r="G51">
        <f>_xlfn.STDEV.P(B51:E51)</f>
        <v>5.8456207968016573E-2</v>
      </c>
      <c r="I51" t="s">
        <v>28</v>
      </c>
    </row>
    <row r="52" spans="1:9" x14ac:dyDescent="0.3">
      <c r="A52">
        <v>200</v>
      </c>
      <c r="B52">
        <f>2.74806-0.10962</f>
        <v>2.6384400000000001</v>
      </c>
      <c r="C52">
        <f>2.69899-0.06646</f>
        <v>2.6325299999999996</v>
      </c>
      <c r="D52">
        <f>2.47962+0.10451</f>
        <v>2.58413</v>
      </c>
      <c r="E52">
        <f>2.44855-0.04752</f>
        <v>2.40103</v>
      </c>
      <c r="F52">
        <f t="shared" ref="F52:F55" si="12">AVERAGE(B52:E52)</f>
        <v>2.5640325000000002</v>
      </c>
      <c r="G52">
        <f t="shared" ref="G52:G55" si="13">_xlfn.STDEV.P(B52:E52)</f>
        <v>9.6439240036149135E-2</v>
      </c>
    </row>
    <row r="53" spans="1:9" x14ac:dyDescent="0.3">
      <c r="A53">
        <v>300</v>
      </c>
      <c r="B53">
        <f>6.6284-3.493</f>
        <v>3.1354000000000002</v>
      </c>
      <c r="C53">
        <f>6.5924-3.3845</f>
        <v>3.2078999999999995</v>
      </c>
      <c r="D53">
        <f>6.6363-3.3227</f>
        <v>3.3136000000000001</v>
      </c>
      <c r="E53">
        <f>6.5976-3.1544</f>
        <v>3.4432</v>
      </c>
      <c r="F53">
        <f t="shared" si="12"/>
        <v>3.2750250000000003</v>
      </c>
      <c r="G53">
        <f t="shared" si="13"/>
        <v>0.11594370131663041</v>
      </c>
    </row>
    <row r="54" spans="1:9" x14ac:dyDescent="0.3">
      <c r="A54">
        <v>400</v>
      </c>
      <c r="B54">
        <f>6.5021-2.8655</f>
        <v>3.6366000000000005</v>
      </c>
      <c r="C54">
        <f>6.5444-2.8917</f>
        <v>3.6527000000000003</v>
      </c>
      <c r="D54">
        <f>6.5159-2.8448</f>
        <v>3.6711</v>
      </c>
      <c r="E54">
        <f>6.4792-2.8984</f>
        <v>3.5807999999999995</v>
      </c>
      <c r="F54">
        <f t="shared" si="12"/>
        <v>3.6353</v>
      </c>
      <c r="G54">
        <f t="shared" si="13"/>
        <v>3.375033333168749E-2</v>
      </c>
    </row>
    <row r="55" spans="1:9" x14ac:dyDescent="0.3">
      <c r="A55">
        <v>500</v>
      </c>
      <c r="B55">
        <f>6.8539-2.6052</f>
        <v>4.2487000000000004</v>
      </c>
      <c r="C55">
        <f>6.8389-2.6565</f>
        <v>4.1823999999999995</v>
      </c>
      <c r="D55">
        <f>6.8825-2.9341</f>
        <v>3.9484000000000004</v>
      </c>
      <c r="E55">
        <f>6.7123-2.691</f>
        <v>4.0213000000000001</v>
      </c>
      <c r="F55">
        <f t="shared" si="12"/>
        <v>4.1002000000000001</v>
      </c>
      <c r="G55">
        <f t="shared" si="13"/>
        <v>0.12049641073492594</v>
      </c>
    </row>
    <row r="57" spans="1:9" x14ac:dyDescent="0.3">
      <c r="B57" s="2" t="s">
        <v>25</v>
      </c>
    </row>
    <row r="58" spans="1:9" x14ac:dyDescent="0.3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6</v>
      </c>
      <c r="G58" s="1" t="s">
        <v>7</v>
      </c>
      <c r="I58" s="4" t="s">
        <v>10</v>
      </c>
    </row>
    <row r="59" spans="1:9" x14ac:dyDescent="0.3">
      <c r="A59">
        <v>100</v>
      </c>
      <c r="B59">
        <f>2.929+0.1435</f>
        <v>3.0724999999999998</v>
      </c>
      <c r="C59">
        <f>3.0181+0.1573</f>
        <v>3.1753999999999998</v>
      </c>
      <c r="D59">
        <f>2.702-0.1681</f>
        <v>2.5339</v>
      </c>
      <c r="E59">
        <f>2.2403+0.1329</f>
        <v>2.3731999999999998</v>
      </c>
      <c r="F59">
        <f>AVERAGE(B59:E59)</f>
        <v>2.7887500000000003</v>
      </c>
      <c r="G59">
        <f>_xlfn.STDEV.P(B59:E59)</f>
        <v>0.34192199768367915</v>
      </c>
      <c r="I59" t="s">
        <v>29</v>
      </c>
    </row>
    <row r="60" spans="1:9" x14ac:dyDescent="0.3">
      <c r="A60">
        <v>200</v>
      </c>
      <c r="B60">
        <f>3.8286+0.0153</f>
        <v>3.8438999999999997</v>
      </c>
      <c r="C60">
        <f>3.5507-0.07133</f>
        <v>3.4793699999999999</v>
      </c>
      <c r="D60">
        <f>3.08518+0.08815</f>
        <v>3.17333</v>
      </c>
      <c r="E60">
        <f>3.41437-0.09402</f>
        <v>3.3203499999999999</v>
      </c>
      <c r="F60">
        <f t="shared" ref="F60:F63" si="14">AVERAGE(B60:E60)</f>
        <v>3.4542374999999996</v>
      </c>
      <c r="G60">
        <f t="shared" ref="G60:G63" si="15">_xlfn.STDEV.P(B60:E60)</f>
        <v>0.24965145336799052</v>
      </c>
    </row>
    <row r="61" spans="1:9" x14ac:dyDescent="0.3">
      <c r="A61">
        <v>300</v>
      </c>
      <c r="B61">
        <f>11.689-7.6017</f>
        <v>4.0872999999999999</v>
      </c>
      <c r="C61">
        <f>10.986-7.1473</f>
        <v>3.8387000000000002</v>
      </c>
      <c r="D61">
        <f>11.21-7.0335</f>
        <v>4.1765000000000008</v>
      </c>
      <c r="E61">
        <f>10.819-6.6889</f>
        <v>4.1301000000000005</v>
      </c>
      <c r="F61">
        <f t="shared" si="14"/>
        <v>4.0581500000000004</v>
      </c>
      <c r="G61">
        <f t="shared" si="15"/>
        <v>0.13056755914085258</v>
      </c>
    </row>
    <row r="62" spans="1:9" x14ac:dyDescent="0.3">
      <c r="A62">
        <v>400</v>
      </c>
      <c r="B62">
        <f>10.312-6.1736</f>
        <v>4.138399999999999</v>
      </c>
      <c r="C62">
        <f>10.701-6.2597</f>
        <v>4.4413000000000009</v>
      </c>
      <c r="D62">
        <f>10.155-6.0093</f>
        <v>4.1456999999999997</v>
      </c>
      <c r="E62">
        <f>10.17-6.1124</f>
        <v>4.0575999999999999</v>
      </c>
      <c r="F62">
        <f t="shared" si="14"/>
        <v>4.1957499999999994</v>
      </c>
      <c r="G62">
        <f t="shared" si="15"/>
        <v>0.14592313901503132</v>
      </c>
    </row>
    <row r="63" spans="1:9" x14ac:dyDescent="0.3">
      <c r="A63">
        <v>500</v>
      </c>
      <c r="B63">
        <f>10.307-5.5711</f>
        <v>4.7359</v>
      </c>
      <c r="C63">
        <f>10.522-5.7929</f>
        <v>4.7290999999999999</v>
      </c>
      <c r="D63">
        <f>9.9353-5.157</f>
        <v>4.7782999999999998</v>
      </c>
      <c r="E63">
        <f>10.122-5.0889</f>
        <v>5.0331000000000001</v>
      </c>
      <c r="F63">
        <f t="shared" si="14"/>
        <v>4.8190999999999997</v>
      </c>
      <c r="G63">
        <f t="shared" si="15"/>
        <v>0.12498287882746191</v>
      </c>
    </row>
    <row r="65" spans="1:9" x14ac:dyDescent="0.3">
      <c r="B65" s="2" t="s">
        <v>26</v>
      </c>
    </row>
    <row r="66" spans="1:9" x14ac:dyDescent="0.3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s="1" t="s">
        <v>7</v>
      </c>
      <c r="I66" s="4" t="s">
        <v>10</v>
      </c>
    </row>
    <row r="67" spans="1:9" x14ac:dyDescent="0.3">
      <c r="A67">
        <v>100</v>
      </c>
      <c r="B67">
        <f>2.4791+0.463</f>
        <v>2.9420999999999999</v>
      </c>
      <c r="C67">
        <f>3.0811-0.1825</f>
        <v>2.8986000000000001</v>
      </c>
      <c r="D67">
        <f>4.0797-0.2143</f>
        <v>3.8653999999999997</v>
      </c>
      <c r="E67">
        <f>3.4059+0.1353</f>
        <v>3.5411999999999999</v>
      </c>
      <c r="F67">
        <f>AVERAGE(B67:E67)</f>
        <v>3.3118249999999998</v>
      </c>
      <c r="G67">
        <f>_xlfn.STDEV.P(B67:E67)</f>
        <v>0.40820021052787314</v>
      </c>
      <c r="I67" t="s">
        <v>30</v>
      </c>
    </row>
    <row r="68" spans="1:9" x14ac:dyDescent="0.3">
      <c r="A68">
        <v>200</v>
      </c>
      <c r="B68">
        <f>21.898-17.468</f>
        <v>4.43</v>
      </c>
      <c r="C68">
        <f>21.953-16.776</f>
        <v>5.1769999999999996</v>
      </c>
      <c r="D68">
        <f>20.511-15.003</f>
        <v>5.5079999999999991</v>
      </c>
      <c r="E68">
        <f>17.92-13.903</f>
        <v>4.0170000000000012</v>
      </c>
      <c r="F68">
        <f t="shared" ref="F68:F71" si="16">AVERAGE(B68:E68)</f>
        <v>4.7829999999999995</v>
      </c>
      <c r="G68">
        <f t="shared" ref="G68:G71" si="17">_xlfn.STDEV.P(B68:E68)</f>
        <v>0.58996313444146831</v>
      </c>
    </row>
    <row r="69" spans="1:9" x14ac:dyDescent="0.3">
      <c r="A69">
        <v>300</v>
      </c>
      <c r="B69">
        <f>17.773-12.585</f>
        <v>5.1879999999999988</v>
      </c>
      <c r="C69">
        <f>17.072-12.109</f>
        <v>4.9629999999999992</v>
      </c>
      <c r="D69">
        <f>17.242-12.11</f>
        <v>5.1320000000000014</v>
      </c>
      <c r="E69">
        <f>16.471-12.008</f>
        <v>4.463000000000001</v>
      </c>
      <c r="F69">
        <f t="shared" si="16"/>
        <v>4.9365000000000006</v>
      </c>
      <c r="G69">
        <f t="shared" si="17"/>
        <v>0.28564707245130266</v>
      </c>
    </row>
    <row r="70" spans="1:9" x14ac:dyDescent="0.3">
      <c r="A70">
        <v>400</v>
      </c>
      <c r="B70">
        <f>16.823-11.694</f>
        <v>5.1289999999999996</v>
      </c>
      <c r="C70">
        <f>16.413-10.827</f>
        <v>5.5860000000000003</v>
      </c>
      <c r="D70">
        <f>16.107-10.883</f>
        <v>5.2240000000000002</v>
      </c>
      <c r="E70">
        <f>15.346-10.657</f>
        <v>4.6890000000000001</v>
      </c>
      <c r="F70">
        <f t="shared" si="16"/>
        <v>5.157</v>
      </c>
      <c r="G70">
        <f t="shared" si="17"/>
        <v>0.31950665094798897</v>
      </c>
    </row>
    <row r="71" spans="1:9" x14ac:dyDescent="0.3">
      <c r="A71">
        <v>500</v>
      </c>
      <c r="B71">
        <f>15.049-9.901</f>
        <v>5.1479999999999997</v>
      </c>
      <c r="C71">
        <f>16.349-10.403</f>
        <v>5.9459999999999997</v>
      </c>
      <c r="D71">
        <f>16.075-10.725</f>
        <v>5.35</v>
      </c>
      <c r="E71">
        <f>16.3-10.587</f>
        <v>5.713000000000001</v>
      </c>
      <c r="F71">
        <f t="shared" si="16"/>
        <v>5.53925</v>
      </c>
      <c r="G71">
        <f t="shared" si="17"/>
        <v>0.31005110465857094</v>
      </c>
    </row>
    <row r="73" spans="1:9" x14ac:dyDescent="0.3">
      <c r="B73" s="2" t="s">
        <v>31</v>
      </c>
    </row>
    <row r="74" spans="1:9" x14ac:dyDescent="0.3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s="1" t="s">
        <v>7</v>
      </c>
      <c r="I74" s="4" t="s">
        <v>10</v>
      </c>
    </row>
    <row r="75" spans="1:9" x14ac:dyDescent="0.3">
      <c r="A75">
        <v>100</v>
      </c>
      <c r="B75" t="s">
        <v>35</v>
      </c>
      <c r="C75" t="s">
        <v>35</v>
      </c>
      <c r="D75" t="s">
        <v>35</v>
      </c>
      <c r="E75" t="s">
        <v>35</v>
      </c>
      <c r="F75" t="s">
        <v>35</v>
      </c>
      <c r="G75" t="s">
        <v>35</v>
      </c>
      <c r="I75" t="s">
        <v>36</v>
      </c>
    </row>
    <row r="76" spans="1:9" x14ac:dyDescent="0.3">
      <c r="A76">
        <v>200</v>
      </c>
      <c r="B76">
        <f>27.618-21.988</f>
        <v>5.629999999999999</v>
      </c>
      <c r="C76">
        <f>27.272-22.134</f>
        <v>5.1379999999999981</v>
      </c>
      <c r="D76">
        <f>26.764-21.048</f>
        <v>5.7160000000000011</v>
      </c>
      <c r="E76" t="s">
        <v>35</v>
      </c>
      <c r="F76">
        <f>AVERAGE(B76:D76)</f>
        <v>5.4946666666666664</v>
      </c>
      <c r="G76">
        <f>_xlfn.STDEV.P(B76:D76)</f>
        <v>0.25463350569440529</v>
      </c>
    </row>
    <row r="77" spans="1:9" x14ac:dyDescent="0.3">
      <c r="A77">
        <v>300</v>
      </c>
      <c r="B77">
        <f>26.487-19.683</f>
        <v>6.8039999999999985</v>
      </c>
      <c r="C77">
        <f>26.44-19.413</f>
        <v>7.027000000000001</v>
      </c>
      <c r="D77">
        <f>26.449-19.744</f>
        <v>6.7050000000000018</v>
      </c>
      <c r="E77">
        <f>25.248-18.516</f>
        <v>6.7320000000000029</v>
      </c>
      <c r="F77">
        <f>AVERAGE(B77:E77)</f>
        <v>6.8170000000000011</v>
      </c>
      <c r="G77">
        <f>_xlfn.STDEV.P(B77:E77)</f>
        <v>0.12652865288147144</v>
      </c>
    </row>
    <row r="78" spans="1:9" x14ac:dyDescent="0.3">
      <c r="A78">
        <v>400</v>
      </c>
      <c r="B78">
        <f>24.257-18.275</f>
        <v>5.9820000000000029</v>
      </c>
      <c r="C78">
        <f>24.478-17.705</f>
        <v>6.7730000000000032</v>
      </c>
      <c r="D78">
        <f>25.014-18.146</f>
        <v>6.8679999999999986</v>
      </c>
      <c r="E78">
        <f>23.509-17.565</f>
        <v>5.9439999999999991</v>
      </c>
      <c r="F78">
        <f t="shared" ref="F78:F79" si="18">AVERAGE(B78:E78)</f>
        <v>6.3917500000000009</v>
      </c>
      <c r="G78">
        <f t="shared" ref="G78:G79" si="19">_xlfn.STDEV.P(B78:E78)</f>
        <v>0.43027338692975181</v>
      </c>
    </row>
    <row r="79" spans="1:9" x14ac:dyDescent="0.3">
      <c r="A79">
        <v>500</v>
      </c>
      <c r="B79">
        <f>24.619-17.227</f>
        <v>7.3919999999999995</v>
      </c>
      <c r="C79">
        <f>24.956-16.993</f>
        <v>7.963000000000001</v>
      </c>
      <c r="D79">
        <f>25.994-19.17</f>
        <v>6.8239999999999981</v>
      </c>
      <c r="E79">
        <f>25.725-19.428</f>
        <v>6.2970000000000006</v>
      </c>
      <c r="F79">
        <f t="shared" si="18"/>
        <v>7.1189999999999998</v>
      </c>
      <c r="G79">
        <f t="shared" si="19"/>
        <v>0.62240943116247871</v>
      </c>
    </row>
    <row r="81" spans="1:9" x14ac:dyDescent="0.3">
      <c r="B81" s="2" t="s">
        <v>32</v>
      </c>
    </row>
    <row r="82" spans="1:9" x14ac:dyDescent="0.3">
      <c r="A82" t="s">
        <v>1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  <c r="G82" s="1" t="s">
        <v>7</v>
      </c>
      <c r="I82" s="4" t="s">
        <v>10</v>
      </c>
    </row>
    <row r="83" spans="1:9" x14ac:dyDescent="0.3">
      <c r="A83">
        <v>100</v>
      </c>
      <c r="B83" t="s">
        <v>35</v>
      </c>
      <c r="C83" t="s">
        <v>35</v>
      </c>
      <c r="D83" t="s">
        <v>35</v>
      </c>
      <c r="E83" t="s">
        <v>35</v>
      </c>
      <c r="F83" t="s">
        <v>35</v>
      </c>
      <c r="G83" t="s">
        <v>35</v>
      </c>
      <c r="I83" t="s">
        <v>37</v>
      </c>
    </row>
    <row r="84" spans="1:9" x14ac:dyDescent="0.3">
      <c r="A84">
        <v>200</v>
      </c>
      <c r="B84">
        <f>54.391-43.711</f>
        <v>10.68</v>
      </c>
      <c r="C84">
        <f>52.916-42.856</f>
        <v>10.059999999999995</v>
      </c>
      <c r="D84">
        <f>48.793-41.478</f>
        <v>7.3149999999999977</v>
      </c>
      <c r="E84">
        <f>46.504-38.018</f>
        <v>8.4859999999999971</v>
      </c>
      <c r="F84">
        <f>AVERAGE(B84:E84)</f>
        <v>9.1352499999999974</v>
      </c>
      <c r="G84">
        <f>_xlfn.STDEV.P(B84:E84)</f>
        <v>1.3206296556945876</v>
      </c>
    </row>
    <row r="85" spans="1:9" x14ac:dyDescent="0.3">
      <c r="A85">
        <v>300</v>
      </c>
      <c r="B85">
        <f>45.106-37.453</f>
        <v>7.6529999999999987</v>
      </c>
      <c r="C85">
        <f>46.398-37.066</f>
        <v>9.3320000000000007</v>
      </c>
      <c r="D85">
        <f>42.886-34.174</f>
        <v>8.7120000000000033</v>
      </c>
      <c r="E85">
        <f>43.01-35.066</f>
        <v>7.9439999999999955</v>
      </c>
      <c r="F85">
        <f t="shared" ref="F85:F87" si="20">AVERAGE(B85:E85)</f>
        <v>8.4102499999999996</v>
      </c>
      <c r="G85">
        <f t="shared" ref="G85:G87" si="21">_xlfn.STDEV.P(B85:E85)</f>
        <v>0.65793098992219723</v>
      </c>
    </row>
    <row r="86" spans="1:9" x14ac:dyDescent="0.3">
      <c r="A86">
        <v>400</v>
      </c>
      <c r="B86">
        <f>40.127-32.429</f>
        <v>7.6980000000000004</v>
      </c>
      <c r="C86">
        <f>39.105-32.708</f>
        <v>6.3969999999999985</v>
      </c>
      <c r="D86">
        <f>40.342-30.678</f>
        <v>9.6639999999999979</v>
      </c>
      <c r="E86">
        <f>37.677-29.74</f>
        <v>7.9370000000000012</v>
      </c>
      <c r="F86">
        <f t="shared" si="20"/>
        <v>7.9239999999999995</v>
      </c>
      <c r="G86">
        <f t="shared" si="21"/>
        <v>1.1630320287937039</v>
      </c>
    </row>
    <row r="87" spans="1:9" x14ac:dyDescent="0.3">
      <c r="A87">
        <v>500</v>
      </c>
      <c r="B87">
        <f>38.12-29.232</f>
        <v>8.8879999999999981</v>
      </c>
      <c r="C87">
        <f>36.061-27.585</f>
        <v>8.4759999999999991</v>
      </c>
      <c r="D87">
        <f>39.062-29.661</f>
        <v>9.4009999999999962</v>
      </c>
      <c r="E87">
        <f>39.163-29.234</f>
        <v>9.9289999999999949</v>
      </c>
      <c r="F87">
        <f t="shared" si="20"/>
        <v>9.1734999999999971</v>
      </c>
      <c r="G87">
        <f t="shared" si="21"/>
        <v>0.5455623245789597</v>
      </c>
    </row>
    <row r="89" spans="1:9" x14ac:dyDescent="0.3">
      <c r="B89" s="2" t="s">
        <v>33</v>
      </c>
    </row>
    <row r="90" spans="1:9" x14ac:dyDescent="0.3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s="1" t="s">
        <v>7</v>
      </c>
      <c r="I90" s="4" t="s">
        <v>10</v>
      </c>
    </row>
    <row r="91" spans="1:9" x14ac:dyDescent="0.3">
      <c r="A91">
        <v>100</v>
      </c>
      <c r="B91" t="s">
        <v>35</v>
      </c>
      <c r="C91" t="s">
        <v>35</v>
      </c>
      <c r="D91" t="s">
        <v>35</v>
      </c>
      <c r="E91" t="s">
        <v>35</v>
      </c>
      <c r="F91" t="s">
        <v>35</v>
      </c>
      <c r="G91" t="s">
        <v>35</v>
      </c>
      <c r="I91" t="s">
        <v>38</v>
      </c>
    </row>
    <row r="92" spans="1:9" x14ac:dyDescent="0.3">
      <c r="A92">
        <v>200</v>
      </c>
      <c r="B92">
        <f>83.249-69.355</f>
        <v>13.893999999999991</v>
      </c>
      <c r="C92">
        <f>80.767-69.321</f>
        <v>11.445999999999998</v>
      </c>
      <c r="D92">
        <f>79.276-69.14</f>
        <v>10.135999999999996</v>
      </c>
      <c r="E92">
        <f>78.344-66.508</f>
        <v>11.835999999999999</v>
      </c>
      <c r="F92">
        <f>AVERAGE(B92:E92)</f>
        <v>11.827999999999996</v>
      </c>
      <c r="G92">
        <f>_xlfn.STDEV.P(B92:E92)</f>
        <v>1.3488150355033834</v>
      </c>
    </row>
    <row r="93" spans="1:9" x14ac:dyDescent="0.3">
      <c r="A93">
        <v>300</v>
      </c>
      <c r="B93">
        <f>70.49-58.856</f>
        <v>11.633999999999993</v>
      </c>
      <c r="C93">
        <f>71.74-59.597</f>
        <v>12.142999999999994</v>
      </c>
      <c r="D93">
        <f>71.356-60.963</f>
        <v>10.392999999999994</v>
      </c>
      <c r="E93">
        <f>73.986-59.128</f>
        <v>14.858000000000004</v>
      </c>
      <c r="F93">
        <f t="shared" ref="F93:F95" si="22">AVERAGE(B93:E93)</f>
        <v>12.256999999999996</v>
      </c>
      <c r="G93">
        <f t="shared" ref="G93:G95" si="23">_xlfn.STDEV.P(B93:E93)</f>
        <v>1.631013641880416</v>
      </c>
    </row>
    <row r="94" spans="1:9" x14ac:dyDescent="0.3">
      <c r="A94">
        <v>400</v>
      </c>
      <c r="B94">
        <f>66.264-53.429</f>
        <v>12.834999999999994</v>
      </c>
      <c r="C94">
        <f>65.36-52.643</f>
        <v>12.716999999999999</v>
      </c>
      <c r="D94">
        <f>61.426-50.01</f>
        <v>11.416000000000004</v>
      </c>
      <c r="E94">
        <f>58.538-47.7</f>
        <v>10.837999999999994</v>
      </c>
      <c r="F94">
        <f t="shared" si="22"/>
        <v>11.951499999999998</v>
      </c>
      <c r="G94">
        <f t="shared" si="23"/>
        <v>0.85047119292777873</v>
      </c>
    </row>
    <row r="95" spans="1:9" x14ac:dyDescent="0.3">
      <c r="A95">
        <v>500</v>
      </c>
      <c r="B95">
        <f>60.585-48.886</f>
        <v>11.698999999999998</v>
      </c>
      <c r="C95">
        <f>64.013-52.49</f>
        <v>11.523000000000003</v>
      </c>
      <c r="D95">
        <f>65.657-51.148</f>
        <v>14.508999999999993</v>
      </c>
      <c r="E95">
        <f>66.829-53.157</f>
        <v>13.671999999999997</v>
      </c>
      <c r="F95">
        <f t="shared" si="22"/>
        <v>12.850749999999998</v>
      </c>
      <c r="G95">
        <f t="shared" si="23"/>
        <v>1.2760968566296182</v>
      </c>
    </row>
    <row r="97" spans="1:9" x14ac:dyDescent="0.3">
      <c r="B97" s="2" t="s">
        <v>34</v>
      </c>
    </row>
    <row r="98" spans="1:9" x14ac:dyDescent="0.3">
      <c r="A98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6</v>
      </c>
      <c r="G98" s="1" t="s">
        <v>7</v>
      </c>
      <c r="I98" s="4" t="s">
        <v>10</v>
      </c>
    </row>
    <row r="99" spans="1:9" x14ac:dyDescent="0.3">
      <c r="A99">
        <v>100</v>
      </c>
      <c r="B99" t="s">
        <v>35</v>
      </c>
      <c r="C99" t="s">
        <v>35</v>
      </c>
      <c r="D99" t="s">
        <v>35</v>
      </c>
      <c r="E99" t="s">
        <v>35</v>
      </c>
      <c r="F99" t="s">
        <v>35</v>
      </c>
      <c r="G99" t="s">
        <v>35</v>
      </c>
      <c r="I99" t="s">
        <v>39</v>
      </c>
    </row>
    <row r="100" spans="1:9" x14ac:dyDescent="0.3">
      <c r="A100">
        <v>200</v>
      </c>
      <c r="B100">
        <f>13.237-1.125</f>
        <v>12.112</v>
      </c>
      <c r="C100">
        <f>13.482+1.636</f>
        <v>15.117999999999999</v>
      </c>
      <c r="D100">
        <f>15.421-0.546</f>
        <v>14.875</v>
      </c>
      <c r="E100">
        <f>9.156+4.736</f>
        <v>13.891999999999999</v>
      </c>
      <c r="F100">
        <f>AVERAGE(B100:E100)</f>
        <v>13.99925</v>
      </c>
      <c r="G100">
        <f>_xlfn.STDEV.P(B100:E100)</f>
        <v>1.1823445722377208</v>
      </c>
    </row>
    <row r="101" spans="1:9" x14ac:dyDescent="0.3">
      <c r="A101">
        <v>300</v>
      </c>
      <c r="B101">
        <f>120.62-101.26</f>
        <v>19.36</v>
      </c>
      <c r="C101">
        <f>111.77-96.65</f>
        <v>15.11999999999999</v>
      </c>
      <c r="D101">
        <f>109.01-96.289</f>
        <v>12.721000000000004</v>
      </c>
      <c r="E101">
        <f>108.09-94.145</f>
        <v>13.945000000000007</v>
      </c>
      <c r="F101">
        <f t="shared" ref="F101:F103" si="24">AVERAGE(B101:E101)</f>
        <v>15.2865</v>
      </c>
      <c r="G101">
        <f t="shared" ref="G101:G103" si="25">_xlfn.STDEV.P(B101:E101)</f>
        <v>2.5001268467819826</v>
      </c>
    </row>
    <row r="102" spans="1:9" x14ac:dyDescent="0.3">
      <c r="A102">
        <v>400</v>
      </c>
      <c r="B102">
        <f>110.61-88.23</f>
        <v>22.379999999999995</v>
      </c>
      <c r="C102">
        <f>103.71-87.596</f>
        <v>16.11399999999999</v>
      </c>
      <c r="D102">
        <f>106.55-90.332</f>
        <v>16.218000000000004</v>
      </c>
      <c r="E102">
        <f>107.45-92.582</f>
        <v>14.868000000000009</v>
      </c>
      <c r="F102">
        <f t="shared" si="24"/>
        <v>17.395</v>
      </c>
      <c r="G102">
        <f t="shared" si="25"/>
        <v>2.9266979687012467</v>
      </c>
    </row>
    <row r="103" spans="1:9" x14ac:dyDescent="0.3">
      <c r="A103">
        <v>500</v>
      </c>
      <c r="B103">
        <f>105.77-87.186</f>
        <v>18.583999999999989</v>
      </c>
      <c r="C103">
        <f>104.62-87.18</f>
        <v>17.439999999999998</v>
      </c>
      <c r="D103">
        <f>105.86-88.47</f>
        <v>17.39</v>
      </c>
      <c r="E103">
        <f>107.24-89.665</f>
        <v>17.574999999999989</v>
      </c>
      <c r="F103">
        <f t="shared" si="24"/>
        <v>17.747249999999994</v>
      </c>
      <c r="G103">
        <f t="shared" si="25"/>
        <v>0.48781419362293732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 Bandurist</cp:lastModifiedBy>
  <dcterms:created xsi:type="dcterms:W3CDTF">2015-06-05T18:17:20Z</dcterms:created>
  <dcterms:modified xsi:type="dcterms:W3CDTF">2024-01-08T09:47:58Z</dcterms:modified>
</cp:coreProperties>
</file>