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X-Ray Measurements (22-11-2023)\"/>
    </mc:Choice>
  </mc:AlternateContent>
  <xr:revisionPtr revIDLastSave="0" documentId="13_ncr:1_{E2E78491-1B62-407A-85DE-6F7920234A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K26" i="1"/>
  <c r="P25" i="1"/>
  <c r="O25" i="1"/>
  <c r="M25" i="1"/>
  <c r="N25" i="1"/>
  <c r="L25" i="1"/>
  <c r="K25" i="1"/>
  <c r="P24" i="1"/>
  <c r="P23" i="1"/>
  <c r="O24" i="1"/>
  <c r="M24" i="1"/>
  <c r="L24" i="1"/>
  <c r="K24" i="1"/>
  <c r="O23" i="1"/>
  <c r="N23" i="1"/>
  <c r="M23" i="1"/>
  <c r="L23" i="1"/>
  <c r="K23" i="1"/>
  <c r="P15" i="1"/>
  <c r="P22" i="1"/>
  <c r="O22" i="1"/>
  <c r="N22" i="1"/>
  <c r="M22" i="1"/>
  <c r="L22" i="1"/>
  <c r="K22" i="1"/>
  <c r="P18" i="1"/>
  <c r="O18" i="1"/>
  <c r="N18" i="1"/>
  <c r="M18" i="1"/>
  <c r="L18" i="1"/>
  <c r="K18" i="1"/>
  <c r="P17" i="1"/>
  <c r="N17" i="1"/>
  <c r="O17" i="1"/>
  <c r="M17" i="1"/>
  <c r="L17" i="1"/>
  <c r="K17" i="1"/>
  <c r="P16" i="1"/>
  <c r="O16" i="1"/>
  <c r="N16" i="1"/>
  <c r="M16" i="1"/>
  <c r="L16" i="1"/>
  <c r="K16" i="1"/>
  <c r="O15" i="1"/>
  <c r="N15" i="1"/>
  <c r="M15" i="1"/>
  <c r="L15" i="1"/>
  <c r="K15" i="1"/>
  <c r="H55" i="1"/>
  <c r="H54" i="1"/>
  <c r="H53" i="1"/>
  <c r="G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E46" i="1"/>
  <c r="D46" i="1"/>
  <c r="C46" i="1"/>
  <c r="B46" i="1"/>
  <c r="E45" i="1"/>
  <c r="D45" i="1"/>
  <c r="C45" i="1"/>
  <c r="B45" i="1"/>
  <c r="E44" i="1"/>
  <c r="C44" i="1"/>
  <c r="B44" i="1"/>
  <c r="D44" i="1"/>
  <c r="G46" i="1"/>
  <c r="E43" i="1"/>
  <c r="D43" i="1"/>
  <c r="G43" i="1" s="1"/>
  <c r="C43" i="1"/>
  <c r="B43" i="1"/>
  <c r="F43" i="1" s="1"/>
  <c r="E42" i="1"/>
  <c r="D42" i="1"/>
  <c r="C42" i="1"/>
  <c r="B42" i="1"/>
  <c r="G42" i="1" s="1"/>
  <c r="F42" i="1" l="1"/>
  <c r="F46" i="1"/>
  <c r="G45" i="1"/>
  <c r="F45" i="1"/>
  <c r="F44" i="1"/>
  <c r="G44" i="1"/>
  <c r="E32" i="1"/>
  <c r="D32" i="1"/>
  <c r="F32" i="1" s="1"/>
  <c r="C32" i="1"/>
  <c r="B32" i="1"/>
  <c r="E33" i="1"/>
  <c r="D33" i="1"/>
  <c r="C33" i="1"/>
  <c r="B33" i="1"/>
  <c r="C34" i="1"/>
  <c r="E34" i="1"/>
  <c r="D34" i="1"/>
  <c r="B34" i="1"/>
  <c r="E35" i="1"/>
  <c r="D35" i="1"/>
  <c r="C35" i="1"/>
  <c r="B35" i="1"/>
  <c r="G35" i="1" s="1"/>
  <c r="E36" i="1"/>
  <c r="D36" i="1"/>
  <c r="C36" i="1"/>
  <c r="G36" i="1" s="1"/>
  <c r="B36" i="1"/>
  <c r="F36" i="1" s="1"/>
  <c r="E26" i="1"/>
  <c r="D26" i="1"/>
  <c r="C26" i="1"/>
  <c r="B26" i="1"/>
  <c r="E25" i="1"/>
  <c r="F25" i="1" s="1"/>
  <c r="D25" i="1"/>
  <c r="C25" i="1"/>
  <c r="B25" i="1"/>
  <c r="D24" i="1"/>
  <c r="C24" i="1"/>
  <c r="B24" i="1"/>
  <c r="E23" i="1"/>
  <c r="D23" i="1"/>
  <c r="C23" i="1"/>
  <c r="B23" i="1"/>
  <c r="E22" i="1"/>
  <c r="D22" i="1"/>
  <c r="G22" i="1" s="1"/>
  <c r="C22" i="1"/>
  <c r="B22" i="1"/>
  <c r="F22" i="1" s="1"/>
  <c r="D18" i="1"/>
  <c r="E18" i="1"/>
  <c r="C18" i="1"/>
  <c r="B18" i="1"/>
  <c r="F18" i="1" s="1"/>
  <c r="E17" i="1"/>
  <c r="D17" i="1"/>
  <c r="G17" i="1" s="1"/>
  <c r="C17" i="1"/>
  <c r="B17" i="1"/>
  <c r="F17" i="1" s="1"/>
  <c r="D16" i="1"/>
  <c r="C16" i="1"/>
  <c r="B16" i="1"/>
  <c r="G16" i="1" s="1"/>
  <c r="E15" i="1"/>
  <c r="D15" i="1"/>
  <c r="C15" i="1"/>
  <c r="B15" i="1"/>
  <c r="F15" i="1" s="1"/>
  <c r="G24" i="1"/>
  <c r="F24" i="1"/>
  <c r="F7" i="1"/>
  <c r="F6" i="1"/>
  <c r="F5" i="1"/>
  <c r="F4" i="1"/>
  <c r="F10" i="1" s="1"/>
  <c r="E7" i="1"/>
  <c r="E6" i="1"/>
  <c r="E5" i="1"/>
  <c r="E10" i="1" s="1"/>
  <c r="E4" i="1"/>
  <c r="E9" i="1" s="1"/>
  <c r="D9" i="1"/>
  <c r="D6" i="1"/>
  <c r="D5" i="1"/>
  <c r="D4" i="1"/>
  <c r="D10" i="1" s="1"/>
  <c r="C10" i="1"/>
  <c r="C9" i="1"/>
  <c r="B10" i="1"/>
  <c r="B9" i="1"/>
  <c r="G26" i="1" l="1"/>
  <c r="F9" i="1"/>
  <c r="F16" i="1"/>
  <c r="F35" i="1"/>
  <c r="F34" i="1"/>
  <c r="G23" i="1"/>
  <c r="G33" i="1"/>
  <c r="G32" i="1"/>
  <c r="F33" i="1"/>
  <c r="G34" i="1"/>
  <c r="F26" i="1"/>
  <c r="G25" i="1"/>
  <c r="F23" i="1"/>
  <c r="G18" i="1"/>
  <c r="G15" i="1"/>
</calcChain>
</file>

<file path=xl/sharedStrings.xml><?xml version="1.0" encoding="utf-8"?>
<sst xmlns="http://schemas.openxmlformats.org/spreadsheetml/2006/main" count="99" uniqueCount="33">
  <si>
    <t>S12_d3</t>
  </si>
  <si>
    <t>I_XRay (uA)</t>
  </si>
  <si>
    <t>Peak1</t>
  </si>
  <si>
    <t>Peak2</t>
  </si>
  <si>
    <t>Peak3</t>
  </si>
  <si>
    <t>Peak4</t>
  </si>
  <si>
    <t>Peak1 (10^-10 A)</t>
  </si>
  <si>
    <t>Peak2 (10^-10 A)</t>
  </si>
  <si>
    <t>Peak3 (10^-10 A)</t>
  </si>
  <si>
    <t>Peak4 (10^-10 A)</t>
  </si>
  <si>
    <t>dI_average (10^-10 A)</t>
  </si>
  <si>
    <t>error (10^-10 A)</t>
  </si>
  <si>
    <t>VGate=30V</t>
  </si>
  <si>
    <t>VGate=40V</t>
  </si>
  <si>
    <t>VGate=50V</t>
  </si>
  <si>
    <t>Not seen</t>
  </si>
  <si>
    <t>Sensitivity per Volume (C/(Gy*m^3))</t>
  </si>
  <si>
    <t>I_XRaay (uA)</t>
  </si>
  <si>
    <t>S14_d3</t>
  </si>
  <si>
    <t>S12_d4</t>
  </si>
  <si>
    <t>(-1164±73)*10^11</t>
  </si>
  <si>
    <t>NEGATIVE SENSITIVITY</t>
  </si>
  <si>
    <t>VGate=1V</t>
  </si>
  <si>
    <t>S14_d4 (15/11/2023)</t>
  </si>
  <si>
    <t>Peak5</t>
  </si>
  <si>
    <t xml:space="preserve">Not seen </t>
  </si>
  <si>
    <t>(-123±24)*10^11</t>
  </si>
  <si>
    <t>VGate=40V_Recalculate</t>
  </si>
  <si>
    <t>VGate=50V_Recalculate</t>
  </si>
  <si>
    <t>(-30±7)*10^11</t>
  </si>
  <si>
    <t>(3.1±1.0)*10^11</t>
  </si>
  <si>
    <t>(3.8±0.2)*10^11</t>
  </si>
  <si>
    <t>(6.5±0.7)*10^11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</si>
</sst>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workbookViewId="0">
      <selection activeCell="R22" sqref="R22"/>
    </sheetView>
  </sheetViews>
  <sheetFormatPr defaultRowHeight="14.4" x14ac:dyDescent="0.3"/>
  <cols>
    <col min="1" max="1" width="18.88671875" customWidth="1"/>
    <col min="6" max="6" width="18.77734375" customWidth="1"/>
  </cols>
  <sheetData>
    <row r="1" spans="1:18" ht="15" thickBot="1" x14ac:dyDescent="0.35">
      <c r="A1" s="1" t="s">
        <v>0</v>
      </c>
      <c r="B1" s="3" t="s">
        <v>12</v>
      </c>
    </row>
    <row r="2" spans="1:18" ht="15" thickBot="1" x14ac:dyDescent="0.35">
      <c r="A2" t="s">
        <v>1</v>
      </c>
      <c r="B2" s="4">
        <v>100</v>
      </c>
      <c r="C2" s="5">
        <v>200</v>
      </c>
      <c r="D2" s="5">
        <v>300</v>
      </c>
      <c r="E2" s="5">
        <v>400</v>
      </c>
      <c r="F2" s="6">
        <v>500</v>
      </c>
    </row>
    <row r="3" spans="1:18" x14ac:dyDescent="0.3">
      <c r="A3" s="2"/>
      <c r="I3" s="8" t="s">
        <v>16</v>
      </c>
      <c r="J3" s="8"/>
    </row>
    <row r="4" spans="1:18" x14ac:dyDescent="0.3">
      <c r="A4" s="2" t="s">
        <v>6</v>
      </c>
      <c r="B4">
        <v>1.1000000000000001</v>
      </c>
      <c r="C4">
        <v>1.8</v>
      </c>
      <c r="D4">
        <f>11.596-7.9822</f>
        <v>3.6138000000000003</v>
      </c>
      <c r="E4">
        <f>12.498-8.2824</f>
        <v>4.2155999999999985</v>
      </c>
      <c r="F4">
        <f>14.031-8.3119</f>
        <v>5.719100000000001</v>
      </c>
      <c r="I4" s="8" t="s">
        <v>31</v>
      </c>
      <c r="J4" s="8"/>
    </row>
    <row r="5" spans="1:18" x14ac:dyDescent="0.3">
      <c r="A5" s="2" t="s">
        <v>7</v>
      </c>
      <c r="B5">
        <v>1.23</v>
      </c>
      <c r="C5">
        <v>2.44</v>
      </c>
      <c r="D5">
        <f>11.988-8.7701</f>
        <v>3.2179000000000002</v>
      </c>
      <c r="E5">
        <f>12.238-9.1586</f>
        <v>3.0793999999999997</v>
      </c>
      <c r="F5">
        <f>14.506-9.3336</f>
        <v>5.1723999999999997</v>
      </c>
    </row>
    <row r="6" spans="1:18" x14ac:dyDescent="0.3">
      <c r="A6" s="2" t="s">
        <v>8</v>
      </c>
      <c r="B6">
        <v>0.94</v>
      </c>
      <c r="C6">
        <v>2.2200000000000002</v>
      </c>
      <c r="D6">
        <f>12.174-8.8052</f>
        <v>3.3688000000000002</v>
      </c>
      <c r="E6">
        <f>12.657-8.7944</f>
        <v>3.8626000000000005</v>
      </c>
      <c r="F6">
        <f>13.929-9.2251</f>
        <v>4.7039000000000009</v>
      </c>
    </row>
    <row r="7" spans="1:18" x14ac:dyDescent="0.3">
      <c r="A7" s="2" t="s">
        <v>9</v>
      </c>
      <c r="B7">
        <v>0.96</v>
      </c>
      <c r="C7">
        <v>1.96</v>
      </c>
      <c r="E7">
        <f>13.35-8.9361</f>
        <v>4.4138999999999999</v>
      </c>
      <c r="F7">
        <f>14.353-8.6914</f>
        <v>5.6616</v>
      </c>
    </row>
    <row r="8" spans="1:18" x14ac:dyDescent="0.3">
      <c r="A8" s="2"/>
    </row>
    <row r="9" spans="1:18" x14ac:dyDescent="0.3">
      <c r="A9" s="2" t="s">
        <v>10</v>
      </c>
      <c r="B9">
        <f>AVERAGE(B4:B7)</f>
        <v>1.0575000000000001</v>
      </c>
      <c r="C9">
        <f>AVERAGE(C4:C7)</f>
        <v>2.1050000000000004</v>
      </c>
      <c r="D9">
        <f>AVERAGE(D4:D6)</f>
        <v>3.4001666666666672</v>
      </c>
      <c r="E9">
        <f>AVERAGE(E4:E7)</f>
        <v>3.8928749999999996</v>
      </c>
      <c r="F9">
        <f>AVERAGE(F4:F7)</f>
        <v>5.3142500000000004</v>
      </c>
    </row>
    <row r="10" spans="1:18" x14ac:dyDescent="0.3">
      <c r="A10" s="2" t="s">
        <v>11</v>
      </c>
      <c r="B10">
        <f>_xlfn.STDEV.P(B4:B7)</f>
        <v>0.11712706775122383</v>
      </c>
      <c r="C10">
        <f>_xlfn.STDEV.P(C4:C7)</f>
        <v>0.24469368606483929</v>
      </c>
      <c r="D10">
        <f>_xlfn.STDEV.P(D4:D6)</f>
        <v>0.16314023279239115</v>
      </c>
      <c r="E10">
        <f>_xlfn.STDEV.P(E4:E7)</f>
        <v>0.50947929975122552</v>
      </c>
      <c r="F10">
        <f>_xlfn.STDEV.P(F4:F7)</f>
        <v>0.41146205475110331</v>
      </c>
    </row>
    <row r="12" spans="1:18" x14ac:dyDescent="0.3">
      <c r="B12" s="3" t="s">
        <v>13</v>
      </c>
      <c r="I12" s="3"/>
      <c r="K12" s="3" t="s">
        <v>27</v>
      </c>
    </row>
    <row r="13" spans="1:18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s="2" t="s">
        <v>10</v>
      </c>
      <c r="G13" s="2" t="s">
        <v>11</v>
      </c>
      <c r="J13" t="s">
        <v>1</v>
      </c>
      <c r="K13" t="s">
        <v>2</v>
      </c>
      <c r="L13" t="s">
        <v>3</v>
      </c>
      <c r="M13" t="s">
        <v>4</v>
      </c>
      <c r="N13" t="s">
        <v>5</v>
      </c>
      <c r="O13" s="2" t="s">
        <v>10</v>
      </c>
      <c r="P13" s="2" t="s">
        <v>11</v>
      </c>
      <c r="R13" s="8" t="s">
        <v>16</v>
      </c>
    </row>
    <row r="14" spans="1:18" x14ac:dyDescent="0.3">
      <c r="A14">
        <v>100</v>
      </c>
      <c r="B14" t="s">
        <v>15</v>
      </c>
      <c r="C14" t="s">
        <v>15</v>
      </c>
      <c r="D14" t="s">
        <v>15</v>
      </c>
      <c r="E14" t="s">
        <v>15</v>
      </c>
      <c r="J14">
        <v>100</v>
      </c>
      <c r="R14" s="8" t="s">
        <v>30</v>
      </c>
    </row>
    <row r="15" spans="1:18" x14ac:dyDescent="0.3">
      <c r="A15">
        <v>200</v>
      </c>
      <c r="B15">
        <f>1.9473+1.1091</f>
        <v>3.0564</v>
      </c>
      <c r="C15">
        <f>3.8229-0.3757</f>
        <v>3.4472</v>
      </c>
      <c r="D15">
        <f>6.1944-2.2813</f>
        <v>3.9131</v>
      </c>
      <c r="E15">
        <f>4.8513-0.0382</f>
        <v>4.8131000000000004</v>
      </c>
      <c r="F15">
        <f>AVERAGE(B15:E15)</f>
        <v>3.8074500000000002</v>
      </c>
      <c r="G15">
        <f>_xlfn.STDEV.P(B15:E15)</f>
        <v>0.65504771009446183</v>
      </c>
      <c r="J15">
        <v>200</v>
      </c>
      <c r="K15">
        <f>1.6141+1.1091</f>
        <v>2.7232000000000003</v>
      </c>
      <c r="L15">
        <f>3.8229+0.0586</f>
        <v>3.8815000000000004</v>
      </c>
      <c r="M15">
        <f>4.1965-0.6339</f>
        <v>3.5626000000000002</v>
      </c>
      <c r="N15">
        <f>4.8513-0.059</f>
        <v>4.7923</v>
      </c>
      <c r="O15">
        <f>AVERAGE(K15:N15)</f>
        <v>3.7399000000000004</v>
      </c>
      <c r="P15">
        <f>_xlfn.STDEV.P(K15:O15)</f>
        <v>0.66222511278265639</v>
      </c>
    </row>
    <row r="16" spans="1:18" x14ac:dyDescent="0.3">
      <c r="A16">
        <v>300</v>
      </c>
      <c r="B16">
        <f>63.826+2.062</f>
        <v>65.888000000000005</v>
      </c>
      <c r="C16">
        <f>52.194+5.098</f>
        <v>57.292000000000002</v>
      </c>
      <c r="D16">
        <f>53.856+2.925</f>
        <v>56.780999999999999</v>
      </c>
      <c r="F16">
        <f t="shared" ref="F16:F17" si="0">AVERAGE(B16:E16)</f>
        <v>59.987000000000002</v>
      </c>
      <c r="G16">
        <f t="shared" ref="G16:G17" si="1">_xlfn.STDEV.P(B16:E16)</f>
        <v>4.1778488084978234</v>
      </c>
      <c r="J16">
        <v>300</v>
      </c>
      <c r="K16">
        <f>5.9188-0.1362</f>
        <v>5.7826000000000004</v>
      </c>
      <c r="L16">
        <f>4.9696+0.0519</f>
        <v>5.0214999999999996</v>
      </c>
      <c r="M16">
        <f>4.7007+0.2428</f>
        <v>4.9435000000000002</v>
      </c>
      <c r="N16">
        <f>5.1499+0.3712</f>
        <v>5.5210999999999997</v>
      </c>
      <c r="O16">
        <f>AVERAGE(K16:N16)</f>
        <v>5.3171749999999998</v>
      </c>
      <c r="P16">
        <f>_xlfn.STDEV.P(K16:O16)</f>
        <v>0.31153251756437894</v>
      </c>
    </row>
    <row r="17" spans="1:18" x14ac:dyDescent="0.3">
      <c r="A17">
        <v>400</v>
      </c>
      <c r="B17">
        <f>54.327-0.974</f>
        <v>53.353000000000002</v>
      </c>
      <c r="C17">
        <f>44.612-2.439</f>
        <v>42.173000000000002</v>
      </c>
      <c r="D17">
        <f>45.119-0.243</f>
        <v>44.875999999999998</v>
      </c>
      <c r="E17">
        <f>46.079+1.454</f>
        <v>47.533000000000001</v>
      </c>
      <c r="F17">
        <f t="shared" si="0"/>
        <v>46.983750000000001</v>
      </c>
      <c r="G17">
        <f t="shared" si="1"/>
        <v>4.1368752322858375</v>
      </c>
      <c r="J17">
        <v>400</v>
      </c>
      <c r="K17">
        <f>5.8992+0.2849</f>
        <v>6.1841000000000008</v>
      </c>
      <c r="L17">
        <f>7.039-1.6432</f>
        <v>5.3957999999999995</v>
      </c>
      <c r="M17">
        <f>5.1994+0.2401</f>
        <v>5.4394999999999998</v>
      </c>
      <c r="N17">
        <f>3.9828+1.003</f>
        <v>4.9858000000000002</v>
      </c>
      <c r="O17">
        <f>AVERAGE(K17:N17)</f>
        <v>5.5013000000000005</v>
      </c>
      <c r="P17">
        <f>_xlfn.STDEV.P(K17:O17)</f>
        <v>0.38649853298557318</v>
      </c>
    </row>
    <row r="18" spans="1:18" x14ac:dyDescent="0.3">
      <c r="A18">
        <v>500</v>
      </c>
      <c r="B18">
        <f>37.266+0.159</f>
        <v>37.424999999999997</v>
      </c>
      <c r="C18">
        <f>40.613+2.098</f>
        <v>42.710999999999999</v>
      </c>
      <c r="D18">
        <f>39.699-1.826</f>
        <v>37.872999999999998</v>
      </c>
      <c r="E18">
        <f>33.232+2.332</f>
        <v>35.564</v>
      </c>
      <c r="F18">
        <f>AVERAGE(B18:E18)</f>
        <v>38.393249999999995</v>
      </c>
      <c r="G18">
        <f>_xlfn.STDEV.P(B18:E18)</f>
        <v>2.6389291744001007</v>
      </c>
      <c r="J18">
        <v>500</v>
      </c>
      <c r="K18">
        <f>7.7217+0.1282</f>
        <v>7.8498999999999999</v>
      </c>
      <c r="L18">
        <f>5.2657+1.0023</f>
        <v>6.2679999999999998</v>
      </c>
      <c r="M18">
        <f>6.7202+0.6105</f>
        <v>7.3307000000000002</v>
      </c>
      <c r="N18">
        <f>6.5508+0.6666</f>
        <v>7.2173999999999996</v>
      </c>
      <c r="O18">
        <f>AVERAGE(K18:N18)</f>
        <v>7.1664999999999992</v>
      </c>
      <c r="P18">
        <f>_xlfn.STDEV.P(K18:O18)</f>
        <v>0.51066432418957963</v>
      </c>
    </row>
    <row r="20" spans="1:18" x14ac:dyDescent="0.3">
      <c r="B20" s="3" t="s">
        <v>14</v>
      </c>
      <c r="K20" s="3" t="s">
        <v>28</v>
      </c>
    </row>
    <row r="21" spans="1:18" x14ac:dyDescent="0.3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s="2" t="s">
        <v>10</v>
      </c>
      <c r="G21" s="2" t="s">
        <v>11</v>
      </c>
      <c r="J21" t="s">
        <v>1</v>
      </c>
      <c r="K21" t="s">
        <v>2</v>
      </c>
      <c r="L21" t="s">
        <v>3</v>
      </c>
      <c r="M21" t="s">
        <v>4</v>
      </c>
      <c r="N21" t="s">
        <v>5</v>
      </c>
      <c r="O21" s="2" t="s">
        <v>10</v>
      </c>
      <c r="P21" s="2" t="s">
        <v>11</v>
      </c>
      <c r="R21" s="8" t="s">
        <v>16</v>
      </c>
    </row>
    <row r="22" spans="1:18" x14ac:dyDescent="0.3">
      <c r="A22">
        <v>100</v>
      </c>
      <c r="B22">
        <f>73.4+2.34</f>
        <v>75.740000000000009</v>
      </c>
      <c r="C22">
        <f>61.55+15.46</f>
        <v>77.009999999999991</v>
      </c>
      <c r="D22">
        <f>67.061+2.754</f>
        <v>69.815000000000012</v>
      </c>
      <c r="E22">
        <f>61.76-5.305</f>
        <v>56.454999999999998</v>
      </c>
      <c r="F22">
        <f>AVERAGE(B22:E22)</f>
        <v>69.754999999999995</v>
      </c>
      <c r="G22">
        <f>_xlfn.STDEV.P(B22:E22)</f>
        <v>8.1447659573495752</v>
      </c>
      <c r="J22">
        <v>100</v>
      </c>
      <c r="K22">
        <f>72.4+10.35</f>
        <v>82.75</v>
      </c>
      <c r="L22">
        <f>61.55+15.99</f>
        <v>77.539999999999992</v>
      </c>
      <c r="M22">
        <f>65.272+3.7332</f>
        <v>69.005200000000002</v>
      </c>
      <c r="N22">
        <f>61.76+2.852</f>
        <v>64.611999999999995</v>
      </c>
      <c r="O22">
        <f>AVERAGE(K22:N22)</f>
        <v>73.476799999999997</v>
      </c>
      <c r="P22">
        <f>_xlfn.STDEV.P(K22:N22)</f>
        <v>7.0901642801842044</v>
      </c>
      <c r="R22" s="8" t="s">
        <v>29</v>
      </c>
    </row>
    <row r="23" spans="1:18" x14ac:dyDescent="0.3">
      <c r="A23">
        <v>200</v>
      </c>
      <c r="B23">
        <f>65.409+2.351</f>
        <v>67.760000000000005</v>
      </c>
      <c r="C23">
        <f>49.182+1.1005</f>
        <v>50.282499999999999</v>
      </c>
      <c r="D23">
        <f>51.658+6.207</f>
        <v>57.865000000000002</v>
      </c>
      <c r="E23">
        <f>54.343-5.252</f>
        <v>49.091000000000001</v>
      </c>
      <c r="F23">
        <f>AVERAGE(B23:E23)</f>
        <v>56.249625000000002</v>
      </c>
      <c r="G23">
        <f>_xlfn.STDEV.P(B23:E23)</f>
        <v>7.4490043241949548</v>
      </c>
      <c r="J23">
        <v>200</v>
      </c>
      <c r="K23">
        <f>65.409+1.119</f>
        <v>66.528000000000006</v>
      </c>
      <c r="L23">
        <f>61.494+5.545</f>
        <v>67.039000000000001</v>
      </c>
      <c r="M23">
        <f>55.03+6.476</f>
        <v>61.506</v>
      </c>
      <c r="N23">
        <f>54.343-2.867</f>
        <v>51.476000000000006</v>
      </c>
      <c r="O23">
        <f>AVERAGE(K23:N23)</f>
        <v>61.637250000000002</v>
      </c>
      <c r="P23">
        <f>_xlfn.STDEV.P(K23:N23)</f>
        <v>6.2523309003523009</v>
      </c>
    </row>
    <row r="24" spans="1:18" x14ac:dyDescent="0.3">
      <c r="A24">
        <v>300</v>
      </c>
      <c r="B24">
        <f>63.929+3.888</f>
        <v>67.817000000000007</v>
      </c>
      <c r="C24">
        <f>59.423+5.098</f>
        <v>64.521000000000001</v>
      </c>
      <c r="D24">
        <f>53.856+1.338</f>
        <v>55.194000000000003</v>
      </c>
      <c r="F24">
        <f>AVERAGE(B24:D24)</f>
        <v>62.51066666666668</v>
      </c>
      <c r="G24">
        <f>_xlfn.STDEV.P(B24:D24)</f>
        <v>5.3457841540995865</v>
      </c>
      <c r="J24">
        <v>300</v>
      </c>
      <c r="K24">
        <f>68.663+4.376</f>
        <v>73.039000000000001</v>
      </c>
      <c r="L24">
        <f>61.177+3.811</f>
        <v>64.988</v>
      </c>
      <c r="M24">
        <f>57.44+1.502</f>
        <v>58.942</v>
      </c>
      <c r="O24">
        <f>AVERAGE(K24:N24)</f>
        <v>65.656333333333336</v>
      </c>
      <c r="P24">
        <f>_xlfn.STDEV.P(K24:N24)</f>
        <v>5.7744468325738554</v>
      </c>
    </row>
    <row r="25" spans="1:18" x14ac:dyDescent="0.3">
      <c r="A25">
        <v>400</v>
      </c>
      <c r="B25">
        <f>54.327-0.107</f>
        <v>54.22</v>
      </c>
      <c r="C25">
        <f>44.664+3.928</f>
        <v>48.591999999999999</v>
      </c>
      <c r="D25">
        <f>45.715+0.999</f>
        <v>46.714000000000006</v>
      </c>
      <c r="E25">
        <f>44.966+1.978</f>
        <v>46.944000000000003</v>
      </c>
      <c r="F25">
        <f>AVERAGE(B25:E25)</f>
        <v>49.117500000000007</v>
      </c>
      <c r="G25">
        <f>_xlfn.STDEV.P(B25:E25)</f>
        <v>3.0336682003805207</v>
      </c>
      <c r="J25">
        <v>400</v>
      </c>
      <c r="K25">
        <f>54.358-0.107</f>
        <v>54.250999999999998</v>
      </c>
      <c r="L25">
        <f>53.368+3.928</f>
        <v>57.295999999999999</v>
      </c>
      <c r="M25">
        <f>53.02+3.537</f>
        <v>56.557000000000002</v>
      </c>
      <c r="N25">
        <f>47.632+2.42</f>
        <v>50.052</v>
      </c>
      <c r="O25">
        <f>AVERAGE(K25:N25)</f>
        <v>54.538999999999994</v>
      </c>
      <c r="P25">
        <f>_xlfn.STDEV.P(K25:N25)</f>
        <v>2.8235388256583267</v>
      </c>
    </row>
    <row r="26" spans="1:18" x14ac:dyDescent="0.3">
      <c r="A26">
        <v>500</v>
      </c>
      <c r="B26">
        <f>39.381+0.159</f>
        <v>39.54</v>
      </c>
      <c r="C26">
        <f>40.613+3.055</f>
        <v>43.667999999999999</v>
      </c>
      <c r="D26">
        <f>38.463+0.665</f>
        <v>39.128</v>
      </c>
      <c r="E26">
        <f>32.899+2.968</f>
        <v>35.867000000000004</v>
      </c>
      <c r="F26">
        <f>AVERAGE(B26:E26)</f>
        <v>39.550750000000001</v>
      </c>
      <c r="G26">
        <f>_xlfn.STDEV.P(B26:E26)</f>
        <v>2.7704058705359387</v>
      </c>
      <c r="J26">
        <v>500</v>
      </c>
      <c r="K26">
        <f>37.266+0.592</f>
        <v>37.857999999999997</v>
      </c>
      <c r="L26">
        <f>40.613+2.113</f>
        <v>42.725999999999999</v>
      </c>
      <c r="M26">
        <f>39.699+1.113</f>
        <v>40.811999999999998</v>
      </c>
      <c r="N26">
        <f>33.205+2.968</f>
        <v>36.173000000000002</v>
      </c>
      <c r="O26">
        <f>AVERAGE(K26:N26)</f>
        <v>39.392250000000004</v>
      </c>
      <c r="P26">
        <f>_xlfn.STDEV.P(K26:N26)</f>
        <v>2.5420008236623364</v>
      </c>
    </row>
    <row r="30" spans="1:18" x14ac:dyDescent="0.3">
      <c r="A30" s="7" t="s">
        <v>18</v>
      </c>
      <c r="B30" s="3" t="s">
        <v>14</v>
      </c>
    </row>
    <row r="31" spans="1:18" x14ac:dyDescent="0.3">
      <c r="A31" t="s">
        <v>17</v>
      </c>
      <c r="B31" t="s">
        <v>2</v>
      </c>
      <c r="C31" t="s">
        <v>3</v>
      </c>
      <c r="D31" t="s">
        <v>4</v>
      </c>
      <c r="E31" t="s">
        <v>5</v>
      </c>
      <c r="F31" s="2" t="s">
        <v>10</v>
      </c>
      <c r="G31" s="2" t="s">
        <v>11</v>
      </c>
      <c r="I31" s="8" t="s">
        <v>16</v>
      </c>
    </row>
    <row r="32" spans="1:18" x14ac:dyDescent="0.3">
      <c r="A32">
        <v>100</v>
      </c>
      <c r="B32">
        <f>9.6263-7.1896</f>
        <v>2.4367000000000001</v>
      </c>
      <c r="C32">
        <f>9.8976-7.1606</f>
        <v>2.737000000000001</v>
      </c>
      <c r="D32">
        <f>9.5797-7.0032</f>
        <v>2.5765000000000011</v>
      </c>
      <c r="E32">
        <f>9.4318-7.3054</f>
        <v>2.1264000000000012</v>
      </c>
      <c r="F32">
        <f t="shared" ref="F32:F34" si="2">AVERAGE(B32:E32)</f>
        <v>2.4691500000000008</v>
      </c>
      <c r="G32">
        <f t="shared" ref="G32:G35" si="3">_xlfn.STDEV.P(B32:E32)</f>
        <v>0.22460977828224665</v>
      </c>
      <c r="I32" s="8" t="s">
        <v>32</v>
      </c>
    </row>
    <row r="33" spans="1:11" x14ac:dyDescent="0.3">
      <c r="A33">
        <v>200</v>
      </c>
      <c r="B33">
        <f>11.632-7.895</f>
        <v>3.7370000000000001</v>
      </c>
      <c r="C33">
        <f>12.088-7.8142</f>
        <v>4.2737999999999996</v>
      </c>
      <c r="D33">
        <f>11.465-7.4573</f>
        <v>4.0076999999999998</v>
      </c>
      <c r="E33">
        <f>11.1481-7.5427</f>
        <v>3.6053999999999995</v>
      </c>
      <c r="F33">
        <f t="shared" si="2"/>
        <v>3.9059749999999998</v>
      </c>
      <c r="G33">
        <f t="shared" si="3"/>
        <v>0.25716778934190027</v>
      </c>
    </row>
    <row r="34" spans="1:11" x14ac:dyDescent="0.3">
      <c r="A34">
        <v>300</v>
      </c>
      <c r="B34">
        <f>15.374-9.2995</f>
        <v>6.0745000000000005</v>
      </c>
      <c r="C34">
        <f>14.066-8.3069</f>
        <v>5.7591000000000001</v>
      </c>
      <c r="D34">
        <f>14.902-8.2665</f>
        <v>6.6354999999999986</v>
      </c>
      <c r="E34">
        <f>13.968-7.9194</f>
        <v>6.0485999999999995</v>
      </c>
      <c r="F34">
        <f t="shared" si="2"/>
        <v>6.1294249999999995</v>
      </c>
      <c r="G34">
        <f t="shared" si="3"/>
        <v>0.31733340018819267</v>
      </c>
    </row>
    <row r="35" spans="1:11" x14ac:dyDescent="0.3">
      <c r="A35">
        <v>400</v>
      </c>
      <c r="B35">
        <f>18.934-8.7901</f>
        <v>10.1439</v>
      </c>
      <c r="C35">
        <f>16.14-7.9676</f>
        <v>8.1723999999999997</v>
      </c>
      <c r="D35">
        <f>16.633-8.0669</f>
        <v>8.5660999999999987</v>
      </c>
      <c r="E35">
        <f>17.232-8.3703</f>
        <v>8.861699999999999</v>
      </c>
      <c r="F35">
        <f>AVERAGE(B35:E35)</f>
        <v>8.936024999999999</v>
      </c>
      <c r="G35">
        <f t="shared" si="3"/>
        <v>0.73899490314548222</v>
      </c>
    </row>
    <row r="36" spans="1:11" x14ac:dyDescent="0.3">
      <c r="A36">
        <v>500</v>
      </c>
      <c r="B36">
        <f>18.9271-0.8426</f>
        <v>18.084499999999998</v>
      </c>
      <c r="C36">
        <f>11.8228+0.5465</f>
        <v>12.369300000000001</v>
      </c>
      <c r="D36">
        <f>11.3779+0.3167</f>
        <v>11.694600000000001</v>
      </c>
      <c r="E36">
        <f>9.8931-0.2849</f>
        <v>9.6082000000000001</v>
      </c>
      <c r="F36">
        <f>AVERAGE(B36:E36)</f>
        <v>12.939150000000001</v>
      </c>
      <c r="G36">
        <f>_xlfn.STDEV.P(B36:E36)</f>
        <v>3.1402025511899603</v>
      </c>
    </row>
    <row r="40" spans="1:11" x14ac:dyDescent="0.3">
      <c r="A40" s="7" t="s">
        <v>19</v>
      </c>
      <c r="B40" s="3" t="s">
        <v>14</v>
      </c>
    </row>
    <row r="41" spans="1:11" x14ac:dyDescent="0.3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s="2" t="s">
        <v>10</v>
      </c>
      <c r="G41" s="2" t="s">
        <v>11</v>
      </c>
      <c r="I41" t="s">
        <v>16</v>
      </c>
    </row>
    <row r="42" spans="1:11" x14ac:dyDescent="0.3">
      <c r="A42">
        <v>100</v>
      </c>
      <c r="B42">
        <f>-824.4+55.32</f>
        <v>-769.07999999999993</v>
      </c>
      <c r="C42">
        <f>-797.05+34.25</f>
        <v>-762.8</v>
      </c>
      <c r="D42">
        <f>-744.89-40.14</f>
        <v>-785.03</v>
      </c>
      <c r="E42">
        <f>-687.67-83.49</f>
        <v>-771.16</v>
      </c>
      <c r="F42">
        <f>AVERAGE(B42:E42)</f>
        <v>-772.01749999999993</v>
      </c>
      <c r="G42">
        <f>_xlfn.STDEV.P(B42:E42)</f>
        <v>8.1186771551774459</v>
      </c>
      <c r="I42" t="s">
        <v>20</v>
      </c>
      <c r="K42" s="3" t="s">
        <v>21</v>
      </c>
    </row>
    <row r="43" spans="1:11" x14ac:dyDescent="0.3">
      <c r="A43">
        <v>200</v>
      </c>
      <c r="B43">
        <f>3094.9-4368.2</f>
        <v>-1273.2999999999997</v>
      </c>
      <c r="C43">
        <f>3091.3-4294.6</f>
        <v>-1203.3000000000002</v>
      </c>
      <c r="D43">
        <f>3169.1-4283.2</f>
        <v>-1114.0999999999999</v>
      </c>
      <c r="E43">
        <f>3115.1-4283.4</f>
        <v>-1168.2999999999997</v>
      </c>
      <c r="F43">
        <f t="shared" ref="F43:F46" si="4">AVERAGE(B43:E43)</f>
        <v>-1189.75</v>
      </c>
      <c r="G43">
        <f t="shared" ref="G43:G46" si="5">_xlfn.STDEV.P(B43:E43)</f>
        <v>57.765106249361267</v>
      </c>
    </row>
    <row r="44" spans="1:11" x14ac:dyDescent="0.3">
      <c r="A44">
        <v>300</v>
      </c>
      <c r="B44">
        <f>-1588.23+27.56</f>
        <v>-1560.67</v>
      </c>
      <c r="C44">
        <f>-1588.28+22.27</f>
        <v>-1566.01</v>
      </c>
      <c r="D44">
        <f>-1610.87-12.84</f>
        <v>-1623.7099999999998</v>
      </c>
      <c r="E44">
        <f>-1453.28-70.62</f>
        <v>-1523.9</v>
      </c>
      <c r="F44">
        <f t="shared" si="4"/>
        <v>-1568.5725000000002</v>
      </c>
      <c r="G44">
        <f t="shared" si="5"/>
        <v>35.723913821836383</v>
      </c>
    </row>
    <row r="45" spans="1:11" x14ac:dyDescent="0.3">
      <c r="A45">
        <v>400</v>
      </c>
      <c r="B45">
        <f>-1702.47+66.9</f>
        <v>-1635.57</v>
      </c>
      <c r="C45">
        <f>-1804.51+48.66</f>
        <v>-1755.85</v>
      </c>
      <c r="D45">
        <f>-1871.28+73.11</f>
        <v>-1798.17</v>
      </c>
      <c r="E45">
        <f>-1889.79+37.19</f>
        <v>-1852.6</v>
      </c>
      <c r="F45">
        <f t="shared" si="4"/>
        <v>-1760.5475000000001</v>
      </c>
      <c r="G45">
        <f t="shared" si="5"/>
        <v>79.891422059880753</v>
      </c>
    </row>
    <row r="46" spans="1:11" x14ac:dyDescent="0.3">
      <c r="A46">
        <v>500</v>
      </c>
      <c r="B46">
        <f>-1804.95+1.85</f>
        <v>-1803.1000000000001</v>
      </c>
      <c r="C46">
        <f>-1994.57+38.49</f>
        <v>-1956.08</v>
      </c>
      <c r="D46">
        <f>-2173.29+91.25</f>
        <v>-2082.04</v>
      </c>
      <c r="E46">
        <f>-2287.75+62.68</f>
        <v>-2225.0700000000002</v>
      </c>
      <c r="F46">
        <f t="shared" si="4"/>
        <v>-2016.5725000000002</v>
      </c>
      <c r="G46">
        <f t="shared" si="5"/>
        <v>155.7137211961425</v>
      </c>
    </row>
    <row r="51" spans="1:12" x14ac:dyDescent="0.3">
      <c r="A51" s="7" t="s">
        <v>23</v>
      </c>
      <c r="B51" s="3" t="s">
        <v>22</v>
      </c>
    </row>
    <row r="52" spans="1:12" x14ac:dyDescent="0.3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24</v>
      </c>
      <c r="G52" s="2" t="s">
        <v>10</v>
      </c>
      <c r="H52" s="2" t="s">
        <v>11</v>
      </c>
      <c r="J52" t="s">
        <v>16</v>
      </c>
    </row>
    <row r="53" spans="1:12" x14ac:dyDescent="0.3">
      <c r="A53">
        <v>100</v>
      </c>
      <c r="B53">
        <f>415.5-12.3</f>
        <v>403.2</v>
      </c>
      <c r="C53">
        <f>384.6-9.56</f>
        <v>375.04</v>
      </c>
      <c r="D53">
        <f>490.5-99.3</f>
        <v>391.2</v>
      </c>
      <c r="E53">
        <f>269.9+35.6</f>
        <v>305.5</v>
      </c>
      <c r="F53">
        <f>302.4+93.3</f>
        <v>395.7</v>
      </c>
      <c r="G53">
        <f>AVERAGE(B53:F53)</f>
        <v>374.12800000000004</v>
      </c>
      <c r="H53">
        <f>_xlfn.STDEV.P(B53:F53)</f>
        <v>35.53201283349987</v>
      </c>
      <c r="J53" t="s">
        <v>26</v>
      </c>
      <c r="L53" s="3" t="s">
        <v>21</v>
      </c>
    </row>
    <row r="54" spans="1:12" x14ac:dyDescent="0.3">
      <c r="A54">
        <v>200</v>
      </c>
      <c r="B54">
        <f>418.9-67.1</f>
        <v>351.79999999999995</v>
      </c>
      <c r="C54">
        <f>409.5+21</f>
        <v>430.5</v>
      </c>
      <c r="D54">
        <f>289.3+54.8</f>
        <v>344.1</v>
      </c>
      <c r="E54">
        <f>332.5+19.4</f>
        <v>351.9</v>
      </c>
      <c r="F54">
        <f>333.9-67.8</f>
        <v>266.09999999999997</v>
      </c>
      <c r="G54">
        <f>AVERAGE(B54:F54)</f>
        <v>348.88</v>
      </c>
      <c r="H54">
        <f>_xlfn.STDEV.P(B54:F54)</f>
        <v>52.0669722568921</v>
      </c>
    </row>
    <row r="55" spans="1:12" x14ac:dyDescent="0.3">
      <c r="A55">
        <v>300</v>
      </c>
      <c r="B55">
        <f>566.6-191.6</f>
        <v>375</v>
      </c>
      <c r="C55">
        <f>473.8-261.7</f>
        <v>212.10000000000002</v>
      </c>
      <c r="D55">
        <f>508-202.8</f>
        <v>305.2</v>
      </c>
      <c r="E55" t="s">
        <v>25</v>
      </c>
      <c r="F55" t="s">
        <v>25</v>
      </c>
      <c r="G55">
        <f>AVERAGE(B55:D55)</f>
        <v>297.43333333333334</v>
      </c>
      <c r="H55">
        <f>_xlfn.STDEV.P(B55:D55)</f>
        <v>66.730019897760968</v>
      </c>
    </row>
    <row r="56" spans="1:12" x14ac:dyDescent="0.3">
      <c r="A56">
        <v>400</v>
      </c>
      <c r="B56" t="s">
        <v>25</v>
      </c>
      <c r="C56" t="s">
        <v>25</v>
      </c>
      <c r="D56" t="s">
        <v>15</v>
      </c>
      <c r="E56" t="s">
        <v>25</v>
      </c>
      <c r="F56" t="s">
        <v>25</v>
      </c>
    </row>
    <row r="57" spans="1:12" x14ac:dyDescent="0.3">
      <c r="A57">
        <v>500</v>
      </c>
      <c r="B57" t="s">
        <v>25</v>
      </c>
      <c r="C57" t="s">
        <v>25</v>
      </c>
      <c r="D57" t="s">
        <v>25</v>
      </c>
      <c r="E57" t="s">
        <v>25</v>
      </c>
      <c r="F57" t="s">
        <v>25</v>
      </c>
    </row>
  </sheetData>
  <pageMargins left="0.7" right="0.7" top="0.75" bottom="0.75" header="0.3" footer="0.3"/>
  <pageSetup paperSize="9" orientation="portrait" horizontalDpi="0" verticalDpi="0" r:id="rId1"/>
  <ignoredErrors>
    <ignoredError sqref="D9 C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Bandurist</cp:lastModifiedBy>
  <dcterms:created xsi:type="dcterms:W3CDTF">2015-06-05T18:17:20Z</dcterms:created>
  <dcterms:modified xsi:type="dcterms:W3CDTF">2023-12-12T16:47:58Z</dcterms:modified>
</cp:coreProperties>
</file>