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D48B7D87-A574-4C0F-8FD1-A34CF37A3E67}" xr6:coauthVersionLast="47" xr6:coauthVersionMax="47" xr10:uidLastSave="{00000000-0000-0000-0000-000000000000}"/>
  <bookViews>
    <workbookView xWindow="-108" yWindow="-108" windowWidth="23256" windowHeight="12576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M35" i="1"/>
  <c r="N34" i="1"/>
  <c r="M34" i="1"/>
  <c r="N33" i="1"/>
  <c r="P33" i="1" s="1"/>
  <c r="M33" i="1"/>
  <c r="O33" i="1" s="1"/>
  <c r="N32" i="1"/>
  <c r="M32" i="1"/>
  <c r="N31" i="1"/>
  <c r="P31" i="1" s="1"/>
  <c r="M31" i="1"/>
  <c r="N30" i="1"/>
  <c r="P30" i="1" s="1"/>
  <c r="M30" i="1"/>
  <c r="N29" i="1"/>
  <c r="M29" i="1"/>
  <c r="N27" i="1"/>
  <c r="M27" i="1"/>
  <c r="O27" i="1" s="1"/>
  <c r="N26" i="1"/>
  <c r="M26" i="1"/>
  <c r="N25" i="1"/>
  <c r="M25" i="1"/>
  <c r="O25" i="1" s="1"/>
  <c r="N23" i="1"/>
  <c r="M23" i="1"/>
  <c r="N22" i="1"/>
  <c r="M22" i="1"/>
  <c r="O22" i="1" s="1"/>
  <c r="N20" i="1"/>
  <c r="M20" i="1"/>
  <c r="O20" i="1" s="1"/>
  <c r="N19" i="1"/>
  <c r="P19" i="1" s="1"/>
  <c r="M19" i="1"/>
  <c r="O19" i="1" s="1"/>
  <c r="P22" i="1"/>
  <c r="P23" i="1"/>
  <c r="P35" i="1"/>
  <c r="O23" i="1"/>
  <c r="O26" i="1"/>
  <c r="O30" i="1"/>
  <c r="O31" i="1"/>
  <c r="O34" i="1"/>
  <c r="O35" i="1"/>
  <c r="N18" i="1"/>
  <c r="P18" i="1" s="1"/>
  <c r="M18" i="1"/>
  <c r="N16" i="1"/>
  <c r="M16" i="1"/>
  <c r="N15" i="1"/>
  <c r="M15" i="1"/>
  <c r="N14" i="1"/>
  <c r="P14" i="1" s="1"/>
  <c r="M14" i="1"/>
  <c r="O14" i="1"/>
  <c r="O15" i="1"/>
  <c r="O16" i="1"/>
  <c r="O18" i="1"/>
  <c r="P12" i="1"/>
  <c r="N12" i="1"/>
  <c r="M12" i="1"/>
  <c r="O12" i="1" s="1"/>
  <c r="P9" i="1"/>
  <c r="N9" i="1"/>
  <c r="M9" i="1"/>
  <c r="O9" i="1" s="1"/>
  <c r="P7" i="1"/>
  <c r="O7" i="1"/>
  <c r="N7" i="1"/>
  <c r="M7" i="1"/>
  <c r="O2" i="1"/>
  <c r="P2" i="1"/>
  <c r="O3" i="1"/>
  <c r="P3" i="1"/>
  <c r="O4" i="1"/>
  <c r="P4" i="1"/>
  <c r="O5" i="1"/>
  <c r="P5" i="1"/>
  <c r="N2" i="1"/>
  <c r="N3" i="1"/>
  <c r="N4" i="1"/>
  <c r="N5" i="1"/>
  <c r="J5" i="1"/>
  <c r="J4" i="1"/>
  <c r="J3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P34" i="1" l="1"/>
  <c r="P32" i="1"/>
  <c r="O32" i="1"/>
  <c r="P29" i="1"/>
  <c r="O29" i="1"/>
  <c r="P27" i="1"/>
  <c r="P26" i="1"/>
  <c r="P25" i="1"/>
  <c r="P20" i="1"/>
  <c r="P16" i="1"/>
  <c r="P15" i="1"/>
</calcChain>
</file>

<file path=xl/sharedStrings.xml><?xml version="1.0" encoding="utf-8"?>
<sst xmlns="http://schemas.openxmlformats.org/spreadsheetml/2006/main" count="247" uniqueCount="105">
  <si>
    <t>batch</t>
  </si>
  <si>
    <t>sample</t>
  </si>
  <si>
    <t>device</t>
  </si>
  <si>
    <t>dielectric (nm)</t>
  </si>
  <si>
    <t>Encapsulation</t>
  </si>
  <si>
    <t>ON/OFF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</si>
  <si>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</si>
  <si>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</si>
  <si>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</si>
  <si>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</si>
  <si>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</si>
  <si>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</si>
  <si>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</si>
  <si>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</si>
  <si>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</si>
  <si>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</si>
  <si>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</si>
  <si>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</si>
  <si>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</si>
  <si>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</si>
  <si>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</si>
  <si>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</si>
  <si>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</si>
  <si>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</si>
  <si>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</si>
  <si>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</si>
  <si>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</si>
  <si>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</si>
  <si>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</si>
  <si>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</si>
  <si>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</si>
  <si>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</si>
  <si>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</si>
  <si>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</si>
  <si>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</si>
  <si>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</si>
  <si>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</si>
  <si>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</si>
  <si>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</si>
  <si>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</si>
  <si>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</si>
  <si>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</si>
  <si>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</si>
  <si>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</si>
  <si>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</si>
  <si>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</si>
  <si>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</si>
  <si>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</si>
  <si>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</si>
  <si>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</si>
  <si>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</si>
  <si>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</si>
  <si>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</si>
  <si>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</si>
  <si>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</si>
  <si>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</si>
  <si>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</si>
  <si>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</si>
  <si>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</si>
  <si>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</si>
  <si>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</si>
  <si>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</si>
  <si>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</si>
  <si>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</si>
  <si>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</si>
  <si>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</si>
  <si>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</si>
  <si>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</si>
  <si>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</si>
  <si>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</si>
  <si>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</si>
  <si>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No</t>
  </si>
  <si>
    <t>Ci (uF/cm^2)</t>
  </si>
  <si>
    <t>mu (cm^2/(V*s))</t>
  </si>
  <si>
    <t>I1/2 Slope (A^1/2/V)</t>
  </si>
  <si>
    <t>Error I1/2 Slope</t>
  </si>
  <si>
    <t>Error mu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</si>
  <si>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</si>
  <si>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</si>
  <si>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</si>
  <si>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</si>
  <si>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</si>
  <si>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</si>
  <si>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</si>
  <si>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</si>
  <si>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</si>
  <si>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</si>
  <si>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4.03±0.03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</si>
  <si>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</si>
  <si>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</si>
  <si>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</si>
  <si>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</si>
  <si>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</si>
  <si>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</si>
  <si>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</si>
  <si>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</si>
  <si>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</si>
  <si>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</si>
  <si>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</si>
  <si>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</si>
  <si>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</si>
  <si>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</si>
  <si>
    <t xml:space="preserve">W_channel (um) </t>
  </si>
  <si>
    <t>L_channel (um)</t>
  </si>
  <si>
    <t>Sensitivity/Volume (C/(Gy*m^3))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</si>
</sst>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1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11" fontId="0" fillId="0" borderId="10" xfId="0" applyNumberFormat="1" applyBorder="1" applyAlignment="1">
      <alignment horizontal="center" vertical="center"/>
    </xf>
    <xf numFmtId="0" fontId="0" fillId="4" borderId="11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S35"/>
  <sheetViews>
    <sheetView tabSelected="1" zoomScale="85" zoomScaleNormal="85" workbookViewId="0">
      <pane ySplit="1" topLeftCell="A32" activePane="bottomLeft" state="frozen"/>
      <selection pane="bottomLeft" activeCell="D35" sqref="D35:I35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3" customWidth="1"/>
    <col min="8" max="8" width="18.6640625" customWidth="1"/>
    <col min="9" max="9" width="23.6640625" customWidth="1"/>
    <col min="10" max="11" width="13" style="1" customWidth="1"/>
    <col min="12" max="12" width="13" customWidth="1"/>
    <col min="13" max="13" width="28.109375" customWidth="1"/>
    <col min="14" max="14" width="19.6640625" customWidth="1"/>
    <col min="15" max="15" width="27.5546875" style="48" customWidth="1"/>
    <col min="16" max="16" width="23.77734375" customWidth="1"/>
    <col min="17" max="17" width="28.109375" customWidth="1"/>
    <col min="18" max="18" width="20.5546875" customWidth="1"/>
    <col min="19" max="19" width="18.88671875" customWidth="1"/>
  </cols>
  <sheetData>
    <row r="1" spans="1:19" ht="18" x14ac:dyDescent="0.35">
      <c r="A1" s="8" t="s">
        <v>0</v>
      </c>
      <c r="B1" s="9" t="s">
        <v>1</v>
      </c>
      <c r="C1" s="9" t="s">
        <v>2</v>
      </c>
      <c r="D1" s="9" t="s">
        <v>102</v>
      </c>
      <c r="E1" s="9" t="s">
        <v>103</v>
      </c>
      <c r="F1" s="9" t="s">
        <v>3</v>
      </c>
      <c r="G1" s="9" t="s">
        <v>72</v>
      </c>
      <c r="H1" s="9" t="s">
        <v>4</v>
      </c>
      <c r="I1" s="9" t="s">
        <v>9</v>
      </c>
      <c r="J1" s="35" t="s">
        <v>5</v>
      </c>
      <c r="K1" s="35" t="s">
        <v>67</v>
      </c>
      <c r="L1" s="9" t="s">
        <v>69</v>
      </c>
      <c r="M1" s="9" t="s">
        <v>74</v>
      </c>
      <c r="N1" s="9" t="s">
        <v>75</v>
      </c>
      <c r="O1" s="45" t="s">
        <v>73</v>
      </c>
      <c r="P1" s="9" t="s">
        <v>76</v>
      </c>
      <c r="Q1" s="9" t="s">
        <v>104</v>
      </c>
      <c r="R1" s="9" t="s">
        <v>6</v>
      </c>
      <c r="S1" s="10" t="s">
        <v>7</v>
      </c>
    </row>
    <row r="2" spans="1:19" ht="43.2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71</v>
      </c>
      <c r="I2" s="1" t="s">
        <v>8</v>
      </c>
      <c r="J2" s="1">
        <f>6.38*1000000</f>
        <v>6380000</v>
      </c>
      <c r="K2" s="1" t="s">
        <v>68</v>
      </c>
      <c r="L2" s="1">
        <v>-10.15</v>
      </c>
      <c r="M2" s="1">
        <v>9.8099999999999999E-5</v>
      </c>
      <c r="N2" s="1">
        <f>40*(1/100000000)</f>
        <v>3.9999999999999998E-7</v>
      </c>
      <c r="O2" s="46">
        <f>(2*E2*M2^2)/(D2*G2)*1000000</f>
        <v>0.20382360703812319</v>
      </c>
      <c r="P2" s="1">
        <f>(4*N2*E2*M2)/(G2*D2)*1000000</f>
        <v>1.6621700879765396E-3</v>
      </c>
      <c r="Q2" s="1"/>
      <c r="R2" s="2" t="s">
        <v>14</v>
      </c>
      <c r="S2" s="13" t="s">
        <v>16</v>
      </c>
    </row>
    <row r="3" spans="1:19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71</v>
      </c>
      <c r="I3" s="1" t="s">
        <v>10</v>
      </c>
      <c r="J3" s="1">
        <f>2.62*10000000</f>
        <v>26200000</v>
      </c>
      <c r="K3" s="1" t="s">
        <v>77</v>
      </c>
      <c r="L3" s="1">
        <v>6.9</v>
      </c>
      <c r="M3" s="1">
        <v>2.2950000000000002E-5</v>
      </c>
      <c r="N3" s="1">
        <f>7*(1/100000000)</f>
        <v>7.0000000000000005E-8</v>
      </c>
      <c r="O3" s="46">
        <f>(2*E3*M3^2)/(D3*G3)*1000000</f>
        <v>1.6843934232480536E-2</v>
      </c>
      <c r="P3" s="1">
        <f>(4*N3*E3*M3)/(G3*D3)*1000000</f>
        <v>1.0275166852057843E-4</v>
      </c>
      <c r="Q3" s="1"/>
      <c r="R3" s="2" t="s">
        <v>14</v>
      </c>
      <c r="S3" s="3" t="s">
        <v>17</v>
      </c>
    </row>
    <row r="4" spans="1:19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71</v>
      </c>
      <c r="I4" s="1" t="s">
        <v>11</v>
      </c>
      <c r="J4" s="1">
        <f>2.87*10000000</f>
        <v>28700000</v>
      </c>
      <c r="K4" s="1" t="s">
        <v>78</v>
      </c>
      <c r="L4" s="1">
        <v>-32.1</v>
      </c>
      <c r="M4" s="1">
        <v>1.5449999999999999E-5</v>
      </c>
      <c r="N4" s="1">
        <f>31.3*(1/100000000)</f>
        <v>3.1300000000000001E-7</v>
      </c>
      <c r="O4" s="46">
        <f>(2*E4*M4^2)/(D4*G4)*1000000</f>
        <v>4.9033532410225197E-3</v>
      </c>
      <c r="P4" s="1">
        <f>(4*N4*E4*M4)/(G4*D4)*1000000</f>
        <v>1.9867308277541086E-4</v>
      </c>
      <c r="Q4" s="1"/>
      <c r="R4" s="2" t="s">
        <v>14</v>
      </c>
      <c r="S4" s="14" t="s">
        <v>18</v>
      </c>
    </row>
    <row r="5" spans="1:19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71</v>
      </c>
      <c r="I5" s="1" t="s">
        <v>12</v>
      </c>
      <c r="J5" s="1">
        <f>1.8*100000000</f>
        <v>180000000</v>
      </c>
      <c r="K5" s="1" t="s">
        <v>79</v>
      </c>
      <c r="L5" s="1">
        <v>4.55</v>
      </c>
      <c r="M5" s="1">
        <v>2.2750000000000001E-5</v>
      </c>
      <c r="N5" s="1">
        <f>2.32*(1/100000000)</f>
        <v>2.3199999999999999E-8</v>
      </c>
      <c r="O5" s="46">
        <f>(2*E5*M5^2)/(D5*G5)*1000000</f>
        <v>1.0909033632697945E-2</v>
      </c>
      <c r="P5" s="1">
        <f>(4*N5*E5*M5)/(G5*D5)*1000000</f>
        <v>2.2249633431085043E-5</v>
      </c>
      <c r="Q5" s="1"/>
      <c r="R5" s="2" t="s">
        <v>15</v>
      </c>
      <c r="S5" s="5" t="s">
        <v>19</v>
      </c>
    </row>
    <row r="6" spans="1:19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71</v>
      </c>
      <c r="I6" s="25" t="s">
        <v>13</v>
      </c>
      <c r="J6" s="25" t="s">
        <v>43</v>
      </c>
      <c r="K6" s="25" t="s">
        <v>43</v>
      </c>
      <c r="L6" s="25" t="s">
        <v>43</v>
      </c>
      <c r="M6" s="25" t="s">
        <v>43</v>
      </c>
      <c r="N6" s="25" t="s">
        <v>43</v>
      </c>
      <c r="O6" s="47" t="s">
        <v>43</v>
      </c>
      <c r="P6" s="25" t="s">
        <v>43</v>
      </c>
      <c r="Q6" s="25"/>
      <c r="R6" s="26" t="s">
        <v>15</v>
      </c>
      <c r="S6" s="27" t="s">
        <v>20</v>
      </c>
    </row>
    <row r="7" spans="1:19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71</v>
      </c>
      <c r="I7" s="30" t="s">
        <v>21</v>
      </c>
      <c r="J7" s="36">
        <v>425000000</v>
      </c>
      <c r="K7" s="30" t="s">
        <v>80</v>
      </c>
      <c r="L7" s="30">
        <v>-43</v>
      </c>
      <c r="M7" s="31">
        <f>1.324/10000</f>
        <v>1.3240000000000002E-4</v>
      </c>
      <c r="N7" s="31">
        <f>1.59/1000000</f>
        <v>1.59E-6</v>
      </c>
      <c r="O7" s="50">
        <f>(2*E7*M7^2)/(D7*G7)*1000000</f>
        <v>0.47815996204933603</v>
      </c>
      <c r="P7" s="31">
        <f>(4*N7*E7*M7)/(G7*D7)*1000000</f>
        <v>1.1484506641366228E-2</v>
      </c>
      <c r="Q7" s="31"/>
      <c r="R7" s="32" t="s">
        <v>22</v>
      </c>
      <c r="S7" s="33" t="s">
        <v>30</v>
      </c>
    </row>
    <row r="8" spans="1:19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71</v>
      </c>
      <c r="I8" s="1" t="s">
        <v>23</v>
      </c>
      <c r="J8" s="34" t="s">
        <v>43</v>
      </c>
      <c r="K8" s="1" t="s">
        <v>43</v>
      </c>
      <c r="L8" s="1" t="s">
        <v>43</v>
      </c>
      <c r="M8" s="1" t="s">
        <v>43</v>
      </c>
      <c r="N8" s="1" t="s">
        <v>43</v>
      </c>
      <c r="O8" s="48" t="s">
        <v>43</v>
      </c>
      <c r="P8" t="s">
        <v>43</v>
      </c>
      <c r="R8" s="17" t="s">
        <v>27</v>
      </c>
      <c r="S8" s="18" t="s">
        <v>28</v>
      </c>
    </row>
    <row r="9" spans="1:19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71</v>
      </c>
      <c r="I9" s="1" t="s">
        <v>24</v>
      </c>
      <c r="J9">
        <v>259259.25925925927</v>
      </c>
      <c r="K9" s="1" t="s">
        <v>81</v>
      </c>
      <c r="L9" s="1">
        <v>-4.62</v>
      </c>
      <c r="M9">
        <f>2.56/100000</f>
        <v>2.5599999999999999E-5</v>
      </c>
      <c r="N9">
        <f>7/100000000</f>
        <v>7.0000000000000005E-8</v>
      </c>
      <c r="O9" s="48">
        <f t="shared" ref="O9:O35" si="1">(2*E9*M9^2)/(D9*G9)*1000000</f>
        <v>1.112665534804754E-2</v>
      </c>
      <c r="P9">
        <f t="shared" ref="P9" si="2">(4*N9*E9*M9)/(G9*D9)*1000000</f>
        <v>6.0848896434634996E-5</v>
      </c>
      <c r="R9" s="2" t="s">
        <v>29</v>
      </c>
      <c r="S9" s="4" t="s">
        <v>30</v>
      </c>
    </row>
    <row r="10" spans="1:19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71</v>
      </c>
      <c r="I10" s="1" t="s">
        <v>25</v>
      </c>
      <c r="J10" s="1" t="s">
        <v>43</v>
      </c>
      <c r="K10" s="1" t="s">
        <v>43</v>
      </c>
      <c r="L10" s="1" t="s">
        <v>43</v>
      </c>
      <c r="M10" s="1" t="s">
        <v>43</v>
      </c>
      <c r="N10" s="1" t="s">
        <v>43</v>
      </c>
      <c r="O10" s="46" t="s">
        <v>43</v>
      </c>
      <c r="P10" s="1" t="s">
        <v>43</v>
      </c>
      <c r="R10" s="2" t="s">
        <v>31</v>
      </c>
      <c r="S10" s="18" t="s">
        <v>32</v>
      </c>
    </row>
    <row r="11" spans="1:19" ht="37.799999999999997" customHeight="1" x14ac:dyDescent="0.3">
      <c r="A11" s="16"/>
      <c r="B11" s="24"/>
      <c r="C11" s="25">
        <v>4</v>
      </c>
      <c r="D11" s="25" t="s">
        <v>70</v>
      </c>
      <c r="E11" s="25" t="s">
        <v>70</v>
      </c>
      <c r="F11" s="25">
        <v>278</v>
      </c>
      <c r="G11" s="25">
        <f t="shared" si="0"/>
        <v>1.24E-2</v>
      </c>
      <c r="H11" s="25" t="s">
        <v>71</v>
      </c>
      <c r="I11" s="25" t="s">
        <v>26</v>
      </c>
      <c r="J11" s="25" t="s">
        <v>43</v>
      </c>
      <c r="K11" s="25" t="s">
        <v>43</v>
      </c>
      <c r="L11" s="25" t="s">
        <v>43</v>
      </c>
      <c r="M11" s="25" t="s">
        <v>43</v>
      </c>
      <c r="N11" s="25" t="s">
        <v>43</v>
      </c>
      <c r="O11" s="47" t="s">
        <v>43</v>
      </c>
      <c r="P11" s="25" t="s">
        <v>43</v>
      </c>
      <c r="Q11" s="37"/>
      <c r="R11" s="26" t="s">
        <v>31</v>
      </c>
      <c r="S11" s="38" t="s">
        <v>28</v>
      </c>
    </row>
    <row r="12" spans="1:19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71</v>
      </c>
      <c r="I12" s="1" t="s">
        <v>33</v>
      </c>
      <c r="J12" s="1">
        <v>120443448.27586205</v>
      </c>
      <c r="K12" s="1" t="s">
        <v>82</v>
      </c>
      <c r="L12">
        <v>-15.6</v>
      </c>
      <c r="M12">
        <f>2.518/10000</f>
        <v>2.5179999999999999E-4</v>
      </c>
      <c r="N12">
        <f>8.8/10000000</f>
        <v>8.8000000000000004E-7</v>
      </c>
      <c r="O12" s="48">
        <f t="shared" si="1"/>
        <v>0.96002272547728773</v>
      </c>
      <c r="P12">
        <f>(4*N12*E12*M12)/(G12*D12)*1000000</f>
        <v>6.7102462146148775E-3</v>
      </c>
      <c r="R12" s="2" t="s">
        <v>22</v>
      </c>
      <c r="S12" s="14" t="s">
        <v>36</v>
      </c>
    </row>
    <row r="13" spans="1:19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71</v>
      </c>
      <c r="I13" s="1" t="s">
        <v>34</v>
      </c>
      <c r="J13" s="1" t="s">
        <v>43</v>
      </c>
      <c r="K13" s="1" t="s">
        <v>43</v>
      </c>
      <c r="L13" s="1" t="s">
        <v>43</v>
      </c>
      <c r="M13" s="1" t="s">
        <v>43</v>
      </c>
      <c r="N13" s="1" t="s">
        <v>43</v>
      </c>
      <c r="O13" s="46" t="s">
        <v>43</v>
      </c>
      <c r="P13" s="1" t="s">
        <v>43</v>
      </c>
      <c r="R13" s="17" t="s">
        <v>37</v>
      </c>
      <c r="S13" s="15" t="s">
        <v>38</v>
      </c>
    </row>
    <row r="14" spans="1:19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71</v>
      </c>
      <c r="I14" s="25" t="s">
        <v>35</v>
      </c>
      <c r="J14" s="39">
        <v>1680000000</v>
      </c>
      <c r="K14" s="25" t="s">
        <v>83</v>
      </c>
      <c r="L14" s="37">
        <v>-6.3</v>
      </c>
      <c r="M14" s="37">
        <f>1.068/10000</f>
        <v>1.0680000000000001E-4</v>
      </c>
      <c r="N14" s="37">
        <f>2.8/10000000</f>
        <v>2.7999999999999997E-7</v>
      </c>
      <c r="O14" s="49">
        <f t="shared" si="1"/>
        <v>0.26281658986175122</v>
      </c>
      <c r="P14" s="37">
        <f t="shared" ref="P14:P35" si="3">(4*N14*E14*M14)/(G14*D14)*1000000</f>
        <v>1.3780645161290323E-3</v>
      </c>
      <c r="Q14" s="37"/>
      <c r="R14" s="26" t="s">
        <v>14</v>
      </c>
      <c r="S14" s="40" t="s">
        <v>39</v>
      </c>
    </row>
    <row r="15" spans="1:19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71</v>
      </c>
      <c r="I15" s="1" t="s">
        <v>40</v>
      </c>
      <c r="J15" s="1">
        <v>222333333.33333334</v>
      </c>
      <c r="K15" s="1" t="s">
        <v>84</v>
      </c>
      <c r="L15">
        <v>-3.2</v>
      </c>
      <c r="M15">
        <f>3.97/100000</f>
        <v>3.9700000000000003E-5</v>
      </c>
      <c r="N15">
        <f>2.2/10000000</f>
        <v>2.2000000000000001E-7</v>
      </c>
      <c r="O15" s="48">
        <f t="shared" si="1"/>
        <v>4.829953225806452E-2</v>
      </c>
      <c r="P15">
        <f t="shared" si="3"/>
        <v>5.3530967741935486E-4</v>
      </c>
      <c r="R15" s="2" t="s">
        <v>14</v>
      </c>
      <c r="S15" s="14" t="s">
        <v>36</v>
      </c>
    </row>
    <row r="16" spans="1:19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71</v>
      </c>
      <c r="I16" s="1" t="s">
        <v>41</v>
      </c>
      <c r="J16" s="1">
        <v>467032.96703296708</v>
      </c>
      <c r="K16" s="1" t="s">
        <v>85</v>
      </c>
      <c r="L16">
        <v>-9</v>
      </c>
      <c r="M16">
        <f>1.89/100000</f>
        <v>1.8899999999999999E-5</v>
      </c>
      <c r="N16">
        <f>4/100000000</f>
        <v>4.0000000000000001E-8</v>
      </c>
      <c r="O16" s="48">
        <f t="shared" si="1"/>
        <v>9.1849228611500695E-3</v>
      </c>
      <c r="P16">
        <f t="shared" si="3"/>
        <v>3.8877980364656386E-5</v>
      </c>
      <c r="R16" s="2" t="s">
        <v>27</v>
      </c>
      <c r="S16" s="4" t="s">
        <v>30</v>
      </c>
    </row>
    <row r="17" spans="1:19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71</v>
      </c>
      <c r="I17" s="25" t="s">
        <v>42</v>
      </c>
      <c r="J17" s="25" t="s">
        <v>43</v>
      </c>
      <c r="K17" s="25" t="s">
        <v>43</v>
      </c>
      <c r="L17" s="25" t="s">
        <v>43</v>
      </c>
      <c r="M17" s="25" t="s">
        <v>43</v>
      </c>
      <c r="N17" s="25" t="s">
        <v>43</v>
      </c>
      <c r="O17" s="47" t="s">
        <v>43</v>
      </c>
      <c r="P17" s="25" t="s">
        <v>43</v>
      </c>
      <c r="Q17" s="37"/>
      <c r="R17" s="26" t="s">
        <v>31</v>
      </c>
      <c r="S17" s="38" t="s">
        <v>43</v>
      </c>
    </row>
    <row r="18" spans="1:19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71</v>
      </c>
      <c r="I18" s="30" t="s">
        <v>44</v>
      </c>
      <c r="J18" s="30">
        <v>249589.49096880128</v>
      </c>
      <c r="K18" s="30" t="s">
        <v>86</v>
      </c>
      <c r="L18" s="31">
        <v>10.8</v>
      </c>
      <c r="M18" s="31">
        <f>7.88/100000</f>
        <v>7.8800000000000004E-5</v>
      </c>
      <c r="N18" s="31">
        <f>2.6/10000000</f>
        <v>2.6E-7</v>
      </c>
      <c r="O18" s="50">
        <f t="shared" si="1"/>
        <v>0.24427380015735645</v>
      </c>
      <c r="P18" s="31">
        <f t="shared" si="3"/>
        <v>1.611959087332809E-3</v>
      </c>
      <c r="Q18" s="31"/>
      <c r="R18" s="32" t="s">
        <v>45</v>
      </c>
      <c r="S18" s="43" t="s">
        <v>36</v>
      </c>
    </row>
    <row r="19" spans="1:19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71</v>
      </c>
      <c r="I19" s="1" t="s">
        <v>46</v>
      </c>
      <c r="J19" s="41">
        <v>2756410.2564102565</v>
      </c>
      <c r="K19" s="41" t="s">
        <v>87</v>
      </c>
      <c r="L19" s="42">
        <v>-31.7</v>
      </c>
      <c r="M19" s="42">
        <f>3.9/100000</f>
        <v>3.8999999999999999E-5</v>
      </c>
      <c r="N19" s="42">
        <f>6.3/10000000</f>
        <v>6.3E-7</v>
      </c>
      <c r="O19" s="51">
        <f t="shared" si="1"/>
        <v>2.8581271531475102E-2</v>
      </c>
      <c r="P19" s="42">
        <f t="shared" si="3"/>
        <v>9.2339492640150327E-4</v>
      </c>
      <c r="Q19" s="42"/>
      <c r="R19" s="2" t="s">
        <v>48</v>
      </c>
      <c r="S19" s="15" t="s">
        <v>49</v>
      </c>
    </row>
    <row r="20" spans="1:19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71</v>
      </c>
      <c r="I20" s="25" t="s">
        <v>47</v>
      </c>
      <c r="J20" s="39">
        <v>16300000</v>
      </c>
      <c r="K20" s="25" t="s">
        <v>88</v>
      </c>
      <c r="L20" s="37">
        <v>-14.1</v>
      </c>
      <c r="M20" s="37">
        <f>2.958/10000</f>
        <v>2.9580000000000003E-4</v>
      </c>
      <c r="N20" s="37">
        <f>1.18/1000000</f>
        <v>1.1799999999999999E-6</v>
      </c>
      <c r="O20" s="49">
        <f t="shared" si="1"/>
        <v>0.78402903225806486</v>
      </c>
      <c r="P20" s="37">
        <f t="shared" si="3"/>
        <v>6.2552688172043021E-3</v>
      </c>
      <c r="Q20" s="37"/>
      <c r="R20" s="26" t="s">
        <v>48</v>
      </c>
      <c r="S20" s="44" t="s">
        <v>36</v>
      </c>
    </row>
    <row r="21" spans="1:19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71</v>
      </c>
      <c r="I21" s="1" t="s">
        <v>50</v>
      </c>
      <c r="J21" s="2" t="s">
        <v>89</v>
      </c>
      <c r="K21" s="2" t="s">
        <v>89</v>
      </c>
      <c r="L21" s="2" t="s">
        <v>89</v>
      </c>
      <c r="M21" s="2" t="s">
        <v>89</v>
      </c>
      <c r="N21" s="2" t="s">
        <v>89</v>
      </c>
      <c r="O21" s="52" t="s">
        <v>89</v>
      </c>
      <c r="P21" s="2" t="s">
        <v>89</v>
      </c>
      <c r="R21" s="2" t="s">
        <v>27</v>
      </c>
      <c r="S21" s="18" t="s">
        <v>43</v>
      </c>
    </row>
    <row r="22" spans="1:19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71</v>
      </c>
      <c r="I22" s="1" t="s">
        <v>51</v>
      </c>
      <c r="J22" s="1">
        <v>58500000</v>
      </c>
      <c r="K22" s="1" t="s">
        <v>90</v>
      </c>
      <c r="L22">
        <v>22.3</v>
      </c>
      <c r="M22">
        <f>2.79/100000</f>
        <v>2.7900000000000001E-5</v>
      </c>
      <c r="N22">
        <f>4.51/10000000</f>
        <v>4.51E-7</v>
      </c>
      <c r="O22" s="48">
        <f t="shared" si="1"/>
        <v>1.9664457831325297E-2</v>
      </c>
      <c r="P22">
        <f t="shared" si="3"/>
        <v>6.3574698795180714E-4</v>
      </c>
      <c r="R22" s="2" t="s">
        <v>55</v>
      </c>
      <c r="S22" s="14" t="s">
        <v>36</v>
      </c>
    </row>
    <row r="23" spans="1:19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71</v>
      </c>
      <c r="I23" s="1" t="s">
        <v>52</v>
      </c>
      <c r="J23" s="1">
        <v>2706074.6268656715</v>
      </c>
      <c r="K23" s="1" t="s">
        <v>91</v>
      </c>
      <c r="L23">
        <v>-28.4</v>
      </c>
      <c r="M23">
        <f>1.93/10000</f>
        <v>1.93E-4</v>
      </c>
      <c r="N23">
        <f>5/10000000</f>
        <v>4.9999999999999998E-7</v>
      </c>
      <c r="O23" s="48">
        <f t="shared" si="1"/>
        <v>0.71316836853098164</v>
      </c>
      <c r="P23">
        <f t="shared" si="3"/>
        <v>3.6951728939429102E-3</v>
      </c>
      <c r="R23" s="2" t="s">
        <v>56</v>
      </c>
      <c r="S23" s="14" t="s">
        <v>36</v>
      </c>
    </row>
    <row r="24" spans="1:19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71</v>
      </c>
      <c r="I24" s="1" t="s">
        <v>53</v>
      </c>
      <c r="J24" s="1" t="s">
        <v>43</v>
      </c>
      <c r="K24" s="1" t="s">
        <v>43</v>
      </c>
      <c r="L24" s="1" t="s">
        <v>43</v>
      </c>
      <c r="M24" s="1" t="s">
        <v>43</v>
      </c>
      <c r="N24" s="1" t="s">
        <v>43</v>
      </c>
      <c r="O24" s="46" t="s">
        <v>43</v>
      </c>
      <c r="P24" s="1" t="s">
        <v>43</v>
      </c>
      <c r="Q24" s="1" t="s">
        <v>43</v>
      </c>
      <c r="R24" s="2" t="s">
        <v>31</v>
      </c>
      <c r="S24" s="18" t="s">
        <v>43</v>
      </c>
    </row>
    <row r="25" spans="1:19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71</v>
      </c>
      <c r="I25" s="25" t="s">
        <v>54</v>
      </c>
      <c r="J25" s="25">
        <v>27213.930348258709</v>
      </c>
      <c r="K25" s="25" t="s">
        <v>92</v>
      </c>
      <c r="L25" s="37">
        <v>-45</v>
      </c>
      <c r="M25" s="37">
        <f>8.28/100000</f>
        <v>8.2799999999999993E-5</v>
      </c>
      <c r="N25" s="37">
        <f>6/10000000</f>
        <v>5.9999999999999997E-7</v>
      </c>
      <c r="O25" s="49">
        <f t="shared" si="1"/>
        <v>0.32874559721011332</v>
      </c>
      <c r="P25" s="37">
        <f t="shared" si="3"/>
        <v>4.764428945074106E-3</v>
      </c>
      <c r="Q25" s="37"/>
      <c r="R25" s="26" t="s">
        <v>56</v>
      </c>
      <c r="S25" s="44" t="s">
        <v>36</v>
      </c>
    </row>
    <row r="26" spans="1:19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71</v>
      </c>
      <c r="I26" s="1" t="s">
        <v>57</v>
      </c>
      <c r="J26" s="1">
        <v>78500000</v>
      </c>
      <c r="K26" s="1" t="s">
        <v>93</v>
      </c>
      <c r="L26">
        <v>20</v>
      </c>
      <c r="M26">
        <f>2.93/100000</f>
        <v>2.9300000000000001E-5</v>
      </c>
      <c r="N26">
        <f>4/10000000</f>
        <v>3.9999999999999998E-7</v>
      </c>
      <c r="O26" s="48">
        <f t="shared" si="1"/>
        <v>3.0874204446381864E-2</v>
      </c>
      <c r="P26">
        <f t="shared" si="3"/>
        <v>8.4298169136878809E-4</v>
      </c>
      <c r="R26" s="2" t="s">
        <v>55</v>
      </c>
      <c r="S26" s="14" t="s">
        <v>36</v>
      </c>
    </row>
    <row r="27" spans="1:19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71</v>
      </c>
      <c r="I27" s="25" t="s">
        <v>58</v>
      </c>
      <c r="J27" s="25">
        <v>72156862.74509804</v>
      </c>
      <c r="K27" s="25" t="s">
        <v>94</v>
      </c>
      <c r="L27" s="37">
        <v>-25</v>
      </c>
      <c r="M27" s="37">
        <f>8/100000</f>
        <v>8.0000000000000007E-5</v>
      </c>
      <c r="N27" s="37">
        <f>2/10000000</f>
        <v>1.9999999999999999E-7</v>
      </c>
      <c r="O27" s="49">
        <f t="shared" si="1"/>
        <v>0.34808702175543893</v>
      </c>
      <c r="P27" s="37">
        <f t="shared" si="3"/>
        <v>1.7404351087771943E-3</v>
      </c>
      <c r="Q27" s="37"/>
      <c r="R27" s="26" t="s">
        <v>56</v>
      </c>
      <c r="S27" s="44" t="s">
        <v>36</v>
      </c>
    </row>
    <row r="28" spans="1:19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1"/>
      <c r="H28" s="1" t="s">
        <v>71</v>
      </c>
      <c r="I28" s="1" t="s">
        <v>59</v>
      </c>
      <c r="J28" s="1" t="s">
        <v>43</v>
      </c>
      <c r="K28" s="1" t="s">
        <v>43</v>
      </c>
      <c r="L28" s="1" t="s">
        <v>43</v>
      </c>
      <c r="M28" s="1" t="s">
        <v>43</v>
      </c>
      <c r="N28" s="1" t="s">
        <v>43</v>
      </c>
      <c r="O28" s="46" t="s">
        <v>43</v>
      </c>
      <c r="P28" s="1" t="s">
        <v>43</v>
      </c>
      <c r="Q28" s="1" t="s">
        <v>43</v>
      </c>
      <c r="R28" s="2" t="s">
        <v>31</v>
      </c>
      <c r="S28" s="18" t="s">
        <v>43</v>
      </c>
    </row>
    <row r="29" spans="1:19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71</v>
      </c>
      <c r="I29" s="1" t="s">
        <v>21</v>
      </c>
      <c r="J29" s="1">
        <v>158054.71124620063</v>
      </c>
      <c r="K29" s="1" t="s">
        <v>95</v>
      </c>
      <c r="L29">
        <v>5</v>
      </c>
      <c r="M29">
        <f>5.7/100000</f>
        <v>5.7000000000000003E-5</v>
      </c>
      <c r="N29">
        <f>4.3/10000000</f>
        <v>4.2999999999999996E-7</v>
      </c>
      <c r="O29" s="48">
        <f t="shared" si="1"/>
        <v>0.12306818181818184</v>
      </c>
      <c r="P29">
        <f t="shared" si="3"/>
        <v>1.8568181818181821E-3</v>
      </c>
      <c r="R29" s="2" t="s">
        <v>56</v>
      </c>
      <c r="S29" s="14" t="s">
        <v>36</v>
      </c>
    </row>
    <row r="30" spans="1:19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71</v>
      </c>
      <c r="I30" s="1" t="s">
        <v>60</v>
      </c>
      <c r="J30" s="1">
        <v>94932.781799379532</v>
      </c>
      <c r="K30" s="1" t="s">
        <v>96</v>
      </c>
      <c r="L30">
        <v>-8</v>
      </c>
      <c r="M30">
        <f>4.7/100000</f>
        <v>4.7000000000000004E-5</v>
      </c>
      <c r="N30">
        <f>1.5/10000000</f>
        <v>1.4999999999999999E-7</v>
      </c>
      <c r="O30" s="48">
        <f t="shared" si="1"/>
        <v>6.7695161290322589E-2</v>
      </c>
      <c r="P30">
        <f t="shared" si="3"/>
        <v>4.3209677419354839E-4</v>
      </c>
      <c r="Q30" s="1"/>
      <c r="R30" s="2" t="s">
        <v>55</v>
      </c>
      <c r="S30" s="5" t="s">
        <v>63</v>
      </c>
    </row>
    <row r="31" spans="1:19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71</v>
      </c>
      <c r="I31" s="25" t="s">
        <v>61</v>
      </c>
      <c r="J31" s="25">
        <v>235000000</v>
      </c>
      <c r="K31" s="25" t="s">
        <v>97</v>
      </c>
      <c r="L31" s="37">
        <v>-10.199999999999999</v>
      </c>
      <c r="M31" s="37">
        <f>3.5/100000</f>
        <v>3.4999999999999997E-5</v>
      </c>
      <c r="N31" s="37">
        <f>1.5/10000000</f>
        <v>1.4999999999999999E-7</v>
      </c>
      <c r="O31" s="49">
        <f t="shared" si="1"/>
        <v>3.310810810810811E-2</v>
      </c>
      <c r="P31" s="37">
        <f t="shared" si="3"/>
        <v>2.8378378378378371E-4</v>
      </c>
      <c r="Q31" s="37"/>
      <c r="R31" s="26" t="s">
        <v>62</v>
      </c>
      <c r="S31" s="53" t="s">
        <v>64</v>
      </c>
    </row>
    <row r="32" spans="1:19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71</v>
      </c>
      <c r="I32" s="1" t="s">
        <v>59</v>
      </c>
      <c r="J32" s="1">
        <v>2055000000.0000002</v>
      </c>
      <c r="K32" s="1" t="s">
        <v>98</v>
      </c>
      <c r="L32">
        <v>-10</v>
      </c>
      <c r="M32">
        <f>1.121/10000</f>
        <v>1.121E-4</v>
      </c>
      <c r="N32">
        <f>4.4/10000000</f>
        <v>4.4000000000000002E-7</v>
      </c>
      <c r="O32" s="48">
        <f t="shared" si="1"/>
        <v>0.35293239447921682</v>
      </c>
      <c r="P32">
        <f t="shared" si="3"/>
        <v>2.7705665222275719E-3</v>
      </c>
      <c r="R32" s="2" t="s">
        <v>48</v>
      </c>
      <c r="S32" s="14" t="s">
        <v>36</v>
      </c>
    </row>
    <row r="33" spans="1:19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71</v>
      </c>
      <c r="I33" s="1" t="s">
        <v>21</v>
      </c>
      <c r="J33" s="1">
        <v>259259259.25925922</v>
      </c>
      <c r="K33" s="1" t="s">
        <v>99</v>
      </c>
      <c r="L33">
        <v>-42</v>
      </c>
      <c r="M33">
        <f>9.3/100000</f>
        <v>9.3000000000000011E-5</v>
      </c>
      <c r="N33">
        <f>9/10000000</f>
        <v>8.9999999999999996E-7</v>
      </c>
      <c r="O33" s="48">
        <f t="shared" si="1"/>
        <v>0.28800000000000009</v>
      </c>
      <c r="P33">
        <f t="shared" si="3"/>
        <v>5.5741935483870977E-3</v>
      </c>
      <c r="R33" s="2" t="s">
        <v>48</v>
      </c>
      <c r="S33" s="5" t="s">
        <v>64</v>
      </c>
    </row>
    <row r="34" spans="1:19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71</v>
      </c>
      <c r="I34" s="1" t="s">
        <v>65</v>
      </c>
      <c r="J34" s="1">
        <v>2420000000</v>
      </c>
      <c r="K34" s="1" t="s">
        <v>100</v>
      </c>
      <c r="L34">
        <v>-13.2</v>
      </c>
      <c r="M34">
        <f>6.7/100000</f>
        <v>6.7000000000000002E-5</v>
      </c>
      <c r="N34">
        <f>8/100000000</f>
        <v>8.0000000000000002E-8</v>
      </c>
      <c r="O34" s="48">
        <f t="shared" si="1"/>
        <v>0.12696300259899099</v>
      </c>
      <c r="P34">
        <f t="shared" si="3"/>
        <v>3.0319523008714272E-4</v>
      </c>
      <c r="R34" s="2" t="s">
        <v>48</v>
      </c>
      <c r="S34" s="5" t="s">
        <v>66</v>
      </c>
    </row>
    <row r="35" spans="1:19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71</v>
      </c>
      <c r="I35" s="6" t="s">
        <v>61</v>
      </c>
      <c r="J35" s="6">
        <v>295333333.33333337</v>
      </c>
      <c r="K35" s="6" t="s">
        <v>101</v>
      </c>
      <c r="L35" s="21">
        <v>-55.3</v>
      </c>
      <c r="M35" s="21">
        <f>9.33/100000</f>
        <v>9.3300000000000005E-5</v>
      </c>
      <c r="N35" s="21">
        <f>1.1/1000000</f>
        <v>1.1000000000000001E-6</v>
      </c>
      <c r="O35" s="48">
        <f t="shared" si="1"/>
        <v>0.27395405192761607</v>
      </c>
      <c r="P35">
        <f t="shared" si="3"/>
        <v>6.459795436664046E-3</v>
      </c>
      <c r="Q35" s="21"/>
      <c r="R35" s="7" t="s">
        <v>48</v>
      </c>
      <c r="S35" s="2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2023-12-04T21:42:44Z</dcterms:modified>
</cp:coreProperties>
</file>