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Client\Data_kula\2024_08_01_15_28_06\"/>
    </mc:Choice>
  </mc:AlternateContent>
  <bookViews>
    <workbookView minimized="1"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1" l="1"/>
  <c r="W58" i="1"/>
  <c r="U45" i="1"/>
  <c r="J10" i="1"/>
  <c r="I10" i="1"/>
  <c r="I4" i="1"/>
  <c r="I11" i="1"/>
  <c r="K4" i="1"/>
  <c r="L13" i="1"/>
  <c r="L19" i="1"/>
  <c r="L16" i="1"/>
  <c r="L12" i="1"/>
  <c r="L15" i="1"/>
  <c r="W49" i="1" l="1"/>
  <c r="W54" i="1" s="1"/>
  <c r="AB56" i="1"/>
  <c r="Z53" i="1"/>
  <c r="Z52" i="1"/>
  <c r="AA52" i="1"/>
  <c r="AB52" i="1" s="1"/>
  <c r="AA53" i="1"/>
  <c r="AB53" i="1"/>
  <c r="Z48" i="1"/>
  <c r="AA48" i="1"/>
  <c r="AB48" i="1"/>
  <c r="Z49" i="1"/>
  <c r="AB49" i="1" s="1"/>
  <c r="AA49" i="1"/>
  <c r="Z50" i="1"/>
  <c r="AA50" i="1"/>
  <c r="AB50" i="1" s="1"/>
  <c r="Z51" i="1"/>
  <c r="AA51" i="1"/>
  <c r="AB51" i="1"/>
  <c r="AB47" i="1"/>
  <c r="AA47" i="1"/>
  <c r="Z47" i="1"/>
  <c r="Z45" i="1"/>
  <c r="U51" i="1"/>
  <c r="U48" i="1"/>
  <c r="V48" i="1"/>
  <c r="W48" i="1"/>
  <c r="U49" i="1"/>
  <c r="V49" i="1"/>
  <c r="U50" i="1"/>
  <c r="V50" i="1"/>
  <c r="W50" i="1" s="1"/>
  <c r="V51" i="1"/>
  <c r="W51" i="1"/>
  <c r="W47" i="1"/>
  <c r="W45" i="1"/>
  <c r="V47" i="1"/>
  <c r="V45" i="1"/>
  <c r="AA45" i="1"/>
  <c r="AB45" i="1" s="1"/>
  <c r="I7" i="1"/>
  <c r="I33" i="1"/>
  <c r="I34" i="1"/>
  <c r="I35" i="1"/>
  <c r="I31" i="1"/>
  <c r="K32" i="1"/>
  <c r="K33" i="1"/>
  <c r="K34" i="1"/>
  <c r="K35" i="1"/>
  <c r="K36" i="1"/>
  <c r="K37" i="1"/>
  <c r="J31" i="1"/>
  <c r="J32" i="1"/>
  <c r="J33" i="1"/>
  <c r="J34" i="1"/>
  <c r="J35" i="1"/>
  <c r="K31" i="1"/>
  <c r="K5" i="1"/>
  <c r="K6" i="1"/>
  <c r="K7" i="1"/>
  <c r="K8" i="1"/>
  <c r="K9" i="1"/>
  <c r="Z40" i="1" l="1"/>
  <c r="J8" i="1"/>
  <c r="Q38" i="1"/>
  <c r="L46" i="1"/>
  <c r="J5" i="1"/>
  <c r="J7" i="1"/>
  <c r="I9" i="1"/>
  <c r="I8" i="1"/>
  <c r="J6" i="1"/>
  <c r="E36" i="1"/>
  <c r="J36" i="1"/>
  <c r="M33" i="1"/>
  <c r="M37" i="1"/>
  <c r="E37" i="1"/>
  <c r="J37" i="1" s="1"/>
  <c r="I37" i="1"/>
  <c r="G32" i="1"/>
  <c r="M32" i="1" s="1"/>
  <c r="G33" i="1"/>
  <c r="G34" i="1"/>
  <c r="M34" i="1" s="1"/>
  <c r="G35" i="1"/>
  <c r="G36" i="1"/>
  <c r="I36" i="1" s="1"/>
  <c r="G37" i="1"/>
  <c r="G26" i="1"/>
  <c r="M36" i="1" l="1"/>
  <c r="I32" i="1"/>
  <c r="M35" i="1"/>
  <c r="L25" i="1"/>
  <c r="G31" i="1"/>
  <c r="G5" i="1"/>
  <c r="G6" i="1"/>
  <c r="G7" i="1"/>
  <c r="G8" i="1"/>
  <c r="G9" i="1"/>
  <c r="G4" i="1"/>
  <c r="E5" i="1"/>
  <c r="E6" i="1"/>
  <c r="E7" i="1"/>
  <c r="E8" i="1"/>
  <c r="E9" i="1"/>
  <c r="J9" i="1" s="1"/>
  <c r="E4" i="1"/>
  <c r="J4" i="1" s="1"/>
  <c r="E25" i="1"/>
  <c r="E26" i="1"/>
  <c r="E31" i="1"/>
  <c r="E33" i="1"/>
  <c r="E28" i="1"/>
  <c r="F28" i="1"/>
  <c r="G28" i="1" s="1"/>
  <c r="F25" i="1"/>
  <c r="G25" i="1" s="1"/>
  <c r="M31" i="1" l="1"/>
  <c r="L4" i="1"/>
</calcChain>
</file>

<file path=xl/sharedStrings.xml><?xml version="1.0" encoding="utf-8"?>
<sst xmlns="http://schemas.openxmlformats.org/spreadsheetml/2006/main" count="51" uniqueCount="33">
  <si>
    <t>Xe</t>
  </si>
  <si>
    <t>WL [nm]</t>
  </si>
  <si>
    <t>Absorbance [Au]</t>
  </si>
  <si>
    <t>Transition probability A_ki [1/s]</t>
  </si>
  <si>
    <t>Upper energy [eV]</t>
  </si>
  <si>
    <t>angular momentum J</t>
  </si>
  <si>
    <t>statistical weight g_u</t>
  </si>
  <si>
    <t>Ar</t>
  </si>
  <si>
    <t>brak</t>
  </si>
  <si>
    <t>h</t>
  </si>
  <si>
    <t>c</t>
  </si>
  <si>
    <t>upper energy [1/cm]</t>
  </si>
  <si>
    <t>y</t>
  </si>
  <si>
    <t>x</t>
  </si>
  <si>
    <t>Kb</t>
  </si>
  <si>
    <t>rel intensity</t>
  </si>
  <si>
    <t>Spectrum:</t>
  </si>
  <si>
    <t>ready2</t>
  </si>
  <si>
    <t>wavelength [nm]</t>
  </si>
  <si>
    <t>absorbance</t>
  </si>
  <si>
    <t>FWHM [nm]</t>
  </si>
  <si>
    <t>--</t>
  </si>
  <si>
    <t>Gaussian deconvolution of: ready2</t>
  </si>
  <si>
    <t>ln(lambda I / A g_u)</t>
  </si>
  <si>
    <t>E_u/K_B</t>
  </si>
  <si>
    <t>z usunietym zmierzonym tlem</t>
  </si>
  <si>
    <t>z usunietym tlem w spectragryph</t>
  </si>
  <si>
    <t>z usunietym tlem normalnie</t>
  </si>
  <si>
    <t>stary wynik xe</t>
  </si>
  <si>
    <t>I</t>
  </si>
  <si>
    <t>Ag/lambda</t>
  </si>
  <si>
    <t>I lambda / A g</t>
  </si>
  <si>
    <t>cXe/cAr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</si>
</sst>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1F1F1F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4"/>
      <color rgb="FF000000"/>
      <name val="Courier New"/>
      <family val="3"/>
      <charset val="238"/>
    </font>
    <font>
      <sz val="1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E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2" fontId="0" fillId="0" borderId="0" xfId="0" applyNumberFormat="1"/>
    <xf numFmtId="11" fontId="2" fillId="0" borderId="0" xfId="0" applyNumberFormat="1" applyFont="1"/>
    <xf numFmtId="0" fontId="0" fillId="0" borderId="0" xfId="0" applyNumberFormat="1"/>
    <xf numFmtId="0" fontId="0" fillId="2" borderId="0" xfId="0" applyFill="1"/>
    <xf numFmtId="0" fontId="5" fillId="3" borderId="1" xfId="0" applyFont="1" applyFill="1" applyBorder="1" applyAlignment="1">
      <alignment horizontal="left" vertical="center"/>
    </xf>
    <xf numFmtId="4" fontId="6" fillId="0" borderId="0" xfId="0" applyNumberFormat="1" applyFont="1"/>
    <xf numFmtId="0" fontId="4" fillId="0" borderId="0" xfId="0" applyNumberFormat="1" applyFont="1"/>
    <xf numFmtId="0" fontId="0" fillId="4" borderId="0" xfId="0" applyFill="1"/>
    <xf numFmtId="0" fontId="0" fillId="5" borderId="0" xfId="0" applyFill="1"/>
    <xf numFmtId="0" fontId="2" fillId="4" borderId="0" xfId="0" applyFont="1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Xenon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marker>
            <c:symbol val="none"/>
          </c:marker>
          <c:xVal>
            <c:numRef>
              <c:f>Arkusz1!$J$4:$J$9</c:f>
              <c:numCache>
                <c:formatCode>0.0000E+00</c:formatCode>
                <c:ptCount val="6"/>
                <c:pt idx="0">
                  <c:v>113969.06302855037</c:v>
                </c:pt>
                <c:pt idx="1">
                  <c:v>115273.30995140767</c:v>
                </c:pt>
                <c:pt idx="2">
                  <c:v>112804.51126903172</c:v>
                </c:pt>
                <c:pt idx="3">
                  <c:v>113969.06302855037</c:v>
                </c:pt>
                <c:pt idx="4">
                  <c:v>113600.11171882074</c:v>
                </c:pt>
                <c:pt idx="5">
                  <c:v>111173.05914753693</c:v>
                </c:pt>
              </c:numCache>
            </c:numRef>
          </c:xVal>
          <c:yVal>
            <c:numRef>
              <c:f>Arkusz1!$I$4:$I$9</c:f>
              <c:numCache>
                <c:formatCode>General</c:formatCode>
                <c:ptCount val="6"/>
                <c:pt idx="0">
                  <c:v>-22.649667494925218</c:v>
                </c:pt>
                <c:pt idx="3">
                  <c:v>-22.607675240903859</c:v>
                </c:pt>
                <c:pt idx="4">
                  <c:v>-21.918271301647614</c:v>
                </c:pt>
                <c:pt idx="5">
                  <c:v>-21.619837073407965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9-4A71-BBCB-9A3DD90FC08E}"/>
            </c:ext>
          </c:extLst>
        </c:ser>
        <c:ser>
          <c:idx val="3"/>
          <c:order val="1"/>
          <c:tx>
            <c:v>all</c:v>
          </c:tx>
          <c:spPr>
            <a:ln w="19050">
              <a:noFill/>
            </a:ln>
          </c:spPr>
          <c:marker>
            <c:symbol val="none"/>
          </c:marker>
          <c:xVal>
            <c:numRef>
              <c:f>Arkusz1!$J$4:$J$9</c:f>
              <c:numCache>
                <c:formatCode>0.0000E+00</c:formatCode>
                <c:ptCount val="6"/>
                <c:pt idx="0">
                  <c:v>113969.06302855037</c:v>
                </c:pt>
                <c:pt idx="1">
                  <c:v>115273.30995140767</c:v>
                </c:pt>
                <c:pt idx="2">
                  <c:v>112804.51126903172</c:v>
                </c:pt>
                <c:pt idx="3">
                  <c:v>113969.06302855037</c:v>
                </c:pt>
                <c:pt idx="4">
                  <c:v>113600.11171882074</c:v>
                </c:pt>
                <c:pt idx="5">
                  <c:v>111173.05914753693</c:v>
                </c:pt>
              </c:numCache>
            </c:numRef>
          </c:xVal>
          <c:yVal>
            <c:numRef>
              <c:f>Arkusz1!$K$4:$K$9</c:f>
              <c:numCache>
                <c:formatCode>General</c:formatCode>
                <c:ptCount val="6"/>
                <c:pt idx="0">
                  <c:v>-22.649667494925218</c:v>
                </c:pt>
                <c:pt idx="1">
                  <c:v>-22.156539320235915</c:v>
                </c:pt>
                <c:pt idx="2">
                  <c:v>-23.873285577460372</c:v>
                </c:pt>
                <c:pt idx="3">
                  <c:v>-22.607675240903859</c:v>
                </c:pt>
                <c:pt idx="4">
                  <c:v>-21.918271301647614</c:v>
                </c:pt>
                <c:pt idx="5">
                  <c:v>-21.619837073407965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19-4A71-BBCB-9A3DD90FC08E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5875">
                <a:noFill/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973630386623056"/>
                  <c:y val="-0.328629862715610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Arkusz1!$J$4:$J$9</c:f>
              <c:numCache>
                <c:formatCode>0.0000E+00</c:formatCode>
                <c:ptCount val="6"/>
                <c:pt idx="0">
                  <c:v>113969.06302855037</c:v>
                </c:pt>
                <c:pt idx="1">
                  <c:v>115273.30995140767</c:v>
                </c:pt>
                <c:pt idx="2">
                  <c:v>112804.51126903172</c:v>
                </c:pt>
                <c:pt idx="3">
                  <c:v>113969.06302855037</c:v>
                </c:pt>
                <c:pt idx="4">
                  <c:v>113600.11171882074</c:v>
                </c:pt>
                <c:pt idx="5">
                  <c:v>111173.05914753693</c:v>
                </c:pt>
              </c:numCache>
            </c:numRef>
          </c:xVal>
          <c:yVal>
            <c:numRef>
              <c:f>Arkusz1!$I$4:$I$9</c:f>
              <c:numCache>
                <c:formatCode>General</c:formatCode>
                <c:ptCount val="6"/>
                <c:pt idx="0">
                  <c:v>-22.649667494925218</c:v>
                </c:pt>
                <c:pt idx="3">
                  <c:v>-22.607675240903859</c:v>
                </c:pt>
                <c:pt idx="4">
                  <c:v>-21.918271301647614</c:v>
                </c:pt>
                <c:pt idx="5">
                  <c:v>-21.619837073407965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9-4A71-BBCB-9A3DD90FC08E}"/>
            </c:ext>
          </c:extLst>
        </c:ser>
        <c:ser>
          <c:idx val="1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048-4680-82BD-49CD072A710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048-4680-82BD-49CD072A710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048-4680-82BD-49CD072A710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048-4680-82BD-49CD072A7101}"/>
              </c:ext>
            </c:extLst>
          </c:dPt>
          <c:trendline>
            <c:spPr>
              <a:ln w="34925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049838827071345"/>
                  <c:y val="-5.3546110096380486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Arkusz1!$J$4:$J$9</c:f>
              <c:numCache>
                <c:formatCode>0.0000E+00</c:formatCode>
                <c:ptCount val="6"/>
                <c:pt idx="0">
                  <c:v>113969.06302855037</c:v>
                </c:pt>
                <c:pt idx="1">
                  <c:v>115273.30995140767</c:v>
                </c:pt>
                <c:pt idx="2">
                  <c:v>112804.51126903172</c:v>
                </c:pt>
                <c:pt idx="3">
                  <c:v>113969.06302855037</c:v>
                </c:pt>
                <c:pt idx="4">
                  <c:v>113600.11171882074</c:v>
                </c:pt>
                <c:pt idx="5">
                  <c:v>111173.05914753693</c:v>
                </c:pt>
              </c:numCache>
            </c:numRef>
          </c:xVal>
          <c:yVal>
            <c:numRef>
              <c:f>Arkusz1!$K$4:$K$9</c:f>
              <c:numCache>
                <c:formatCode>General</c:formatCode>
                <c:ptCount val="6"/>
                <c:pt idx="0">
                  <c:v>-22.649667494925218</c:v>
                </c:pt>
                <c:pt idx="1">
                  <c:v>-22.156539320235915</c:v>
                </c:pt>
                <c:pt idx="2">
                  <c:v>-23.873285577460372</c:v>
                </c:pt>
                <c:pt idx="3">
                  <c:v>-22.607675240903859</c:v>
                </c:pt>
                <c:pt idx="4">
                  <c:v>-21.918271301647614</c:v>
                </c:pt>
                <c:pt idx="5">
                  <c:v>-21.619837073407965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19-4A71-BBCB-9A3DD90F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3759"/>
        <c:axId val="501408751"/>
      </c:scatterChart>
      <c:valAx>
        <c:axId val="5014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E_u/K_B</a:t>
                </a:r>
              </a:p>
            </c:rich>
          </c:tx>
          <c:layout>
            <c:manualLayout>
              <c:xMode val="edge"/>
              <c:yMode val="edge"/>
              <c:x val="0.45270785329286956"/>
              <c:y val="0.947049882325105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408751"/>
        <c:crosses val="autoZero"/>
        <c:crossBetween val="midCat"/>
      </c:valAx>
      <c:valAx>
        <c:axId val="5014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ln</a:t>
                </a:r>
                <a:r>
                  <a:rPr lang="pl-PL" baseline="0"/>
                  <a:t> ( lambda I / (A g_u))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403759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Arkusz1!$L$31:$L$37</c:f>
              <c:numCache>
                <c:formatCode>General</c:formatCode>
                <c:ptCount val="7"/>
                <c:pt idx="0">
                  <c:v>10000</c:v>
                </c:pt>
                <c:pt idx="1">
                  <c:v>15000</c:v>
                </c:pt>
                <c:pt idx="2">
                  <c:v>25000</c:v>
                </c:pt>
                <c:pt idx="3">
                  <c:v>15000</c:v>
                </c:pt>
                <c:pt idx="4">
                  <c:v>20000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8-42B7-95B2-2465F6D2396A}"/>
            </c:ext>
          </c:extLst>
        </c:ser>
        <c:ser>
          <c:idx val="1"/>
          <c:order val="1"/>
          <c:tx>
            <c:v>praqkt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Arkusz1!$B$31:$B$37</c:f>
              <c:numCache>
                <c:formatCode>General</c:formatCode>
                <c:ptCount val="7"/>
                <c:pt idx="0">
                  <c:v>2508.5</c:v>
                </c:pt>
                <c:pt idx="1">
                  <c:v>4703</c:v>
                </c:pt>
                <c:pt idx="2">
                  <c:v>8075.1</c:v>
                </c:pt>
                <c:pt idx="3">
                  <c:v>4080.7</c:v>
                </c:pt>
                <c:pt idx="4">
                  <c:v>4244.3</c:v>
                </c:pt>
                <c:pt idx="5">
                  <c:v>4424.1000000000004</c:v>
                </c:pt>
                <c:pt idx="6">
                  <c:v>1250.4000000000001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8-42B7-95B2-2465F6D2396A}"/>
            </c:ext>
          </c:extLst>
        </c:ser>
        <c:ser>
          <c:idx val="2"/>
          <c:order val="2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Arkusz1!$M$31:$M$37</c:f>
              <c:numCache>
                <c:formatCode>0.00E+00</c:formatCode>
                <c:ptCount val="7"/>
                <c:pt idx="0">
                  <c:v>1920</c:v>
                </c:pt>
                <c:pt idx="1">
                  <c:v>4020</c:v>
                </c:pt>
                <c:pt idx="2">
                  <c:v>12250</c:v>
                </c:pt>
                <c:pt idx="3">
                  <c:v>1560</c:v>
                </c:pt>
                <c:pt idx="4">
                  <c:v>7500</c:v>
                </c:pt>
                <c:pt idx="5">
                  <c:v>11150</c:v>
                </c:pt>
                <c:pt idx="6">
                  <c:v>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8-42B7-95B2-2465F6D2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9439"/>
        <c:axId val="175051519"/>
      </c:scatterChart>
      <c:valAx>
        <c:axId val="1750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51519"/>
        <c:crosses val="autoZero"/>
        <c:crossBetween val="midCat"/>
      </c:valAx>
      <c:valAx>
        <c:axId val="1750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4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wziete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5875">
                <a:noFill/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188778632886359E-2"/>
                  <c:y val="-0.198140886962477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Arkusz1!$J$31:$J$37</c:f>
              <c:numCache>
                <c:formatCode>0.0000E+00</c:formatCode>
                <c:ptCount val="7"/>
                <c:pt idx="0">
                  <c:v>154663.35858666574</c:v>
                </c:pt>
                <c:pt idx="1">
                  <c:v>154027.20988557261</c:v>
                </c:pt>
                <c:pt idx="2">
                  <c:v>152852.13302089623</c:v>
                </c:pt>
                <c:pt idx="3">
                  <c:v>154653.41300850341</c:v>
                </c:pt>
                <c:pt idx="4">
                  <c:v>152635.38730713187</c:v>
                </c:pt>
                <c:pt idx="5">
                  <c:v>154365.93966632863</c:v>
                </c:pt>
                <c:pt idx="6">
                  <c:v>154138.62514933341</c:v>
                </c:pt>
              </c:numCache>
            </c:numRef>
          </c:xVal>
          <c:yVal>
            <c:numRef>
              <c:f>Arkusz1!$I$31:$I$37</c:f>
              <c:numCache>
                <c:formatCode>General</c:formatCode>
                <c:ptCount val="7"/>
                <c:pt idx="0">
                  <c:v>-23.120116757882059</c:v>
                </c:pt>
                <c:pt idx="1">
                  <c:v>-23.154662607855034</c:v>
                </c:pt>
                <c:pt idx="2">
                  <c:v>-23.712419884986481</c:v>
                </c:pt>
                <c:pt idx="3">
                  <c:v>-22.322551880297933</c:v>
                </c:pt>
                <c:pt idx="4">
                  <c:v>-23.804009612869756</c:v>
                </c:pt>
                <c:pt idx="5">
                  <c:v>-24.123600043421881</c:v>
                </c:pt>
                <c:pt idx="6">
                  <c:v>-24.751218830822612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E-4B4B-9130-6881BF7027F5}"/>
            </c:ext>
          </c:extLst>
        </c:ser>
        <c:ser>
          <c:idx val="1"/>
          <c:order val="1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190952277430084E-3"/>
                  <c:y val="0.3614838812735751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Arkusz1!$J$31:$J$37</c:f>
              <c:numCache>
                <c:formatCode>0.0000E+00</c:formatCode>
                <c:ptCount val="7"/>
                <c:pt idx="0">
                  <c:v>154663.35858666574</c:v>
                </c:pt>
                <c:pt idx="1">
                  <c:v>154027.20988557261</c:v>
                </c:pt>
                <c:pt idx="2">
                  <c:v>152852.13302089623</c:v>
                </c:pt>
                <c:pt idx="3">
                  <c:v>154653.41300850341</c:v>
                </c:pt>
                <c:pt idx="4">
                  <c:v>152635.38730713187</c:v>
                </c:pt>
                <c:pt idx="5">
                  <c:v>154365.93966632863</c:v>
                </c:pt>
                <c:pt idx="6">
                  <c:v>154138.62514933341</c:v>
                </c:pt>
              </c:numCache>
            </c:numRef>
          </c:xVal>
          <c:yVal>
            <c:numRef>
              <c:f>Arkusz1!$K$31:$K$37</c:f>
              <c:numCache>
                <c:formatCode>General</c:formatCode>
                <c:ptCount val="7"/>
                <c:pt idx="0">
                  <c:v>-23.120116757882059</c:v>
                </c:pt>
                <c:pt idx="1">
                  <c:v>-23.154662607855034</c:v>
                </c:pt>
                <c:pt idx="2">
                  <c:v>-23.712419884986481</c:v>
                </c:pt>
                <c:pt idx="3">
                  <c:v>-22.322551880297933</c:v>
                </c:pt>
                <c:pt idx="4">
                  <c:v>-23.804009612869756</c:v>
                </c:pt>
                <c:pt idx="5">
                  <c:v>-24.123600043421881</c:v>
                </c:pt>
                <c:pt idx="6">
                  <c:v>-24.751218830822612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E-4B4B-9130-6881BF70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3759"/>
        <c:axId val="501408751"/>
      </c:scatterChart>
      <c:valAx>
        <c:axId val="5014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E_u/K_B</a:t>
                </a:r>
              </a:p>
            </c:rich>
          </c:tx>
          <c:layout>
            <c:manualLayout>
              <c:xMode val="edge"/>
              <c:yMode val="edge"/>
              <c:x val="0.416485771228803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408751"/>
        <c:crosses val="autoZero"/>
        <c:crossBetween val="midCat"/>
      </c:valAx>
      <c:valAx>
        <c:axId val="5014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ln</a:t>
                </a:r>
                <a:r>
                  <a:rPr lang="pl-PL" baseline="0"/>
                  <a:t> ( lambda I / (A g_u))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40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962906</xdr:colOff>
      <xdr:row>16</xdr:row>
      <xdr:rowOff>22412</xdr:rowOff>
    </xdr:from>
    <xdr:to>
      <xdr:col>15</xdr:col>
      <xdr:colOff>139273</xdr:colOff>
      <xdr:row>45</xdr:row>
      <xdr:rowOff>32019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424543</xdr:colOff>
      <xdr:row>64</xdr:row>
      <xdr:rowOff>151039</xdr:rowOff>
    </xdr:from>
    <xdr:to>
      <xdr:col>5</xdr:col>
      <xdr:colOff>454479</xdr:colOff>
      <xdr:row>79</xdr:row>
      <xdr:rowOff>91168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830036</xdr:colOff>
      <xdr:row>41</xdr:row>
      <xdr:rowOff>176893</xdr:rowOff>
    </xdr:from>
    <xdr:to>
      <xdr:col>12</xdr:col>
      <xdr:colOff>272143</xdr:colOff>
      <xdr:row>62</xdr:row>
      <xdr:rowOff>95251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F22" zoomScale="85" zoomScaleNormal="85" workbookViewId="0">
      <selection activeCell="U47" sqref="U47"/>
    </sheetView>
  </sheetViews>
  <sheetFormatPr defaultRowHeight="15" x14ac:dyDescent="0.25"/>
  <cols>
    <col min="2" max="2" width="17.140625" customWidth="1"/>
    <col min="3" max="4" width="28.28515625" customWidth="1"/>
    <col min="5" max="5" width="23" customWidth="1"/>
    <col min="6" max="6" width="20.7109375" customWidth="1"/>
    <col min="7" max="7" width="21.42578125" customWidth="1"/>
    <col min="9" max="9" width="17.7109375" customWidth="1"/>
    <col min="10" max="10" width="11.28515625" bestFit="1" customWidth="1"/>
    <col min="11" max="11" width="28.85546875" customWidth="1"/>
    <col min="12" max="12" width="12.7109375" bestFit="1" customWidth="1"/>
    <col min="20" max="20" width="14" customWidth="1"/>
  </cols>
  <sheetData>
    <row r="1" spans="1:21" ht="16.5" customHeight="1" x14ac:dyDescent="0.25">
      <c r="A1" t="s">
        <v>0</v>
      </c>
      <c r="I1" t="s">
        <v>23</v>
      </c>
      <c r="J1" t="s">
        <v>24</v>
      </c>
      <c r="O1" t="s">
        <v>16</v>
      </c>
      <c r="P1" t="s">
        <v>17</v>
      </c>
      <c r="S1" t="s">
        <v>16</v>
      </c>
      <c r="T1" t="s">
        <v>22</v>
      </c>
    </row>
    <row r="2" spans="1:21" x14ac:dyDescent="0.25">
      <c r="A2" t="s">
        <v>1</v>
      </c>
      <c r="B2" t="s">
        <v>2</v>
      </c>
      <c r="C2" s="1" t="s">
        <v>3</v>
      </c>
      <c r="D2" s="1" t="s">
        <v>11</v>
      </c>
      <c r="E2" t="s">
        <v>4</v>
      </c>
      <c r="F2" t="s">
        <v>5</v>
      </c>
      <c r="G2" t="s">
        <v>6</v>
      </c>
      <c r="I2" t="s">
        <v>12</v>
      </c>
      <c r="J2" t="s">
        <v>13</v>
      </c>
    </row>
    <row r="3" spans="1:21" x14ac:dyDescent="0.25">
      <c r="O3" t="s">
        <v>18</v>
      </c>
      <c r="P3" t="s">
        <v>19</v>
      </c>
      <c r="Q3" t="s">
        <v>20</v>
      </c>
      <c r="S3" t="s">
        <v>18</v>
      </c>
      <c r="T3" t="s">
        <v>19</v>
      </c>
      <c r="U3" t="s">
        <v>20</v>
      </c>
    </row>
    <row r="4" spans="1:21" x14ac:dyDescent="0.25">
      <c r="A4">
        <v>823.1</v>
      </c>
      <c r="B4">
        <v>25308</v>
      </c>
      <c r="C4" s="3">
        <v>28600000</v>
      </c>
      <c r="D4" s="6">
        <v>79212.464999999997</v>
      </c>
      <c r="E4" s="8">
        <f t="shared" ref="E4:E9" si="0">$B$43*$B$44*D4*100</f>
        <v>9.8210939767490153</v>
      </c>
      <c r="F4">
        <v>2</v>
      </c>
      <c r="G4">
        <f>2*F4+1</f>
        <v>5</v>
      </c>
      <c r="I4" s="21">
        <f>LOG(A4*0.000000001*B4/C4/G4, EXP(1))</f>
        <v>-22.649667494925218</v>
      </c>
      <c r="J4" s="4">
        <f>E4/$B$45</f>
        <v>113969.06302855037</v>
      </c>
      <c r="K4" s="20">
        <f>LOG(A4*0.000000001*B4/C4/G4, EXP(1))</f>
        <v>-22.649667494925218</v>
      </c>
      <c r="L4" t="e">
        <f>LINEST(I4:I9,J4:J9,TRUE,TRUE)</f>
        <v>#VALUE!</v>
      </c>
      <c r="O4">
        <v>688.01</v>
      </c>
      <c r="P4">
        <v>879.05</v>
      </c>
      <c r="Q4">
        <v>1.7359</v>
      </c>
      <c r="S4">
        <v>687.99</v>
      </c>
      <c r="T4">
        <v>922.47</v>
      </c>
      <c r="U4">
        <v>1.8909</v>
      </c>
    </row>
    <row r="5" spans="1:21" x14ac:dyDescent="0.25">
      <c r="A5">
        <v>828</v>
      </c>
      <c r="B5" s="10">
        <v>10630</v>
      </c>
      <c r="C5" s="3">
        <v>36900000</v>
      </c>
      <c r="D5" s="6">
        <v>80118.962</v>
      </c>
      <c r="E5" s="8">
        <f t="shared" si="0"/>
        <v>9.9334852806510092</v>
      </c>
      <c r="F5">
        <v>0</v>
      </c>
      <c r="G5">
        <f t="shared" ref="G5:G9" si="1">2*F5+1</f>
        <v>1</v>
      </c>
      <c r="I5" s="21"/>
      <c r="J5" s="4">
        <f>E5/$B$45</f>
        <v>115273.30995140767</v>
      </c>
      <c r="K5" s="20">
        <f t="shared" ref="K5:K9" si="2">LOG(A5*0.000000001*B5/C5/G5, EXP(1))</f>
        <v>-22.156539320235915</v>
      </c>
      <c r="L5" s="22"/>
      <c r="O5">
        <v>696.38</v>
      </c>
      <c r="P5">
        <v>2645.3</v>
      </c>
      <c r="Q5">
        <v>1.5096000000000001</v>
      </c>
      <c r="S5">
        <v>696.35</v>
      </c>
      <c r="T5">
        <v>2508.5</v>
      </c>
      <c r="U5">
        <v>1.5815999999999999</v>
      </c>
    </row>
    <row r="6" spans="1:21" x14ac:dyDescent="0.25">
      <c r="A6">
        <v>881.8</v>
      </c>
      <c r="B6">
        <v>10205</v>
      </c>
      <c r="C6" s="3">
        <v>30000000</v>
      </c>
      <c r="D6" s="6">
        <v>78403.061000000002</v>
      </c>
      <c r="E6" s="8">
        <f t="shared" si="0"/>
        <v>9.7207406706228081</v>
      </c>
      <c r="F6">
        <v>3</v>
      </c>
      <c r="G6">
        <f t="shared" si="1"/>
        <v>7</v>
      </c>
      <c r="I6" s="21"/>
      <c r="J6" s="4">
        <f t="shared" ref="J6" si="3">E6/$B$45</f>
        <v>112804.51126903172</v>
      </c>
      <c r="K6" s="20">
        <f t="shared" si="2"/>
        <v>-23.873285577460372</v>
      </c>
      <c r="O6">
        <v>711.87</v>
      </c>
      <c r="P6">
        <v>467.81</v>
      </c>
      <c r="Q6">
        <v>1.5799000000000001</v>
      </c>
      <c r="S6">
        <v>727.34</v>
      </c>
      <c r="T6">
        <v>707.57</v>
      </c>
      <c r="U6">
        <v>2.4946999999999999</v>
      </c>
    </row>
    <row r="7" spans="1:21" x14ac:dyDescent="0.25">
      <c r="A7">
        <v>895.2</v>
      </c>
      <c r="B7">
        <v>6873</v>
      </c>
      <c r="C7" s="3">
        <v>8100000</v>
      </c>
      <c r="D7" s="6">
        <v>79212.464999999997</v>
      </c>
      <c r="E7" s="8">
        <f t="shared" si="0"/>
        <v>9.8210939767490153</v>
      </c>
      <c r="F7">
        <v>2</v>
      </c>
      <c r="G7">
        <f t="shared" si="1"/>
        <v>5</v>
      </c>
      <c r="I7" s="21">
        <f>LOG(A7*0.000000001*B7/C7/G7, EXP(1))</f>
        <v>-22.607675240903859</v>
      </c>
      <c r="J7" s="4">
        <f>E7/$B$45</f>
        <v>113969.06302855037</v>
      </c>
      <c r="K7" s="20">
        <f t="shared" si="2"/>
        <v>-22.607675240903859</v>
      </c>
      <c r="O7">
        <v>727.35</v>
      </c>
      <c r="P7">
        <v>717.95</v>
      </c>
      <c r="Q7">
        <v>2.4849000000000001</v>
      </c>
      <c r="S7">
        <v>738.65</v>
      </c>
      <c r="T7">
        <v>921.15</v>
      </c>
      <c r="U7">
        <v>2.2841999999999998</v>
      </c>
    </row>
    <row r="8" spans="1:21" x14ac:dyDescent="0.25">
      <c r="A8">
        <v>916.2</v>
      </c>
      <c r="B8">
        <v>23788</v>
      </c>
      <c r="C8" s="3">
        <v>24000000</v>
      </c>
      <c r="D8" s="6">
        <v>78956.031000000003</v>
      </c>
      <c r="E8" s="8">
        <f t="shared" si="0"/>
        <v>9.7893002128150997</v>
      </c>
      <c r="F8">
        <v>1</v>
      </c>
      <c r="G8">
        <f t="shared" si="1"/>
        <v>3</v>
      </c>
      <c r="I8" s="21">
        <f>LOG(A8*0.000000001*B8/C8/G8, EXP(1))</f>
        <v>-21.918271301647614</v>
      </c>
      <c r="J8" s="4">
        <f>E8/$B$45</f>
        <v>113600.11171882074</v>
      </c>
      <c r="K8" s="20">
        <f t="shared" si="2"/>
        <v>-21.918271301647614</v>
      </c>
      <c r="O8">
        <v>738.65</v>
      </c>
      <c r="P8">
        <v>933.86</v>
      </c>
      <c r="Q8">
        <v>2.2787000000000002</v>
      </c>
      <c r="S8">
        <v>750.38</v>
      </c>
      <c r="T8">
        <v>4703</v>
      </c>
      <c r="U8">
        <v>2.0405000000000002</v>
      </c>
    </row>
    <row r="9" spans="1:21" x14ac:dyDescent="0.25">
      <c r="A9" s="22">
        <v>979.9</v>
      </c>
      <c r="B9">
        <v>38844</v>
      </c>
      <c r="C9" s="9">
        <v>31100000</v>
      </c>
      <c r="D9" s="7">
        <v>77269.145000000004</v>
      </c>
      <c r="E9" s="8">
        <f t="shared" si="0"/>
        <v>9.580153004303634</v>
      </c>
      <c r="F9">
        <v>1</v>
      </c>
      <c r="G9">
        <f t="shared" si="1"/>
        <v>3</v>
      </c>
      <c r="I9" s="21">
        <f t="shared" ref="I9" si="4">LOG(A9*0.000000001*B9/C9/G9, EXP(1))</f>
        <v>-21.619837073407965</v>
      </c>
      <c r="J9" s="4">
        <f>E9/$B$45</f>
        <v>111173.05914753693</v>
      </c>
      <c r="K9" s="20">
        <f t="shared" si="2"/>
        <v>-21.619837073407965</v>
      </c>
      <c r="O9">
        <v>750.4</v>
      </c>
      <c r="P9">
        <v>4846.5</v>
      </c>
      <c r="Q9">
        <v>2.0123000000000002</v>
      </c>
      <c r="S9">
        <v>763.47</v>
      </c>
      <c r="T9">
        <v>8075.1</v>
      </c>
      <c r="U9">
        <v>1.7313000000000001</v>
      </c>
    </row>
    <row r="10" spans="1:21" x14ac:dyDescent="0.25">
      <c r="I10">
        <f>I4</f>
        <v>-22.649667494925218</v>
      </c>
      <c r="J10" s="4">
        <f>J4</f>
        <v>113969.06302855037</v>
      </c>
      <c r="O10">
        <v>763.48</v>
      </c>
      <c r="P10">
        <v>8255.7000000000007</v>
      </c>
      <c r="Q10">
        <v>1.7188000000000001</v>
      </c>
      <c r="S10">
        <v>772.32</v>
      </c>
      <c r="T10">
        <v>4080.7</v>
      </c>
      <c r="U10">
        <v>1.554</v>
      </c>
    </row>
    <row r="11" spans="1:21" x14ac:dyDescent="0.25">
      <c r="I11">
        <f>LINEST(I7:I9,J7:J9,TRUE,TRUE)</f>
        <v>-2.7019486072693398E-4</v>
      </c>
      <c r="J11" s="4"/>
      <c r="O11">
        <v>772.32</v>
      </c>
      <c r="P11">
        <v>4103.1000000000004</v>
      </c>
      <c r="Q11">
        <v>1.5578000000000001</v>
      </c>
      <c r="S11">
        <v>788.55</v>
      </c>
      <c r="T11">
        <v>809.58</v>
      </c>
      <c r="U11">
        <v>1.3717999999999999</v>
      </c>
    </row>
    <row r="12" spans="1:21" x14ac:dyDescent="0.25">
      <c r="B12" t="s">
        <v>25</v>
      </c>
      <c r="C12" t="s">
        <v>26</v>
      </c>
      <c r="L12">
        <f>1/0.0003197</f>
        <v>3127.9324366593678</v>
      </c>
      <c r="O12">
        <v>788.57</v>
      </c>
      <c r="P12">
        <v>834.1</v>
      </c>
      <c r="Q12">
        <v>1.3523000000000001</v>
      </c>
      <c r="S12">
        <v>794.6</v>
      </c>
      <c r="T12">
        <v>1250.4000000000001</v>
      </c>
      <c r="U12">
        <v>1.5733999999999999</v>
      </c>
    </row>
    <row r="13" spans="1:21" x14ac:dyDescent="0.25">
      <c r="B13" s="18">
        <v>32065</v>
      </c>
      <c r="C13">
        <v>25308</v>
      </c>
      <c r="D13" s="19"/>
      <c r="L13">
        <f>1/0.0003161</f>
        <v>3163.555836760519</v>
      </c>
      <c r="O13">
        <v>794.63</v>
      </c>
      <c r="P13">
        <v>1316.7</v>
      </c>
      <c r="Q13">
        <v>1.5076000000000001</v>
      </c>
      <c r="S13">
        <v>800.81</v>
      </c>
      <c r="T13">
        <v>1261.7</v>
      </c>
      <c r="U13">
        <v>1.9695</v>
      </c>
    </row>
    <row r="14" spans="1:21" x14ac:dyDescent="0.25">
      <c r="B14" s="18">
        <v>18012</v>
      </c>
      <c r="C14" s="10">
        <v>10630</v>
      </c>
      <c r="D14" s="19"/>
      <c r="O14">
        <v>800.8</v>
      </c>
      <c r="P14">
        <v>1271.4000000000001</v>
      </c>
      <c r="Q14">
        <v>1.9576</v>
      </c>
      <c r="S14">
        <v>811.34</v>
      </c>
      <c r="T14">
        <v>4244.3</v>
      </c>
      <c r="U14">
        <v>1.851</v>
      </c>
    </row>
    <row r="15" spans="1:21" x14ac:dyDescent="0.25">
      <c r="B15" s="18">
        <v>12654</v>
      </c>
      <c r="C15">
        <v>10205</v>
      </c>
      <c r="D15" s="19"/>
      <c r="K15" t="s">
        <v>26</v>
      </c>
      <c r="L15">
        <f>1/0.000184</f>
        <v>5434.782608695652</v>
      </c>
      <c r="O15">
        <v>811.32</v>
      </c>
      <c r="P15">
        <v>4380.3999999999996</v>
      </c>
      <c r="Q15">
        <v>1.8239000000000001</v>
      </c>
      <c r="S15" s="18">
        <v>823.02</v>
      </c>
      <c r="T15" s="18">
        <v>32065</v>
      </c>
      <c r="U15" s="18">
        <v>1.5268999999999999</v>
      </c>
    </row>
    <row r="16" spans="1:21" x14ac:dyDescent="0.25">
      <c r="B16" s="18">
        <v>7972.1</v>
      </c>
      <c r="C16">
        <v>6873</v>
      </c>
      <c r="D16" s="19"/>
      <c r="K16" t="s">
        <v>27</v>
      </c>
      <c r="L16">
        <f>1/0.0001274</f>
        <v>7849.2935635792774</v>
      </c>
      <c r="O16">
        <v>823.04</v>
      </c>
      <c r="P16">
        <v>32968</v>
      </c>
      <c r="Q16">
        <v>1.516</v>
      </c>
      <c r="S16" s="18">
        <v>827.77</v>
      </c>
      <c r="T16" s="18">
        <v>18012</v>
      </c>
      <c r="U16" s="18">
        <v>1.8199000000000001</v>
      </c>
    </row>
    <row r="17" spans="1:21" x14ac:dyDescent="0.25">
      <c r="B17" s="18">
        <v>30450</v>
      </c>
      <c r="C17">
        <v>23788</v>
      </c>
      <c r="D17" s="19"/>
      <c r="O17">
        <v>827.79</v>
      </c>
      <c r="P17">
        <v>18654</v>
      </c>
      <c r="Q17">
        <v>1.7846</v>
      </c>
      <c r="S17">
        <v>834.52</v>
      </c>
      <c r="T17">
        <v>5082.3</v>
      </c>
      <c r="U17">
        <v>1.6685000000000001</v>
      </c>
    </row>
    <row r="18" spans="1:21" x14ac:dyDescent="0.25">
      <c r="B18" s="18">
        <v>48102</v>
      </c>
      <c r="C18">
        <v>38844</v>
      </c>
      <c r="D18" s="19"/>
      <c r="O18">
        <v>834.53</v>
      </c>
      <c r="P18">
        <v>5221.8999999999996</v>
      </c>
      <c r="Q18">
        <v>1.6504000000000001</v>
      </c>
      <c r="S18">
        <v>840.84</v>
      </c>
      <c r="T18">
        <v>4424.1000000000004</v>
      </c>
      <c r="U18">
        <v>2.2029999999999998</v>
      </c>
    </row>
    <row r="19" spans="1:21" x14ac:dyDescent="0.25">
      <c r="B19" s="19"/>
      <c r="C19" s="19"/>
      <c r="D19" s="19"/>
      <c r="L19">
        <f>1/0.0001303</f>
        <v>7674.5970836531087</v>
      </c>
      <c r="O19">
        <v>840.84</v>
      </c>
      <c r="P19">
        <v>4443</v>
      </c>
      <c r="Q19">
        <v>2.1987000000000001</v>
      </c>
      <c r="S19" s="19">
        <v>851.99</v>
      </c>
      <c r="T19">
        <v>738.36</v>
      </c>
      <c r="U19">
        <v>1.6156999999999999</v>
      </c>
    </row>
    <row r="20" spans="1:21" x14ac:dyDescent="0.25">
      <c r="O20">
        <v>852.01</v>
      </c>
      <c r="P20">
        <v>767.36</v>
      </c>
      <c r="Q20">
        <v>1.579</v>
      </c>
      <c r="S20" s="18">
        <v>881.79</v>
      </c>
      <c r="T20" s="18">
        <v>12654</v>
      </c>
      <c r="U20" s="18">
        <v>1.7155</v>
      </c>
    </row>
    <row r="21" spans="1:21" x14ac:dyDescent="0.25">
      <c r="O21">
        <v>873.9</v>
      </c>
      <c r="P21">
        <v>555.23</v>
      </c>
      <c r="Q21">
        <v>1.9176</v>
      </c>
      <c r="S21" s="18">
        <v>895.09</v>
      </c>
      <c r="T21" s="18">
        <v>7972.1</v>
      </c>
      <c r="U21" s="18">
        <v>1.698</v>
      </c>
    </row>
    <row r="22" spans="1:21" x14ac:dyDescent="0.25">
      <c r="O22">
        <v>881.8</v>
      </c>
      <c r="P22">
        <v>12858</v>
      </c>
      <c r="Q22">
        <v>1.6395</v>
      </c>
      <c r="S22">
        <v>904.37</v>
      </c>
      <c r="T22">
        <v>3080.3</v>
      </c>
      <c r="U22">
        <v>1.7732000000000001</v>
      </c>
    </row>
    <row r="23" spans="1:21" x14ac:dyDescent="0.25">
      <c r="A23" t="s">
        <v>7</v>
      </c>
      <c r="J23" s="4"/>
      <c r="O23">
        <v>895.06</v>
      </c>
      <c r="P23">
        <v>8351.2999999999993</v>
      </c>
      <c r="Q23">
        <v>1.6240000000000001</v>
      </c>
      <c r="S23" s="18">
        <v>916.15</v>
      </c>
      <c r="T23" s="18">
        <v>30450</v>
      </c>
      <c r="U23" s="18">
        <v>1.6896</v>
      </c>
    </row>
    <row r="24" spans="1:21" x14ac:dyDescent="0.25">
      <c r="A24" t="s">
        <v>1</v>
      </c>
      <c r="B24" t="s">
        <v>2</v>
      </c>
      <c r="C24" s="1" t="s">
        <v>3</v>
      </c>
      <c r="D24" s="1"/>
      <c r="E24" t="s">
        <v>4</v>
      </c>
      <c r="F24" t="s">
        <v>5</v>
      </c>
      <c r="G24" t="s">
        <v>6</v>
      </c>
      <c r="J24" s="4"/>
      <c r="O24">
        <v>904.39</v>
      </c>
      <c r="P24">
        <v>3200.5</v>
      </c>
      <c r="Q24">
        <v>1.7136</v>
      </c>
      <c r="S24">
        <v>951.34</v>
      </c>
      <c r="T24">
        <v>1251.4000000000001</v>
      </c>
      <c r="U24" t="s">
        <v>21</v>
      </c>
    </row>
    <row r="25" spans="1:21" x14ac:dyDescent="0.25">
      <c r="A25">
        <v>422.9</v>
      </c>
      <c r="B25">
        <v>2100</v>
      </c>
      <c r="C25" s="3">
        <v>13100000</v>
      </c>
      <c r="D25" s="6">
        <v>158730.29949999999</v>
      </c>
      <c r="E25" s="8">
        <f>$B$43*$B$44*D25*100</f>
        <v>19.68004894617302</v>
      </c>
      <c r="F25">
        <f>5/2</f>
        <v>2.5</v>
      </c>
      <c r="G25">
        <f>2*F25+1</f>
        <v>6</v>
      </c>
      <c r="J25" s="4"/>
      <c r="L25" t="e">
        <f>reg</f>
        <v>#NAME?</v>
      </c>
      <c r="O25">
        <v>916.16</v>
      </c>
      <c r="P25">
        <v>30151</v>
      </c>
      <c r="Q25">
        <v>1.6553</v>
      </c>
      <c r="S25">
        <v>967.06</v>
      </c>
      <c r="T25">
        <v>1517.9</v>
      </c>
      <c r="U25" t="s">
        <v>21</v>
      </c>
    </row>
    <row r="26" spans="1:21" x14ac:dyDescent="0.25">
      <c r="A26">
        <v>474.6</v>
      </c>
      <c r="B26">
        <v>5882.1</v>
      </c>
      <c r="C26" s="3">
        <v>360000</v>
      </c>
      <c r="D26" s="6">
        <v>125162.94</v>
      </c>
      <c r="E26" s="8">
        <f>$B$43*$B$44*D26*100</f>
        <v>15.518226785976152</v>
      </c>
      <c r="F26">
        <v>0</v>
      </c>
      <c r="G26">
        <f>2*F26+1</f>
        <v>1</v>
      </c>
      <c r="J26" s="4"/>
      <c r="O26">
        <v>951.2</v>
      </c>
      <c r="P26">
        <v>484.93</v>
      </c>
      <c r="Q26">
        <v>1.6890000000000001</v>
      </c>
      <c r="S26" s="18">
        <v>979.82</v>
      </c>
      <c r="T26" s="18">
        <v>48102</v>
      </c>
      <c r="U26" s="18">
        <v>2.0655999999999999</v>
      </c>
    </row>
    <row r="27" spans="1:21" x14ac:dyDescent="0.25">
      <c r="A27">
        <v>539.70000000000005</v>
      </c>
      <c r="B27">
        <v>2410.6999999999998</v>
      </c>
      <c r="C27" t="s">
        <v>8</v>
      </c>
      <c r="E27" s="8"/>
      <c r="J27" s="4"/>
      <c r="O27">
        <v>965.64</v>
      </c>
      <c r="P27">
        <v>843.58</v>
      </c>
      <c r="Q27" t="s">
        <v>21</v>
      </c>
      <c r="S27">
        <v>992.02</v>
      </c>
      <c r="T27">
        <v>3095.8</v>
      </c>
      <c r="U27">
        <v>2.7155999999999998</v>
      </c>
    </row>
    <row r="28" spans="1:21" x14ac:dyDescent="0.25">
      <c r="A28">
        <v>320.2</v>
      </c>
      <c r="B28">
        <v>6027.2</v>
      </c>
      <c r="C28" s="3">
        <v>40000000</v>
      </c>
      <c r="D28" s="6">
        <v>190592.23060000001</v>
      </c>
      <c r="E28" s="8">
        <f>$B$43*$B$44*D28*100</f>
        <v>23.630424933257913</v>
      </c>
      <c r="F28">
        <f>3/2</f>
        <v>1.5</v>
      </c>
      <c r="G28">
        <f>2*F28+1</f>
        <v>4</v>
      </c>
      <c r="J28" s="4"/>
      <c r="O28">
        <v>979.81</v>
      </c>
      <c r="P28">
        <v>48164</v>
      </c>
      <c r="Q28">
        <v>2.0173000000000001</v>
      </c>
    </row>
    <row r="29" spans="1:21" x14ac:dyDescent="0.25">
      <c r="O29">
        <v>992.05</v>
      </c>
      <c r="P29">
        <v>2779.4</v>
      </c>
      <c r="Q29">
        <v>2.4260999999999999</v>
      </c>
    </row>
    <row r="30" spans="1:21" x14ac:dyDescent="0.25">
      <c r="K30" t="s">
        <v>15</v>
      </c>
    </row>
    <row r="31" spans="1:21" x14ac:dyDescent="0.25">
      <c r="A31" s="15">
        <v>696.54309999999998</v>
      </c>
      <c r="B31" s="15">
        <v>2508.5</v>
      </c>
      <c r="C31" s="3">
        <v>6400000</v>
      </c>
      <c r="D31" s="6">
        <v>107496.4166</v>
      </c>
      <c r="E31" s="8">
        <f>$B$43*$B$44*D31*100</f>
        <v>13.327857043615079</v>
      </c>
      <c r="F31">
        <v>1</v>
      </c>
      <c r="G31">
        <f>2*F31+1</f>
        <v>3</v>
      </c>
      <c r="I31">
        <f t="shared" ref="I31:I37" si="5">LOG(A31*0.000000001*B31/C31/G31, EXP(1))</f>
        <v>-23.120116757882059</v>
      </c>
      <c r="J31" s="4">
        <f t="shared" ref="J31:J37" si="6">E31/$B$45</f>
        <v>154663.35858666574</v>
      </c>
      <c r="K31">
        <f>LOG(A31*0.000000001*B31/C31/G31, EXP(1))</f>
        <v>-23.120116757882059</v>
      </c>
      <c r="L31" s="14">
        <v>10000</v>
      </c>
      <c r="M31" s="3">
        <f t="shared" ref="M31:M37" si="7">C31*G31/10000</f>
        <v>1920</v>
      </c>
    </row>
    <row r="32" spans="1:21" x14ac:dyDescent="0.25">
      <c r="A32" s="17">
        <v>751.46519999999998</v>
      </c>
      <c r="B32" s="15">
        <v>4703</v>
      </c>
      <c r="C32" s="3">
        <v>40200000</v>
      </c>
      <c r="E32" s="1">
        <v>13.273037990000001</v>
      </c>
      <c r="F32">
        <v>0</v>
      </c>
      <c r="G32">
        <f t="shared" ref="G32:G37" si="8">2*F32+1</f>
        <v>1</v>
      </c>
      <c r="I32">
        <f t="shared" si="5"/>
        <v>-23.154662607855034</v>
      </c>
      <c r="J32" s="4">
        <f t="shared" si="6"/>
        <v>154027.20988557261</v>
      </c>
      <c r="K32">
        <f t="shared" ref="K32:K37" si="9">LOG(A32*0.000000001*B32/C32/G32, EXP(1))</f>
        <v>-23.154662607855034</v>
      </c>
      <c r="L32" s="14">
        <v>15000</v>
      </c>
      <c r="M32" s="3">
        <f t="shared" si="7"/>
        <v>4020</v>
      </c>
    </row>
    <row r="33" spans="1:28" x14ac:dyDescent="0.25">
      <c r="A33" s="22">
        <v>763.51059999999995</v>
      </c>
      <c r="B33" s="15">
        <v>8075.1</v>
      </c>
      <c r="C33" s="3">
        <v>24500000</v>
      </c>
      <c r="D33" s="6">
        <v>106237.5518</v>
      </c>
      <c r="E33" s="8">
        <f>$B$43*$B$44*D33*100</f>
        <v>13.171777700486176</v>
      </c>
      <c r="F33">
        <v>2</v>
      </c>
      <c r="G33">
        <f t="shared" si="8"/>
        <v>5</v>
      </c>
      <c r="I33">
        <f t="shared" si="5"/>
        <v>-23.712419884986481</v>
      </c>
      <c r="J33" s="4">
        <f t="shared" si="6"/>
        <v>152852.13302089623</v>
      </c>
      <c r="K33">
        <f t="shared" si="9"/>
        <v>-23.712419884986481</v>
      </c>
      <c r="L33" s="14">
        <v>25000</v>
      </c>
      <c r="M33" s="3">
        <f t="shared" si="7"/>
        <v>12250</v>
      </c>
    </row>
    <row r="34" spans="1:28" x14ac:dyDescent="0.25">
      <c r="A34" s="16">
        <v>772.37609999999995</v>
      </c>
      <c r="B34" s="16">
        <v>4080.7</v>
      </c>
      <c r="C34" s="3">
        <v>5200000</v>
      </c>
      <c r="E34" s="1">
        <v>13.327</v>
      </c>
      <c r="F34">
        <v>1</v>
      </c>
      <c r="G34">
        <f t="shared" si="8"/>
        <v>3</v>
      </c>
      <c r="I34">
        <f t="shared" si="5"/>
        <v>-22.322551880297933</v>
      </c>
      <c r="J34" s="4">
        <f t="shared" si="6"/>
        <v>154653.41300850341</v>
      </c>
      <c r="K34">
        <f t="shared" si="9"/>
        <v>-22.322551880297933</v>
      </c>
      <c r="L34" s="10">
        <v>15000</v>
      </c>
      <c r="M34" s="3">
        <f t="shared" si="7"/>
        <v>1560</v>
      </c>
    </row>
    <row r="35" spans="1:28" x14ac:dyDescent="0.25">
      <c r="A35" s="15">
        <v>811.53110000000004</v>
      </c>
      <c r="B35" s="15">
        <v>4244.3</v>
      </c>
      <c r="C35" s="3">
        <v>25000000</v>
      </c>
      <c r="D35" s="6"/>
      <c r="E35" s="1">
        <v>13.1531</v>
      </c>
      <c r="F35">
        <v>1</v>
      </c>
      <c r="G35">
        <f t="shared" si="8"/>
        <v>3</v>
      </c>
      <c r="I35">
        <f t="shared" si="5"/>
        <v>-23.804009612869756</v>
      </c>
      <c r="J35" s="4">
        <f t="shared" si="6"/>
        <v>152635.38730713187</v>
      </c>
      <c r="K35">
        <f t="shared" si="9"/>
        <v>-23.804009612869756</v>
      </c>
      <c r="L35" s="14">
        <v>20000</v>
      </c>
      <c r="M35" s="3">
        <f t="shared" si="7"/>
        <v>7500</v>
      </c>
    </row>
    <row r="36" spans="1:28" x14ac:dyDescent="0.25">
      <c r="A36" s="15">
        <v>840.82100000000003</v>
      </c>
      <c r="B36" s="15">
        <v>4424.1000000000004</v>
      </c>
      <c r="C36" s="3">
        <v>22300000</v>
      </c>
      <c r="D36" s="6">
        <v>107289.7001</v>
      </c>
      <c r="E36" s="8">
        <f>$B$43*$B$44*D36*100</f>
        <v>13.302227464065389</v>
      </c>
      <c r="F36">
        <v>2</v>
      </c>
      <c r="G36">
        <f t="shared" si="8"/>
        <v>5</v>
      </c>
      <c r="I36">
        <f t="shared" si="5"/>
        <v>-24.123600043421881</v>
      </c>
      <c r="J36" s="4">
        <f t="shared" si="6"/>
        <v>154365.93966632863</v>
      </c>
      <c r="K36">
        <f t="shared" si="9"/>
        <v>-24.123600043421881</v>
      </c>
      <c r="L36" s="14">
        <v>15000</v>
      </c>
      <c r="M36" s="3">
        <f t="shared" si="7"/>
        <v>11150</v>
      </c>
    </row>
    <row r="37" spans="1:28" x14ac:dyDescent="0.25">
      <c r="A37" s="15">
        <v>794.81759999999997</v>
      </c>
      <c r="B37" s="15">
        <v>1250.4000000000001</v>
      </c>
      <c r="C37" s="3">
        <v>18600000</v>
      </c>
      <c r="D37" s="13">
        <v>107131.7086</v>
      </c>
      <c r="E37" s="8">
        <f>$B$43*$B$44*D37*100</f>
        <v>13.282639014583006</v>
      </c>
      <c r="F37">
        <v>1</v>
      </c>
      <c r="G37">
        <f t="shared" si="8"/>
        <v>3</v>
      </c>
      <c r="I37">
        <f t="shared" si="5"/>
        <v>-24.751218830822612</v>
      </c>
      <c r="J37" s="4">
        <f t="shared" si="6"/>
        <v>154138.62514933341</v>
      </c>
      <c r="K37">
        <f t="shared" si="9"/>
        <v>-24.751218830822612</v>
      </c>
      <c r="L37" s="14">
        <v>20000</v>
      </c>
      <c r="M37" s="3">
        <f t="shared" si="7"/>
        <v>5580</v>
      </c>
      <c r="Q37" t="s">
        <v>28</v>
      </c>
    </row>
    <row r="38" spans="1:28" x14ac:dyDescent="0.25">
      <c r="Q38">
        <f>1/0.00028</f>
        <v>3571.4285714285716</v>
      </c>
    </row>
    <row r="39" spans="1:28" ht="18.75" x14ac:dyDescent="0.25">
      <c r="A39" s="11"/>
      <c r="C39" s="12"/>
    </row>
    <row r="40" spans="1:28" x14ac:dyDescent="0.25">
      <c r="Y40" t="s">
        <v>32</v>
      </c>
      <c r="Z40">
        <f>W45/AB45</f>
        <v>8.1058239669280994</v>
      </c>
    </row>
    <row r="41" spans="1:28" x14ac:dyDescent="0.25">
      <c r="E41" s="8"/>
    </row>
    <row r="43" spans="1:28" x14ac:dyDescent="0.25">
      <c r="A43" t="s">
        <v>9</v>
      </c>
      <c r="B43" s="5">
        <v>4.1356676960000003E-15</v>
      </c>
    </row>
    <row r="44" spans="1:28" x14ac:dyDescent="0.25">
      <c r="A44" t="s">
        <v>10</v>
      </c>
      <c r="B44" s="2">
        <v>299792458</v>
      </c>
      <c r="T44" t="s">
        <v>0</v>
      </c>
      <c r="U44" t="s">
        <v>30</v>
      </c>
      <c r="V44" t="s">
        <v>29</v>
      </c>
      <c r="W44" t="s">
        <v>31</v>
      </c>
      <c r="Y44" t="s">
        <v>7</v>
      </c>
      <c r="Z44" t="s">
        <v>30</v>
      </c>
      <c r="AA44" t="s">
        <v>29</v>
      </c>
      <c r="AB44" t="s">
        <v>31</v>
      </c>
    </row>
    <row r="45" spans="1:28" x14ac:dyDescent="0.25">
      <c r="A45" t="s">
        <v>14</v>
      </c>
      <c r="B45" s="4">
        <v>8.6173332620000001E-5</v>
      </c>
      <c r="U45" s="3">
        <f>C9*G9/A9</f>
        <v>95213.797326257787</v>
      </c>
      <c r="V45">
        <f>B9</f>
        <v>38844</v>
      </c>
      <c r="W45" s="10">
        <f>V45/U45</f>
        <v>0.40796608360128617</v>
      </c>
      <c r="Z45" s="3">
        <f>C33*G33/A33</f>
        <v>160443.09011557928</v>
      </c>
      <c r="AA45">
        <f>B33</f>
        <v>8075.1</v>
      </c>
      <c r="AB45" s="10">
        <f>AA45/Z45</f>
        <v>5.0329995478040818E-2</v>
      </c>
    </row>
    <row r="46" spans="1:28" x14ac:dyDescent="0.25">
      <c r="L46">
        <f>1/0.0000157</f>
        <v>63694.267515923573</v>
      </c>
      <c r="W46" s="10"/>
    </row>
    <row r="47" spans="1:28" x14ac:dyDescent="0.25">
      <c r="U47" s="3">
        <f>C4*G4/A4</f>
        <v>173733.44672579272</v>
      </c>
      <c r="V47">
        <f>B4</f>
        <v>25308</v>
      </c>
      <c r="W47" s="10">
        <f>V47/U47</f>
        <v>0.14567143216783218</v>
      </c>
      <c r="Z47" s="3">
        <f>C31*G31/A31</f>
        <v>27564.697719351465</v>
      </c>
      <c r="AA47">
        <f>B31</f>
        <v>2508.5</v>
      </c>
      <c r="AB47" s="10">
        <f>AA47/Z47</f>
        <v>9.1004081580729174E-2</v>
      </c>
    </row>
    <row r="48" spans="1:28" x14ac:dyDescent="0.25">
      <c r="U48" s="3">
        <f t="shared" ref="U48:U50" si="10">C5*G5/A5</f>
        <v>44565.217391304344</v>
      </c>
      <c r="V48">
        <f t="shared" ref="V48:V51" si="11">B5</f>
        <v>10630</v>
      </c>
      <c r="W48" s="10">
        <f t="shared" ref="W48:W51" si="12">V48/U48</f>
        <v>0.23852682926829269</v>
      </c>
      <c r="Z48" s="3">
        <f t="shared" ref="Z48:Z51" si="13">C32*G32/A32</f>
        <v>53495.491208375322</v>
      </c>
      <c r="AA48">
        <f t="shared" ref="AA48:AA51" si="14">B32</f>
        <v>4703</v>
      </c>
      <c r="AB48" s="10">
        <f t="shared" ref="AB48:AB51" si="15">AA48/Z48</f>
        <v>8.7913951134328344E-2</v>
      </c>
    </row>
    <row r="49" spans="21:28" x14ac:dyDescent="0.25">
      <c r="U49" s="3">
        <f t="shared" si="10"/>
        <v>238149.2401905194</v>
      </c>
      <c r="V49">
        <f t="shared" si="11"/>
        <v>10205</v>
      </c>
      <c r="W49" s="10">
        <f t="shared" si="12"/>
        <v>4.285128095238095E-2</v>
      </c>
      <c r="Z49" s="3">
        <f t="shared" si="13"/>
        <v>160443.09011557928</v>
      </c>
      <c r="AA49">
        <f t="shared" si="14"/>
        <v>8075.1</v>
      </c>
      <c r="AB49" s="10">
        <f t="shared" si="15"/>
        <v>5.0329995478040818E-2</v>
      </c>
    </row>
    <row r="50" spans="21:28" x14ac:dyDescent="0.25">
      <c r="U50" s="3">
        <f t="shared" si="10"/>
        <v>45241.286863270776</v>
      </c>
      <c r="V50">
        <f t="shared" si="11"/>
        <v>6873</v>
      </c>
      <c r="W50" s="10">
        <f t="shared" si="12"/>
        <v>0.15191875555555556</v>
      </c>
      <c r="Z50" s="3">
        <f t="shared" si="13"/>
        <v>20197.414187207502</v>
      </c>
      <c r="AA50">
        <f t="shared" si="14"/>
        <v>4080.7</v>
      </c>
      <c r="AB50" s="10">
        <f t="shared" si="15"/>
        <v>0.202040714825</v>
      </c>
    </row>
    <row r="51" spans="21:28" x14ac:dyDescent="0.25">
      <c r="U51" s="3">
        <f>C8*G8/A8</f>
        <v>78585.461689587421</v>
      </c>
      <c r="V51">
        <f t="shared" si="11"/>
        <v>23788</v>
      </c>
      <c r="W51" s="10">
        <f t="shared" si="12"/>
        <v>0.30270230000000004</v>
      </c>
      <c r="Z51" s="3">
        <f t="shared" si="13"/>
        <v>92417.899942466771</v>
      </c>
      <c r="AA51">
        <f t="shared" si="14"/>
        <v>4244.3</v>
      </c>
      <c r="AB51" s="10">
        <f t="shared" si="15"/>
        <v>4.592508596973334E-2</v>
      </c>
    </row>
    <row r="52" spans="21:28" x14ac:dyDescent="0.25">
      <c r="Z52" s="3">
        <f>C36*G36/A36</f>
        <v>132608.48622953042</v>
      </c>
      <c r="AA52">
        <f>B36</f>
        <v>4424.1000000000004</v>
      </c>
      <c r="AB52" s="10">
        <f>AA52/Z52</f>
        <v>3.3362118260986548E-2</v>
      </c>
    </row>
    <row r="53" spans="21:28" x14ac:dyDescent="0.25">
      <c r="Z53" s="3">
        <f>C37*G37/A37</f>
        <v>70204.786607644317</v>
      </c>
      <c r="AA53">
        <f t="shared" ref="AA53" si="16">B37</f>
        <v>1250.4000000000001</v>
      </c>
      <c r="AB53" s="10">
        <f t="shared" ref="AB53" si="17">AA53/Z53</f>
        <v>1.7810751380645164E-2</v>
      </c>
    </row>
    <row r="54" spans="21:28" x14ac:dyDescent="0.25">
      <c r="W54" s="10">
        <f>AVERAGE(W45:W51)</f>
        <v>0.21493944692422462</v>
      </c>
    </row>
    <row r="56" spans="21:28" x14ac:dyDescent="0.25">
      <c r="AB56" s="10">
        <f>AVERAGE(AB47:AB53)</f>
        <v>7.5483814089923329E-2</v>
      </c>
    </row>
    <row r="58" spans="21:28" x14ac:dyDescent="0.25">
      <c r="W58" s="10">
        <f>W54/AB56</f>
        <v>2.847490545034844</v>
      </c>
    </row>
  </sheetData>
  <sortState ref="A3:A9">
    <sortCondition ref="A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Soćko | Łukasiewicz – IMiF</dc:creator>
  <cp:lastModifiedBy>Kamil Soćko | Łukasiewicz – IMiF</cp:lastModifiedBy>
  <dcterms:created xsi:type="dcterms:W3CDTF">2024-08-02T11:23:05Z</dcterms:created>
  <dcterms:modified xsi:type="dcterms:W3CDTF">2024-08-14T14:14:38Z</dcterms:modified>
</cp:coreProperties>
</file>