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840"/>
  </bookViews>
  <sheets>
    <sheet name="总汇" sheetId="4" r:id="rId1"/>
    <sheet name="天猫" sheetId="1" r:id="rId2"/>
    <sheet name="京东" sheetId="2" r:id="rId3"/>
    <sheet name="企业" sheetId="3" r:id="rId4"/>
    <sheet name="阿里" sheetId="5" r:id="rId5"/>
    <sheet name="线下" sheetId="6" r:id="rId6"/>
  </sheets>
  <externalReferences>
    <externalReference r:id="rId7"/>
  </externalReferences>
  <definedNames>
    <definedName name="_xlnm._FilterDatabase" localSheetId="1" hidden="1">天猫!$A$5:$XDL$535</definedName>
    <definedName name="_xlnm._FilterDatabase" localSheetId="2" hidden="1">京东!$5:$86</definedName>
    <definedName name="_xlnm._FilterDatabase" localSheetId="3" hidden="1">企业!$A$5:$XDM$61</definedName>
    <definedName name="_xlnm._FilterDatabase" localSheetId="4" hidden="1">阿里!$A$5:$W$120</definedName>
  </definedNames>
  <calcPr calcId="144525"/>
</workbook>
</file>

<file path=xl/sharedStrings.xml><?xml version="1.0" encoding="utf-8"?>
<sst xmlns="http://schemas.openxmlformats.org/spreadsheetml/2006/main" count="8357" uniqueCount="4092">
  <si>
    <t>订单业绩汇总</t>
  </si>
  <si>
    <t>客服业绩汇总</t>
  </si>
  <si>
    <t>真实订单金额</t>
  </si>
  <si>
    <t>刷单订单金额</t>
  </si>
  <si>
    <t>小怡</t>
  </si>
  <si>
    <t>小杰</t>
  </si>
  <si>
    <t>天猫业绩
（点击查看明细）</t>
  </si>
  <si>
    <t>天猫业绩</t>
  </si>
  <si>
    <t>京东
（点击查看明细）</t>
  </si>
  <si>
    <t>京东业绩</t>
  </si>
  <si>
    <t>企业
（点击查看明细）</t>
  </si>
  <si>
    <t>企业业绩</t>
  </si>
  <si>
    <t>阿里
（点击查看明细）</t>
  </si>
  <si>
    <t>阿里业绩</t>
  </si>
  <si>
    <t>线下
（点击查看明细）</t>
  </si>
  <si>
    <t>线下业绩</t>
  </si>
  <si>
    <t>合计</t>
  </si>
  <si>
    <t>6月业绩统计</t>
  </si>
  <si>
    <t xml:space="preserve"> </t>
  </si>
  <si>
    <t>金额明细</t>
  </si>
  <si>
    <t>小怡订单</t>
  </si>
  <si>
    <t>小杰订单</t>
  </si>
  <si>
    <t>刷单</t>
  </si>
  <si>
    <t>其他/售后/配件</t>
  </si>
  <si>
    <t>小怡退款</t>
  </si>
  <si>
    <t>订单编号</t>
  </si>
  <si>
    <t>买家会员名</t>
  </si>
  <si>
    <t>买家实际支付金额</t>
  </si>
  <si>
    <t>订单状态</t>
  </si>
  <si>
    <t>收货人姓名</t>
  </si>
  <si>
    <t xml:space="preserve">收货地址 </t>
  </si>
  <si>
    <t>联系手机</t>
  </si>
  <si>
    <t>订单创建时间</t>
  </si>
  <si>
    <t xml:space="preserve">订单付款时间 </t>
  </si>
  <si>
    <t xml:space="preserve">宝贝标题 </t>
  </si>
  <si>
    <t xml:space="preserve">物流单号 </t>
  </si>
  <si>
    <t>物流公司</t>
  </si>
  <si>
    <t>订单备注</t>
  </si>
  <si>
    <t>宝贝总数量</t>
  </si>
  <si>
    <t>退款金额</t>
  </si>
  <si>
    <t>是否村淘订单</t>
  </si>
  <si>
    <t>确认收货时间</t>
  </si>
  <si>
    <t>未名雨</t>
  </si>
  <si>
    <t>卖家已发货，等待买家确认</t>
  </si>
  <si>
    <t>Yu Lei</t>
  </si>
  <si>
    <t>广东省 东莞市 null 清溪镇谢坑村委会金寓一街25号华鹏飞物流园赛诚仓澳洲海运@8B5QUB#NEZACHHC16HJ#(000000)</t>
  </si>
  <si>
    <t>'17727863045</t>
  </si>
  <si>
    <t>GAVEE 新品电脑椅家用现代简约人体工学办公椅护腰书房学生座椅子，GAVEE人体工学电脑椅办公椅专用防尘椅套</t>
  </si>
  <si>
    <t>No:9406033549</t>
  </si>
  <si>
    <t>德邦快递</t>
  </si>
  <si>
    <t>'Angela：GAV-6211  升级版 赠送专用的工学座套 检查好质量，按出口标准全检封箱</t>
  </si>
  <si>
    <t>否</t>
  </si>
  <si>
    <t>sanday418</t>
  </si>
  <si>
    <t>交易成功</t>
  </si>
  <si>
    <t>孟文杰</t>
  </si>
  <si>
    <t>山东省 济南市 历下区 大明湖街道泉城路180号威廉百货3楼3F-95号商铺(000000)</t>
  </si>
  <si>
    <t>'15662668978</t>
  </si>
  <si>
    <t>GAVEE护脊人体工学椅电脑椅家用老板书房办公椅护腰可躺座转网椅，GAVEE人体工学电脑椅办公椅专用防尘椅套，GAVEE人体工学电脑椅办公椅专用防脏头套</t>
  </si>
  <si>
    <t>No:9406034225</t>
  </si>
  <si>
    <t>kiss19921213</t>
  </si>
  <si>
    <t>赵腊腊</t>
  </si>
  <si>
    <t>浙江省 金华市 义乌市 北苑街道浙江省金华市义乌市北苑街道厚富小区5幢5单元402(000000)</t>
  </si>
  <si>
    <t>'18958192089</t>
  </si>
  <si>
    <t>GAVEE新品人体工学红色座椅护腰塑臀时尚电脑椅家用办公女主播椅，GAVEE 人体工程学电脑椅家用 老板椅升降座椅网布椅书房办公椅子，GAVEE人体工学电脑椅办公椅专用防尘椅套</t>
  </si>
  <si>
    <t>No:9406034226</t>
  </si>
  <si>
    <t>听海猫咪</t>
  </si>
  <si>
    <t>李媛</t>
  </si>
  <si>
    <t>云南省 玉溪市 通海县 秀山街道东湖路170号(652700)</t>
  </si>
  <si>
    <t>'13577085721</t>
  </si>
  <si>
    <t>GAVEE 人体工学椅 电脑椅家用转椅网椅 升降办公椅子 可躺老板椅</t>
  </si>
  <si>
    <t>No:9405809623</t>
  </si>
  <si>
    <t>唐阳唐阳</t>
  </si>
  <si>
    <t>唐阳</t>
  </si>
  <si>
    <t>四川省 遂宁市 船山区  富源路街道   富源新村16栋21号（建安小区斜对面）剪艺美发</t>
  </si>
  <si>
    <t>'13419369724</t>
  </si>
  <si>
    <t>GAVEE 人体工学椅电脑椅家用书房转椅护腰办公椅子老板座椅电竞椅，GAVEE人体工学电脑椅办公椅专用防尘椅套，GAVEE人体工学电脑椅办公椅专用防脏头套</t>
  </si>
  <si>
    <t>No:9405808763</t>
  </si>
  <si>
    <t>'Alan：Q6黑框龙纹白  赠送工学椅专用头套 + 座套    检查好质量</t>
  </si>
  <si>
    <t>谷王燕平</t>
  </si>
  <si>
    <t>梁欣怡</t>
  </si>
  <si>
    <t>贵州省 毕节市 大方县 猫场镇五丫村沙地组(000000)</t>
  </si>
  <si>
    <t>'15585708021</t>
  </si>
  <si>
    <t>No:9405809701</t>
  </si>
  <si>
    <t>'S</t>
  </si>
  <si>
    <t>rosesalted</t>
  </si>
  <si>
    <t>卢婉欣</t>
  </si>
  <si>
    <t>香港特别行政区 新界 屯门区 香港屯門鄉事會路83號瓏門2期8座31樓J室(000000)</t>
  </si>
  <si>
    <t>'59666260</t>
  </si>
  <si>
    <t>No:233222403938</t>
  </si>
  <si>
    <t>顺丰速运</t>
  </si>
  <si>
    <t>'Angela:G12V灰框咖啡色 赠送工学椅专用座套+头套 检查好质量</t>
  </si>
  <si>
    <t>12qqaa123</t>
  </si>
  <si>
    <t>周小雄</t>
  </si>
  <si>
    <t>上海 上海市 嘉定区 马陆镇合作路199弄金地世家(000000)</t>
  </si>
  <si>
    <t>'13023292323</t>
  </si>
  <si>
    <t>家维依综合服务费补拍专用链接（运费安装费）具体费用咨询客服</t>
  </si>
  <si>
    <t>No:9405488583</t>
  </si>
  <si>
    <t>'G12 轮子一套（五个）</t>
  </si>
  <si>
    <t>一帆风顺地梨儿</t>
  </si>
  <si>
    <t>谭小军</t>
  </si>
  <si>
    <t>四川省 德阳市 罗江区 万安镇阳光丽景D段1-6-1(618500)</t>
  </si>
  <si>
    <t>'13890222272</t>
  </si>
  <si>
    <t>No:9405480738</t>
  </si>
  <si>
    <t>'Anthea: GAV-G12V 黑框咖啡网 赠工学椅套*1  头枕套*1  检查好质量</t>
  </si>
  <si>
    <t>keke86999</t>
  </si>
  <si>
    <t>刘可</t>
  </si>
  <si>
    <t>湖北省 武汉市 江夏区 江夏区经济开发区庙山街道百步亭江南郡14栋1单元104(000000)</t>
  </si>
  <si>
    <t>'13638651860</t>
  </si>
  <si>
    <t>GAVEE人体工学电脑椅家用书房护腰办公椅学生网椅转椅简约电竞椅，GAVEE时尚椅子凳子 便捷家用餐椅休闲椅户外椅会议电脑椅子</t>
  </si>
  <si>
    <t>No:9405480959</t>
  </si>
  <si>
    <t>'Anthea: GAV-8216 黑框黑网带头枕  赠专属工学椅套*1 检查好质量</t>
  </si>
  <si>
    <t>幸福唯美旋律</t>
  </si>
  <si>
    <t>周美玲</t>
  </si>
  <si>
    <t>北京 北京市 顺义区 后沙峪镇后沙峪 观林阁8号楼4单元602(101300)</t>
  </si>
  <si>
    <t>'18600766564</t>
  </si>
  <si>
    <t>No:9405809660</t>
  </si>
  <si>
    <t>sam哥思密达</t>
  </si>
  <si>
    <t>梁仲威</t>
  </si>
  <si>
    <t>广东省 韶关市 浈江区 十里亭镇碧桂园云林水岸29街21号(512023)</t>
  </si>
  <si>
    <t>'13802817177</t>
  </si>
  <si>
    <t>No:9405480330</t>
  </si>
  <si>
    <t>'Anthea: GAV-G12V 黑框黑网  赠椅套*1 头枕套*1   检查好质量</t>
  </si>
  <si>
    <t>陆益宝宝</t>
  </si>
  <si>
    <t>陆益</t>
  </si>
  <si>
    <t>上海 上海市 静安区 彭浦镇沪太路1051弄51号604室(200072)</t>
  </si>
  <si>
    <t>'18621676795</t>
  </si>
  <si>
    <t>No:9405483588</t>
  </si>
  <si>
    <t>'Anthea: GAV-G12V 黑框黑网 赠椅套*1  头枕套*1  检查好质量</t>
  </si>
  <si>
    <t>kkkkkkka_l</t>
  </si>
  <si>
    <t>鍾家信</t>
  </si>
  <si>
    <t>广东省 东莞市 null 沙田镇第一产业物流园1号仓递四方A集运仓@SYSS9Q#GSJFW484TU3W#(518128)</t>
  </si>
  <si>
    <t>'075523238333</t>
  </si>
  <si>
    <t>No:9405483810</t>
  </si>
  <si>
    <t>'Anthea： GAV-G12V 黑框绿网 赠椅套*1  头枕套*1  检查好质量</t>
  </si>
  <si>
    <t>连蛮女</t>
  </si>
  <si>
    <t>连桂梅</t>
  </si>
  <si>
    <t>广东省 东莞市 null 虎门镇广东省东莞市虎门镇细卢一区一巷一号(000000)</t>
  </si>
  <si>
    <t>'15024169552</t>
  </si>
  <si>
    <t>No:9405480347</t>
  </si>
  <si>
    <t>朱凤琳66</t>
  </si>
  <si>
    <t>朱凤琳</t>
  </si>
  <si>
    <t>安徽省 合肥市 包河区 常青街道安徽合肥南屏路与三河路交叉口广福花园A区4栋2单元1508(000000)</t>
  </si>
  <si>
    <t>'18756024233</t>
  </si>
  <si>
    <t>No:9405337001</t>
  </si>
  <si>
    <t>段臭臭1012</t>
  </si>
  <si>
    <t>段丹丹</t>
  </si>
  <si>
    <t>福建省 莆田市 涵江区 白塘镇白塘公园凌云轩家居家具（两开间）(000000)</t>
  </si>
  <si>
    <t>'18059978991</t>
  </si>
  <si>
    <t>No:9405336911</t>
  </si>
  <si>
    <t>缘定今生2011218</t>
  </si>
  <si>
    <t>陈振庭</t>
  </si>
  <si>
    <t>广西壮族自治区 北海市 海城区 海角街道渔港路八哥摩托车电动车修理店 （峻瑛汽车修配厂正对面）(536000)</t>
  </si>
  <si>
    <t>'18877970218</t>
  </si>
  <si>
    <t>No:9405336955</t>
  </si>
  <si>
    <t>关小西hhy</t>
  </si>
  <si>
    <t>展扬</t>
  </si>
  <si>
    <t>山东省 青岛市 市北区 敦化路街道汉口路88号盛世豪庭三号楼二单元1403(266011)</t>
  </si>
  <si>
    <t>'13905325257</t>
  </si>
  <si>
    <t>GAVEE 高端人体工学电脑椅家用老板椅子 商务座椅网布护腰办公椅，GAVEE移动躺舒宝 透气网布升降脚踏 新一代时尚椅子脚凳放松脚托</t>
  </si>
  <si>
    <t>No:9405353492</t>
  </si>
  <si>
    <t>'Anthea： GAV-901  黑色花纹网  赠工学脚踏*1  检查好质量</t>
  </si>
  <si>
    <t>tb8459974_2012</t>
  </si>
  <si>
    <t>阿喜</t>
  </si>
  <si>
    <t>福建省 莆田市 仙游县 郊尾镇郊尾中心市场阿喜制衣坊(351200)</t>
  </si>
  <si>
    <t>'13358538236</t>
  </si>
  <si>
    <t>GAVEE 人体工学时尚电脑椅家用现代简约办公椅北欧升降转椅子靠背，GAVEE时尚椅子凳子 便捷家用餐椅休闲椅户外椅会议电脑椅子</t>
  </si>
  <si>
    <t>No:9404982714</t>
  </si>
  <si>
    <t>郑丽琴女士</t>
  </si>
  <si>
    <t>佩奇</t>
  </si>
  <si>
    <t>福建省 泉州市 晋江市 陈埭镇晋江大桥南岸怡景湾5号楼504(000000)</t>
  </si>
  <si>
    <t>'15715975933</t>
  </si>
  <si>
    <t>No:9404924670</t>
  </si>
  <si>
    <t>tangping810313</t>
  </si>
  <si>
    <t>许伟</t>
  </si>
  <si>
    <t>山东省 济南市 历下区 文东街道文化东路58号(250014)</t>
  </si>
  <si>
    <t>'13905318272</t>
  </si>
  <si>
    <t>No:9404924553</t>
  </si>
  <si>
    <t>'Anthea: GAV-Q6 黑框黑网  赠工学椅套*1   头枕套*1  检查好质量  3199元到手价</t>
  </si>
  <si>
    <t>ych20fiona</t>
  </si>
  <si>
    <t>文森</t>
  </si>
  <si>
    <t>安徽省 芜湖市 镜湖区 滨江公共服务中心中和路融汇中江广场东区4楼(241000)</t>
  </si>
  <si>
    <t>'15255313330</t>
  </si>
  <si>
    <t>No:9404876622</t>
  </si>
  <si>
    <t>jessicachan2273</t>
  </si>
  <si>
    <t>武岳嵩</t>
  </si>
  <si>
    <t>辽宁省 朝阳市 双塔区 龙山街道凌河庄园68-4号楼一单元401室(122000)</t>
  </si>
  <si>
    <t>'18242129977</t>
  </si>
  <si>
    <t>No:9404797830</t>
  </si>
  <si>
    <t>'Anthea: GAV-G12V 灰框灰网  工学椅套*1  头枕套*1 检查好质量</t>
  </si>
  <si>
    <t>nmgmsl</t>
  </si>
  <si>
    <t>穆守龙</t>
  </si>
  <si>
    <t>广东省 珠海市 金湾区 平沙镇振平西路36号大成中天影视传媒公司(000000)</t>
  </si>
  <si>
    <t>'13904710367</t>
  </si>
  <si>
    <t>No:9404742877</t>
  </si>
  <si>
    <t>'Angela：GAV-G12   黑框黑色  检查好质量  赠送座套和头套</t>
  </si>
  <si>
    <t>怡默儿</t>
  </si>
  <si>
    <t>张云香</t>
  </si>
  <si>
    <t>山东省 青岛市 黄岛区 滨海街道宅科村312号(000000)</t>
  </si>
  <si>
    <t>'15244253978</t>
  </si>
  <si>
    <t>No:9404744827</t>
  </si>
  <si>
    <t>瑛琦霜霜</t>
  </si>
  <si>
    <t>桑尔吉嘉</t>
  </si>
  <si>
    <t>云南省 昆明市 西山区 前卫街道希望路爱地花园8栋1单元601号(650100)</t>
  </si>
  <si>
    <t>'15198870400</t>
  </si>
  <si>
    <t>No:9404745153</t>
  </si>
  <si>
    <t>tb5505510_2012</t>
  </si>
  <si>
    <t>李海</t>
  </si>
  <si>
    <t>江苏省 南京市 鼓楼区 丁家桥32号2-2-1302室(000000)</t>
  </si>
  <si>
    <t>'13505199036</t>
  </si>
  <si>
    <t>GAVEE人体工学椅电脑椅家用 转椅老板椅护腰电竞椅游戏椅办公椅子，GAVEE人体工学电脑椅办公椅专用防尘椅套</t>
  </si>
  <si>
    <t>No:9404742985</t>
  </si>
  <si>
    <t>'Angela：GAV-X2  豪华版黑色  检查好质量  赠送专业座套</t>
  </si>
  <si>
    <t>ninth琳</t>
  </si>
  <si>
    <t>徐林</t>
  </si>
  <si>
    <t>黑龙江省 哈尔滨市 道里区 爱建街道中兴家园6号楼2单元1102(150010)</t>
  </si>
  <si>
    <t>'15104503504</t>
  </si>
  <si>
    <t>No:9404475887</t>
  </si>
  <si>
    <t>ljwbobys</t>
  </si>
  <si>
    <t>李嘉伟</t>
  </si>
  <si>
    <t>浙江省 杭州市 余杭区  南苑街道   星河南路东海水景城和苑7幢二单元1402</t>
  </si>
  <si>
    <t>'15382378711</t>
  </si>
  <si>
    <t>No:9404475532</t>
  </si>
  <si>
    <t>'Anthea： GAV-G12V  黑框蓝网  赠工学椅套*1  头枕套*1   检查好质量</t>
  </si>
  <si>
    <t>tb1301482774</t>
  </si>
  <si>
    <t>勞薦之</t>
  </si>
  <si>
    <t>浙江省 温州市 鹿城区 五马街道東方大廈2108室(000000)</t>
  </si>
  <si>
    <t>'15088583046</t>
  </si>
  <si>
    <t>GAVEE新品人体工学红色座椅护腰塑臀时尚电脑椅家用办公女主播椅，GAVEE人体工学电脑椅办公椅专用防尘椅套</t>
  </si>
  <si>
    <t>No:9404388862</t>
  </si>
  <si>
    <t>'Angela：GAV-F01H  红色  检查好质量  赠送座套</t>
  </si>
  <si>
    <t>张家口北京许</t>
  </si>
  <si>
    <t>姚玉珍</t>
  </si>
  <si>
    <t>山西省 太原市 小店区 北营街道山西省太原市小店区龙堡街鑫福华园2号楼1单元1804室(030006)</t>
  </si>
  <si>
    <t>'13833375361</t>
  </si>
  <si>
    <t>GAVEE弓形电脑椅子办公椅家用职员人体工学椅学习休闲会议椅，GAVEE人体工学电脑椅办公椅专用防尘椅套</t>
  </si>
  <si>
    <t>No:9404388964</t>
  </si>
  <si>
    <t xml:space="preserve">'Angela：GAV-T11DE   黑色 赠送座套  检查好质量   开票：上海交通大学 </t>
  </si>
  <si>
    <t>帅帅滴00</t>
  </si>
  <si>
    <t>吴帅</t>
  </si>
  <si>
    <t>北京 北京市 朝阳区 高碑店镇高碑店新村二区22号楼12号房屋(000000)</t>
  </si>
  <si>
    <t>'13691297497</t>
  </si>
  <si>
    <t>GAVEE护脊人体工学椅电脑椅家用老板书房办公椅护腰可躺座转网椅，GAVEE护脊人体工学椅电脑椅家用老板书房办公椅护腰可躺座转网椅，GAVEE人体工学电脑椅办公椅专用防尘椅套，GAVEE人体工学电脑椅办公椅专用防脏头套</t>
  </si>
  <si>
    <t>No:9404389489</t>
  </si>
  <si>
    <t>'Angela：GAV-G12黑框灰色*2   GAV-G12黑框黑色*1  检查好质量  赠送专用座套*2+头套*2</t>
  </si>
  <si>
    <t>篮域35</t>
  </si>
  <si>
    <t>杨魏蔚</t>
  </si>
  <si>
    <t>湖南省 怀化市 鹤城区 城中街道舞水路电业局家属区(418000)</t>
  </si>
  <si>
    <t>'13387458721</t>
  </si>
  <si>
    <t>GAVEE可躺电脑椅家用午休办公椅人体工学椅网椅书房休闲老板座椅，GAVEE移动躺舒宝 透气网布升降脚踏 新一代时尚椅子脚凳放松脚托</t>
  </si>
  <si>
    <t>No:9404389865</t>
  </si>
  <si>
    <t>'Angela：GAV-521  黑色铝合金脚*2  检查好质量，赠送脚踏*2</t>
  </si>
  <si>
    <t>sumiaoyoucai</t>
  </si>
  <si>
    <t>王萌</t>
  </si>
  <si>
    <t>江苏省 徐州市 鼓楼区 金山桥街道金山桥经济开发区城置国际花园城三期15号楼1单元802室(000000)</t>
  </si>
  <si>
    <t>'18112008216</t>
  </si>
  <si>
    <t>No:9404389839</t>
  </si>
  <si>
    <t>达达达达文西99</t>
  </si>
  <si>
    <t>吕望</t>
  </si>
  <si>
    <t>陕西省 西安市 雁塔区 曲江街道曲江新区雁翔路99号康桥边的院子(000000)</t>
  </si>
  <si>
    <t>'13259849515</t>
  </si>
  <si>
    <t>No:9404331243</t>
  </si>
  <si>
    <t>'Angela：GAV-G12  黑框黑色  检查好质量  赠送专用的座套和头套</t>
  </si>
  <si>
    <t>katie_chou</t>
  </si>
  <si>
    <t>李玮</t>
  </si>
  <si>
    <t>甘肃省 金昌市 金川区 桂林路街道天瑞花园11栋一口(737103)</t>
  </si>
  <si>
    <t>'13830579992</t>
  </si>
  <si>
    <t>No:9404332069</t>
  </si>
  <si>
    <t>'Angela：GAV-G12  黑框黑色  赠送专用的座套和头枕套，检查好质量，收货后退优惠：50元（额外给到的）</t>
  </si>
  <si>
    <t>lh灰姑娘54</t>
  </si>
  <si>
    <t>李慧</t>
  </si>
  <si>
    <t>山东省 济南市 长清区 归德镇山东省济南市长清区孝里镇菜鸟驿站(000000)</t>
  </si>
  <si>
    <t>'17608056160</t>
  </si>
  <si>
    <t>No:9404389744</t>
  </si>
  <si>
    <t>gaoneng2z</t>
  </si>
  <si>
    <t>周先生</t>
  </si>
  <si>
    <t>广东省 惠州市 惠阳区    淡水街道承修三路富丽达花园4栋803</t>
  </si>
  <si>
    <t>'13424302933</t>
  </si>
  <si>
    <t>GAVEE 人体工学椅电脑椅 办公椅家用座椅升降椅 简约老板椅电竞椅，GAVEE人体工学电脑椅办公椅专用防尘椅套</t>
  </si>
  <si>
    <t>No:9404333274</t>
  </si>
  <si>
    <t>'Angela：GAV-T05H  黑框蓝背黑坐   检查好质量   赠送座套</t>
  </si>
  <si>
    <t>zzzlll0415</t>
  </si>
  <si>
    <t>周龙</t>
  </si>
  <si>
    <t>湖北省 武汉市 江岸区 花桥街街道花桥街办事处 发展大道405号华电大厦1207(430014)</t>
  </si>
  <si>
    <t>'13720278500</t>
  </si>
  <si>
    <t>No:9403943462</t>
  </si>
  <si>
    <t>'Anthea： GAV-X2  升级版绿色*2  赠工学椅套*2  检查好质量  到手价1300元</t>
  </si>
  <si>
    <t>baby思淇</t>
  </si>
  <si>
    <t>刘利芳</t>
  </si>
  <si>
    <t>内蒙古自治区 呼和浩特市 赛罕区 金桥经济技术开发区金龙路1号怡和家园(000000)</t>
  </si>
  <si>
    <t>'13947108066</t>
  </si>
  <si>
    <t>No:9403943127</t>
  </si>
  <si>
    <t>wlqawlq1314bubian</t>
  </si>
  <si>
    <t>翁羚淇</t>
  </si>
  <si>
    <t>广东省 广州市 天河区 车陂街道东圃一横路东泷商贸城H座10/11(510510)</t>
  </si>
  <si>
    <t>'18665079922</t>
  </si>
  <si>
    <t>No:9403831253</t>
  </si>
  <si>
    <t>'Angela: GAV-801 升级版黑色  检查好质量</t>
  </si>
  <si>
    <t>豪清斌</t>
  </si>
  <si>
    <t>梁花花</t>
  </si>
  <si>
    <t>广东省 深圳市 宝安区 石岩街道华丰圳宝2栋2楼(000000)</t>
  </si>
  <si>
    <t>'16675535605</t>
  </si>
  <si>
    <t>No:9403914215</t>
  </si>
  <si>
    <t>luaitfankey</t>
  </si>
  <si>
    <t>吕田伟</t>
  </si>
  <si>
    <t>河北省 保定市 徐水区 安肃镇城内大街86号徐水广电公司(072550)</t>
  </si>
  <si>
    <t>'15630831203</t>
  </si>
  <si>
    <t>No:9403831238</t>
  </si>
  <si>
    <t>tb_1637951</t>
  </si>
  <si>
    <t>朴方媛</t>
  </si>
  <si>
    <t>河北省 承德市 承德县 上谷乡良杖子村二组72号(000000)</t>
  </si>
  <si>
    <t>'18701637951</t>
  </si>
  <si>
    <t>No:9403810267</t>
  </si>
  <si>
    <t>cqruby</t>
  </si>
  <si>
    <t>陈钦</t>
  </si>
  <si>
    <t>北京 北京市 朝阳区 望京街道南湖西园南路北京香颂235号楼302(100011)</t>
  </si>
  <si>
    <t>'13810681534</t>
  </si>
  <si>
    <t>No:9403809636</t>
  </si>
  <si>
    <t>'Angela：GAV-502   灰色网  赠送脚踏  检查好质量</t>
  </si>
  <si>
    <t>ff313543451</t>
  </si>
  <si>
    <t>罗晓方</t>
  </si>
  <si>
    <t>云南省 昆明市 盘龙区 青云街道白龙路白龙寺儿童福利院342号(000000)</t>
  </si>
  <si>
    <t>'13354990876</t>
  </si>
  <si>
    <t>No:9403810410</t>
  </si>
  <si>
    <t>王嘉伟1971</t>
  </si>
  <si>
    <t>王嘉伟</t>
  </si>
  <si>
    <t>北京 北京市 大兴区     中关村国家自主创新示范区大兴生物医药产业基地天贵街1号北京元六鸿远电子科技股份有限公司</t>
  </si>
  <si>
    <t>'13901098870</t>
  </si>
  <si>
    <t>No:9403810052</t>
  </si>
  <si>
    <t>'Alan：GAV-G12   黑框蓝色  检查好质量，赠送专用座套和头套，收货后退差价，给到到手价1763</t>
  </si>
  <si>
    <t>jessonwell</t>
  </si>
  <si>
    <t>唐冬</t>
  </si>
  <si>
    <t>广东省 深圳市 宝安区 福永街道下十围西街46号503(000000)</t>
  </si>
  <si>
    <t>'15850797532</t>
  </si>
  <si>
    <t>No:9403810214</t>
  </si>
  <si>
    <t>'Angela：GAV-G12  黑框黑色  赠送专用座套和头套  检查好质量</t>
  </si>
  <si>
    <t>合杰稀饭</t>
  </si>
  <si>
    <t>万亮</t>
  </si>
  <si>
    <t>广东省 珠海市 斗门区 乾务镇珠港大道三村工业区广东坚士制锁有限公司(519000)</t>
  </si>
  <si>
    <t>'18665987120</t>
  </si>
  <si>
    <t>No:9403440728</t>
  </si>
  <si>
    <t>'Anthea: GAV-Q6 黑框黑网 赠工学椅套*1  头枕套*1  检查好质量</t>
  </si>
  <si>
    <t>是</t>
  </si>
  <si>
    <t>潘泽华linking</t>
  </si>
  <si>
    <t>潘泽华</t>
  </si>
  <si>
    <t>山东省 淄博市 桓台县 索镇街道顺和家园小区三号楼1单元101(256400)</t>
  </si>
  <si>
    <t>'18500688798</t>
  </si>
  <si>
    <t>No:9403439008</t>
  </si>
  <si>
    <t>'Anthea: GAV-802  黑框蓝色 检查好质量</t>
  </si>
  <si>
    <t>菲儿2577</t>
  </si>
  <si>
    <t>许伟飞</t>
  </si>
  <si>
    <t>浙江省 湖州市 长兴县 雉城街道新丰小区(忻湖路) 忻湖路新丰小区5幢2单元301室(313100)</t>
  </si>
  <si>
    <t>'18705822577</t>
  </si>
  <si>
    <t>No:9403437238</t>
  </si>
  <si>
    <t>op_money</t>
  </si>
  <si>
    <t>钱政东</t>
  </si>
  <si>
    <t>上海 上海市 浦东新区 北蔡镇御河企业公馆五星路676弄22号楼(200540)</t>
  </si>
  <si>
    <t>'18621806060</t>
  </si>
  <si>
    <t>No:9403437483</t>
  </si>
  <si>
    <t>'Anthea: GAV-801 黑框蓝色 检查好质量 开票： 上海善行文化发展有限公司</t>
  </si>
  <si>
    <t>我喜欢购物81829</t>
  </si>
  <si>
    <t>李宁</t>
  </si>
  <si>
    <t>陕西省 榆林市 榆阳区 航宇路街道高新产业园区建业大道莱德大厦（榆林神华能源有限公司信息中心）(719000)</t>
  </si>
  <si>
    <t>'17709127377</t>
  </si>
  <si>
    <t>No:9403437702</t>
  </si>
  <si>
    <t>'Anthea： GAV- F03H  赠创意椅*1 检查好质量</t>
  </si>
  <si>
    <t>lancehua</t>
  </si>
  <si>
    <t>华孟</t>
  </si>
  <si>
    <t>浙江省 杭州市 滨江区 长河街道滨安路650号IX-work大厦B座905室(000000)</t>
  </si>
  <si>
    <t>'18605742195</t>
  </si>
  <si>
    <t>No:9403437706</t>
  </si>
  <si>
    <t>'Anthea： GAV-G12V 黑框黑网  赠工学椅套*1  头枕套*1 检查好质量</t>
  </si>
  <si>
    <t>1987528丫头</t>
  </si>
  <si>
    <t>李佳慧</t>
  </si>
  <si>
    <t>山东省 青岛市 胶州市 李哥庄镇天元发制工艺品有限公司(000000)</t>
  </si>
  <si>
    <t>'15963213928</t>
  </si>
  <si>
    <t>GAVEE工学精灵电脑椅家用北欧休闲椅现代简约设计师椅时尚办公椅</t>
  </si>
  <si>
    <t>No:9403437281</t>
  </si>
  <si>
    <t>yhz6233331</t>
  </si>
  <si>
    <t>岳焕智</t>
  </si>
  <si>
    <t>四川省 泸州市 叙永县    香颂湾14栋一单元302</t>
  </si>
  <si>
    <t>'18683096668</t>
  </si>
  <si>
    <t>GAVEE高端人体工学电脑椅新款大班真皮办公家用护腰老板转座椅靠，GAVEE移动躺舒宝 透气网布升降脚踏 新一代时尚椅子脚凳放松脚托</t>
  </si>
  <si>
    <t>No:9403362965</t>
  </si>
  <si>
    <t>'Angela：GAV-GT   灰白框黑色网  检查好质量   赠送脚踏</t>
  </si>
  <si>
    <t>t_1495721021117_035</t>
  </si>
  <si>
    <t>谭术芳</t>
  </si>
  <si>
    <t>浙江省 温州市 文成县 大峃镇龙川街166号对面巷子(325300)</t>
  </si>
  <si>
    <t>'15867781759</t>
  </si>
  <si>
    <t>No:9403302964</t>
  </si>
  <si>
    <t>傲冉2601</t>
  </si>
  <si>
    <t>张正涛</t>
  </si>
  <si>
    <t>广东省 深圳市 福田区 南园街道华强南路赛格苑5栋1单元402(518000)</t>
  </si>
  <si>
    <t>'18665337533</t>
  </si>
  <si>
    <t>No:9403363146</t>
  </si>
  <si>
    <t>'Aileen:T05左边扶手*1只，检查好质量</t>
  </si>
  <si>
    <t>橙七菇凉</t>
  </si>
  <si>
    <t>刘思梦</t>
  </si>
  <si>
    <t>江苏省 无锡市 梁溪区 南禅寺街道解放东路890-11栋-1101室(000000)</t>
  </si>
  <si>
    <t>'15951468552</t>
  </si>
  <si>
    <t>No:9403302384</t>
  </si>
  <si>
    <t>胖胖毛毛_2007</t>
  </si>
  <si>
    <t>刘珊</t>
  </si>
  <si>
    <t>天津 天津市 红桥区 丁字沽街道丁字沽五爱道风顺公寓2号楼1门201号(300131)</t>
  </si>
  <si>
    <t>'13132559860</t>
  </si>
  <si>
    <t>No:9403301942</t>
  </si>
  <si>
    <t>'Angela：GAV-Q6   黑框黑色  赠送专用座套+专用头枕套</t>
  </si>
  <si>
    <t>mg康金河</t>
  </si>
  <si>
    <t>康金河</t>
  </si>
  <si>
    <t>福建省 泉州市 石狮市 蚶江镇锦里东南区42号明顿大厦(000000)</t>
  </si>
  <si>
    <t>'17720600103</t>
  </si>
  <si>
    <t>No:9403302724</t>
  </si>
  <si>
    <t>139zjhzjh</t>
  </si>
  <si>
    <t>赵建华</t>
  </si>
  <si>
    <t>上海 上海市 浦东新区 三林镇海阳路815弄10号1101室(200125)</t>
  </si>
  <si>
    <t>'13916377610</t>
  </si>
  <si>
    <t>GAVEE 经典办公椅皮转椅 电脑椅家用简约老板椅座椅 会议商务椅子，GAVEE时尚椅子凳子 便捷家用餐椅休闲椅户外椅会议电脑椅子</t>
  </si>
  <si>
    <t>No:9402894836</t>
  </si>
  <si>
    <t>'Anthea: GAV-FM 白色铝合金脚  赠创意椅*1  检查好质量</t>
  </si>
  <si>
    <t>hyy1110371</t>
  </si>
  <si>
    <t>胡泱泱</t>
  </si>
  <si>
    <t>湖北省 武汉市 江夏区 江夏区经济开发区庙山街道江夏区经济开发区庙山办事处 武汉东湖高新开发区天际路15号当代安普顿4栋3单元(430200)</t>
  </si>
  <si>
    <t>'18086042786</t>
  </si>
  <si>
    <t>No:9402895309</t>
  </si>
  <si>
    <t>'Anthea: GAV-G12V 黑框黑网  赠工学椅套*1 工学头枕套*1  检查好质量</t>
  </si>
  <si>
    <t>jianpeng夫人</t>
  </si>
  <si>
    <t>蔡阳</t>
  </si>
  <si>
    <t>广西壮族自治区 柳州市 柳南区 柳南街道飞鹅路81号 金鹅福地 4栋4单元(000000)</t>
  </si>
  <si>
    <t>'18977245135</t>
  </si>
  <si>
    <t>No:9402895316</t>
  </si>
  <si>
    <t>tb25424431</t>
  </si>
  <si>
    <t>刘小洁</t>
  </si>
  <si>
    <t>河南省 郑州市 管城回族区 南关街道郑州市管城区烟厂后街10号院(450000)</t>
  </si>
  <si>
    <t>'19937652806</t>
  </si>
  <si>
    <t>No:9402665890</t>
  </si>
  <si>
    <t>00999ww</t>
  </si>
  <si>
    <t>张莉</t>
  </si>
  <si>
    <t>江苏省 徐州市 铜山区 棠张镇棠张批发市场(220005)</t>
  </si>
  <si>
    <t>'13914893536</t>
  </si>
  <si>
    <t>No:9402557231</t>
  </si>
  <si>
    <t>tb017778764</t>
  </si>
  <si>
    <t>廖亮</t>
  </si>
  <si>
    <t>湖北省 荆州市 沙市区 解放街道共青路8号(000000)</t>
  </si>
  <si>
    <t>'13986687160</t>
  </si>
  <si>
    <t>No:9402522596</t>
  </si>
  <si>
    <t>'Angela：GAV-G12   黑框黑色带头枕  检查好质量</t>
  </si>
  <si>
    <t>182159com</t>
  </si>
  <si>
    <t>Missliu</t>
  </si>
  <si>
    <t>浙江省 绍兴市 越城区 马山镇茂林路39号林立欣园(000000)</t>
  </si>
  <si>
    <t>'18257505658</t>
  </si>
  <si>
    <t>No:9402557294</t>
  </si>
  <si>
    <t>angel迷宝</t>
  </si>
  <si>
    <t>刘磊</t>
  </si>
  <si>
    <t>安徽省 滁州市 天长市 汊涧镇小尾羊十字路口向南100米宝成(239300)</t>
  </si>
  <si>
    <t>'15805508588</t>
  </si>
  <si>
    <t>GAVEE人体工程学椅家用椅老板椅网布转椅 护腰办公椅电竞椅电脑椅</t>
  </si>
  <si>
    <t>No:9402508358</t>
  </si>
  <si>
    <t>'Angela：GAV-G12   黑框黑色*1  专用座套*1  专用头套*1  脚踏*1   检查好质量</t>
  </si>
  <si>
    <t>致野韩流</t>
  </si>
  <si>
    <t>王丽丹</t>
  </si>
  <si>
    <t>广东省 广州市 越秀区 矿泉街道站西路五十七号站西广场2号楼号8515档(000000)</t>
  </si>
  <si>
    <t>'13560188851</t>
  </si>
  <si>
    <t>No:9402508339</t>
  </si>
  <si>
    <t>'Angela：GAV-6211   豪华版黑背红坐   赠送创意凳   检查好质量</t>
  </si>
  <si>
    <t>blue_cat96</t>
  </si>
  <si>
    <t>郭大维</t>
  </si>
  <si>
    <t>湖南省 长沙市 芙蓉区 东岸街道张公岭嘉盛和园2栋2单元806号(410011)</t>
  </si>
  <si>
    <t>'15873156803</t>
  </si>
  <si>
    <t>No:9402508571</t>
  </si>
  <si>
    <t>'Angela：GAV-G12  黑框黑色  赠送专用的座套和头套  检查好质量</t>
  </si>
  <si>
    <t>zjmagic521</t>
  </si>
  <si>
    <t>祝志军</t>
  </si>
  <si>
    <t>江西省 上饶市 广丰区 永丰街道西山小区文明路146号(334600)</t>
  </si>
  <si>
    <t>'18370388999</t>
  </si>
  <si>
    <t>No:9402508189</t>
  </si>
  <si>
    <t>'Angela：GAV-G12   黑框灰色  赠送专用的座套和头套  检查好质量</t>
  </si>
  <si>
    <t>牙牙杰</t>
  </si>
  <si>
    <t>施为家</t>
  </si>
  <si>
    <t>福建省 泉州市 晋江市 龙湖镇龙园村北区189号（yayaling94，09777164164， yayaling94)(000000)</t>
  </si>
  <si>
    <t>'18959796766</t>
  </si>
  <si>
    <t>No:9402508532</t>
  </si>
  <si>
    <t>'Angela：GAV-801   升级版绿色  检查好质量</t>
  </si>
  <si>
    <t>开心巧克力豆123</t>
  </si>
  <si>
    <t>吴亚锋</t>
  </si>
  <si>
    <t>黑龙江省 大庆市 萨尔图区 东风街道东风新村实验中学状元府苑小区5号楼1一1103(163000)</t>
  </si>
  <si>
    <t>'13604658026</t>
  </si>
  <si>
    <t>No:9402296655</t>
  </si>
  <si>
    <t>'Angela：GAV-Q6  灰白框龙纹灰白网  赠送专用的座套和头套  检查好质量，收货后退中间差价300元</t>
  </si>
  <si>
    <t>杨双凤1985</t>
  </si>
  <si>
    <t>杨双凤</t>
  </si>
  <si>
    <t>黑龙江省 哈尔滨市 阿城区 金都街道星光天地a10初鑫女装(000000)</t>
  </si>
  <si>
    <t>'15946089020</t>
  </si>
  <si>
    <t>No:9402296773</t>
  </si>
  <si>
    <t>佳莹莹</t>
  </si>
  <si>
    <t>赵剑权</t>
  </si>
  <si>
    <t>上海 上海市 长宁区 周家桥街道上海市娄山关路999弄71号1502室(200051)</t>
  </si>
  <si>
    <t>'13801854083</t>
  </si>
  <si>
    <t>No:9402198992</t>
  </si>
  <si>
    <t>'Angela：GAV-X2   豪华版黑色   搭配固定脚   检查好质量</t>
  </si>
  <si>
    <t>wang13904741942</t>
  </si>
  <si>
    <t>丽娟</t>
  </si>
  <si>
    <t>山西省 忻州市 原平市 南城街道青年街64号(四小对面)(000000)</t>
  </si>
  <si>
    <t>'15034499218</t>
  </si>
  <si>
    <t>No:9402199438</t>
  </si>
  <si>
    <t>tt282371824</t>
  </si>
  <si>
    <t>晨晨</t>
  </si>
  <si>
    <t>浙江省 宁波市 慈溪市 浒山街道东山村东发路43号201室(000000)</t>
  </si>
  <si>
    <t>'17317321006</t>
  </si>
  <si>
    <t>No:9402199963</t>
  </si>
  <si>
    <t>changshaflt</t>
  </si>
  <si>
    <t>易劲松</t>
  </si>
  <si>
    <t>湖南省 长沙市 长沙县 星沙街道开元东路202号 鹏基诺亚山林 索菲亚 5栋 103(410100)</t>
  </si>
  <si>
    <t>'13873153320</t>
  </si>
  <si>
    <t>No:9401877434</t>
  </si>
  <si>
    <t>'Anthea： GAV-G12V 黑框黑网 赠专属椅套*1  头枕套*1  检查好质量</t>
  </si>
  <si>
    <t>无语0801</t>
  </si>
  <si>
    <t>李玉春</t>
  </si>
  <si>
    <t>青海省 海东市 互助土族自治县 威远镇南郊工业和商务局(810500)</t>
  </si>
  <si>
    <t>'18209723385</t>
  </si>
  <si>
    <t>No:9401843981</t>
  </si>
  <si>
    <t>tb772528040</t>
  </si>
  <si>
    <t>陈黎婷</t>
  </si>
  <si>
    <t>广东省 深圳市 龙华区 观澜街道章阁中心城(000000)</t>
  </si>
  <si>
    <t>'18319531153</t>
  </si>
  <si>
    <t>No:9401804398</t>
  </si>
  <si>
    <t>竹木拉马</t>
  </si>
  <si>
    <t>麻峰</t>
  </si>
  <si>
    <t>江西省 南昌市 东湖区 彭家桥街道洪都北大道96号1栋2单元302室（省教委宿舍）(000000)</t>
  </si>
  <si>
    <t>'13870880161</t>
  </si>
  <si>
    <t>No:9401759380</t>
  </si>
  <si>
    <t>'Angela: GAV-G12V 黑框黑网 赠专属椅套*1  头枕套*1  检查好质量</t>
  </si>
  <si>
    <t>t_1497953973244_0949</t>
  </si>
  <si>
    <t>林美成</t>
  </si>
  <si>
    <t>福建省 福州市 永泰县 樟城镇建泰大厦(350700)</t>
  </si>
  <si>
    <t>'13696894108</t>
  </si>
  <si>
    <t>No:9401760270</t>
  </si>
  <si>
    <t>紫色儿童</t>
  </si>
  <si>
    <t>高方</t>
  </si>
  <si>
    <t>陕西省 宝鸡市 眉县 横渠镇陕西省宝鸡市眉县横渠镇古城村四组(000000)</t>
  </si>
  <si>
    <t>'18966231542</t>
  </si>
  <si>
    <t>No:9401760435</t>
  </si>
  <si>
    <t>'ST</t>
  </si>
  <si>
    <t>王玉辉我草你妈</t>
  </si>
  <si>
    <t>马强新</t>
  </si>
  <si>
    <t>广西壮族自治区 桂林市 全州县 全州镇北门大圆盘北斗路(541500)</t>
  </si>
  <si>
    <t>'13737316276</t>
  </si>
  <si>
    <t>No:9401760198</t>
  </si>
  <si>
    <t>彬彬爱李梦</t>
  </si>
  <si>
    <t>杜彬彬</t>
  </si>
  <si>
    <t>河北省 保定市 莲池区 东金庄乡七一东路与东二环西南角保定天硕销售前台(000000)</t>
  </si>
  <si>
    <t>'13933206095</t>
  </si>
  <si>
    <t>No:9401759982</t>
  </si>
  <si>
    <t>苏州文化市场文具超市</t>
  </si>
  <si>
    <t>李杰</t>
  </si>
  <si>
    <t>江苏省 苏州市 金阊区 苏州市金阊区金门路金门国际商业广场1-4261号(215008)</t>
  </si>
  <si>
    <t>'15850152922</t>
  </si>
  <si>
    <t>No:9401398395</t>
  </si>
  <si>
    <t>'Anthea： GAV-G12全皮    黑色全皮款  赠专属椅套*1  专属头枕套*1  检查好质量</t>
  </si>
  <si>
    <t>renjunhao373</t>
  </si>
  <si>
    <t>任彪</t>
  </si>
  <si>
    <t>北京 北京市 朝阳区 朝外街道雅宝路天雅大厦2033-37房间(000000)</t>
  </si>
  <si>
    <t>'13693263598</t>
  </si>
  <si>
    <t>No:9401298893</t>
  </si>
  <si>
    <t>'Anthea: GAV-801 升级版黑色自带脚托    检查好质量</t>
  </si>
  <si>
    <t>anjingliming88</t>
  </si>
  <si>
    <t>叮当</t>
  </si>
  <si>
    <t>山东省 青岛市 李沧区 虎山路街道虎山路77号coco蜜城(266100)</t>
  </si>
  <si>
    <t>'13361249195</t>
  </si>
  <si>
    <t>No:9401759625</t>
  </si>
  <si>
    <t>'Aileen:固定轮一套（五个）</t>
  </si>
  <si>
    <t>tudouya87</t>
  </si>
  <si>
    <t>刘洋洋</t>
  </si>
  <si>
    <t>吉林省 四平市 公主岭市 铁北街道铁北街银河二期10栋2单位7楼西门(000000)</t>
  </si>
  <si>
    <t>'18643476644</t>
  </si>
  <si>
    <t>No:9401398458</t>
  </si>
  <si>
    <t>我的宝贝小高婧</t>
  </si>
  <si>
    <t>侯建华</t>
  </si>
  <si>
    <t>内蒙古自治区 乌兰察布市 四子王旗 四子王旗乌兰花镇和谐家园，3号楼4单元(011800)</t>
  </si>
  <si>
    <t>'15847449678</t>
  </si>
  <si>
    <t>No:9401299846</t>
  </si>
  <si>
    <t>郭亚萍110</t>
  </si>
  <si>
    <t>房汶柯</t>
  </si>
  <si>
    <t>河南省 新乡市 辉县市 高庄乡庞村(453600)</t>
  </si>
  <si>
    <t>'13223774678</t>
  </si>
  <si>
    <t>No:9401300151</t>
  </si>
  <si>
    <t>hochunshing</t>
  </si>
  <si>
    <t>何镇丞</t>
  </si>
  <si>
    <t>广东省 深圳市 南山区 粤海街道深圳南山区科技园科技南十二路中电照明大厦北座2A(000000)</t>
  </si>
  <si>
    <t>'13434794025</t>
  </si>
  <si>
    <t>No:9401201427</t>
  </si>
  <si>
    <t>'Aileen：Q6的黑色脚踏一个</t>
  </si>
  <si>
    <t>聂万馨</t>
  </si>
  <si>
    <t>河北省 沧州市 河间市 瀛州镇九龙阁15号楼（七街火锅鸡旁边胡同北100米）(000000)</t>
  </si>
  <si>
    <t>'17614356949</t>
  </si>
  <si>
    <t>No:9401225201</t>
  </si>
  <si>
    <t>金瀚照明</t>
  </si>
  <si>
    <t>白茹</t>
  </si>
  <si>
    <t>黑龙江省 齐齐哈尔市 龙沙区 正阳街道火电安居小区，15号楼，16-17门市，大齐烤肉酒厂(000000)</t>
  </si>
  <si>
    <t>'18745217783</t>
  </si>
  <si>
    <t>No:9401224294</t>
  </si>
  <si>
    <t>触碰95</t>
  </si>
  <si>
    <t>王之炎</t>
  </si>
  <si>
    <t>内蒙古自治区 包头市 东河区 东站街道巴彦塔拉大街维多利新天地6号西（南北万合）(014040)</t>
  </si>
  <si>
    <t>'14747274370</t>
  </si>
  <si>
    <t>No:9401224969</t>
  </si>
  <si>
    <t>索雪芹</t>
  </si>
  <si>
    <t>国秀洋</t>
  </si>
  <si>
    <t>黑龙江省 大庆市 萨尔图区 东风街道丽都佳苑2号公寓719(000000)</t>
  </si>
  <si>
    <t>'13946990051</t>
  </si>
  <si>
    <t>No:9401225202</t>
  </si>
  <si>
    <t>wubei1949</t>
  </si>
  <si>
    <t>吴蓓</t>
  </si>
  <si>
    <t>江苏省 南京市 江宁区 秣陵街道清水亭西路100号藏龙御景12栋2单元104(211100)</t>
  </si>
  <si>
    <t>'13182985206</t>
  </si>
  <si>
    <t>No:9401201246</t>
  </si>
  <si>
    <t>'创意凳*3 红色</t>
  </si>
  <si>
    <t>哥larry</t>
  </si>
  <si>
    <t>李工 ( 辣总 )</t>
  </si>
  <si>
    <t>广东省 广州市 番禺区 南村镇万博二路202号敏捷上城国际2期 1座 1826(000000)</t>
  </si>
  <si>
    <t>'18122366130</t>
  </si>
  <si>
    <t>【活动价】GAVEE人体工学电脑椅家用书房护腰办公椅学生网椅转椅简约电竞椅</t>
  </si>
  <si>
    <t>No:9400799786</t>
  </si>
  <si>
    <t>'Angela: GAV-8216B 白框灰黑带头枕  检查好质量</t>
  </si>
  <si>
    <t>tb3385912_2011</t>
  </si>
  <si>
    <t>刘文</t>
  </si>
  <si>
    <t>广东省 深圳市 南山区 南山街道南光商业街龙泰轩A-205(000000)</t>
  </si>
  <si>
    <t>'13823385912</t>
  </si>
  <si>
    <t>GAVEE 人体工学时尚电脑椅家用现代简约办公椅北欧升降转椅子靠背</t>
  </si>
  <si>
    <t>No:9400798548</t>
  </si>
  <si>
    <t>'Anthea： GAV-F03H 铝合金脚 检查好质量</t>
  </si>
  <si>
    <t>广东老何</t>
  </si>
  <si>
    <t>买家已付款，等待卖家发货</t>
  </si>
  <si>
    <t>何成峰</t>
  </si>
  <si>
    <t>广东省 广州市 番禺区 洛浦街道广奥东6街12座602(000000)</t>
  </si>
  <si>
    <t>'15602238969</t>
  </si>
  <si>
    <t>GAVEE护脊人体工学椅电脑椅家用老板书房办公椅护腰可躺座转网椅</t>
  </si>
  <si>
    <t>null</t>
  </si>
  <si>
    <t>'Anthea： GAV-G12V 黑框红网 检查好质量  等客户通知后再寄出</t>
  </si>
  <si>
    <t>No:9400799949</t>
  </si>
  <si>
    <t>'Anthea： GAV-G12V 黑框灰网 检查好质量</t>
  </si>
  <si>
    <t>tb1568859_2012</t>
  </si>
  <si>
    <t>林六贵</t>
  </si>
  <si>
    <t>江苏省 无锡市 宜兴市 丁蜀镇通蜀东路恒天紫金城23幢D3一102《金书紫砂》(214200)</t>
  </si>
  <si>
    <t>'18251568859</t>
  </si>
  <si>
    <t>No:9400800048</t>
  </si>
  <si>
    <t>'Anthea: GAV-G12V 黑框黑网 检查好质量</t>
  </si>
  <si>
    <t>你们毛哥</t>
  </si>
  <si>
    <t>董先生</t>
  </si>
  <si>
    <t>四川省 成都市 武侯区 簇锦街道太平园中五路33号中粮祥云国际生活区1期9栋2单元501(000000)</t>
  </si>
  <si>
    <t>'18628077719</t>
  </si>
  <si>
    <t>GAVEE 高端人体工学电脑椅家用老板椅子 商务座椅网布护腰办公椅</t>
  </si>
  <si>
    <t>No:9402665995</t>
  </si>
  <si>
    <t>'Anthea： GAV-901 黑网  检查好质量  有货再发 到手价3600元</t>
  </si>
  <si>
    <t>autumnflutter</t>
  </si>
  <si>
    <t>思南</t>
  </si>
  <si>
    <t>广东省 深圳市 南山区 粤海街道粤兴三道8号中国地质大学产学研基地中地大楼C305(000000)</t>
  </si>
  <si>
    <t>'15201187354</t>
  </si>
  <si>
    <t>No:9400697501</t>
  </si>
  <si>
    <t>'Anthea: GAV-8216A 黑框灰网带头枕  检查好质量</t>
  </si>
  <si>
    <t>韩琼丽</t>
  </si>
  <si>
    <t>湖南省 湘潭市 湘乡市 望春门街道夏梓桥环保局监测站家属区(411400)</t>
  </si>
  <si>
    <t>'15873131193</t>
  </si>
  <si>
    <t>No:9400649781</t>
  </si>
  <si>
    <t>缘分天空3995</t>
  </si>
  <si>
    <t>吴炎</t>
  </si>
  <si>
    <t>浙江省 绍兴市 越城区 府山街道解放北路399号明牌珠宝（府横街1号）(312000)</t>
  </si>
  <si>
    <t>'13867553995</t>
  </si>
  <si>
    <t>【活动价】GAVEE可躺电脑椅家用午休办公椅人体工学椅网椅书房休闲老板座椅，GAVEE 人体工学椅电脑椅家用书房转椅护腰办公椅子老板座椅电竞椅</t>
  </si>
  <si>
    <t>No:9400629736</t>
  </si>
  <si>
    <t>'Angela：GAV-Q6  黑框黑色*2  检查好质量，赠送专用座套*2   开发票：绍兴明牌珠宝销售有限公司</t>
  </si>
  <si>
    <t>小果妈0308</t>
  </si>
  <si>
    <t>张季莉</t>
  </si>
  <si>
    <t>江苏省 南通市 通州区 金新街道高新技术开发区杏园西路777号广东鸿图南通压铸有限公司(000000)</t>
  </si>
  <si>
    <t>'15862849651</t>
  </si>
  <si>
    <t>GAVEE 人体工学椅电脑椅家用书房转椅护腰办公椅子老板座椅电竞椅</t>
  </si>
  <si>
    <t>No:9400637060</t>
  </si>
  <si>
    <t>zxjwhl1314520</t>
  </si>
  <si>
    <t>龚亚楠</t>
  </si>
  <si>
    <t>江苏省 无锡市 锡山区 东港镇红豆工业园红豆西服(214101)</t>
  </si>
  <si>
    <t>'15190226078</t>
  </si>
  <si>
    <t>No:9400637021</t>
  </si>
  <si>
    <t>zhangjq3787110</t>
  </si>
  <si>
    <t>张建强</t>
  </si>
  <si>
    <t>内蒙古自治区 鄂尔多斯市 东胜区 罕台镇鄂尔多斯市第四人民医院(017000)</t>
  </si>
  <si>
    <t>'13190735461</t>
  </si>
  <si>
    <t>No:9400630605</t>
  </si>
  <si>
    <t xml:space="preserve">'Angela：GAV-G12皮  黑框黑色真皮，检查好质量  开发票：鄂尔多斯市第四人民医院 </t>
  </si>
  <si>
    <t>飞哥霍</t>
  </si>
  <si>
    <t>刘佳</t>
  </si>
  <si>
    <t>山西省 长治市 屯留县 康庄工业园区东史村快递定点自提(046100)</t>
  </si>
  <si>
    <t>'13509754450</t>
  </si>
  <si>
    <t>No:9400636893</t>
  </si>
  <si>
    <t>艳娜1210</t>
  </si>
  <si>
    <t>杨洋</t>
  </si>
  <si>
    <t>云南省 玉溪市 红塔区 玉带路街道火车站公租房   万和家园玉苑6幢(653100)</t>
  </si>
  <si>
    <t>'18869702155</t>
  </si>
  <si>
    <t>No:9400636945</t>
  </si>
  <si>
    <t>lowerein</t>
  </si>
  <si>
    <t>勞東尼</t>
  </si>
  <si>
    <t>香港特别行政区 九龙 观塘区 寶達村達富樓2518室(00000)</t>
  </si>
  <si>
    <t>'null</t>
  </si>
  <si>
    <t>No:232879223947</t>
  </si>
  <si>
    <t>'Angela：GAV-G12   灰框灰色  检查好质量</t>
  </si>
  <si>
    <t>elvia301</t>
  </si>
  <si>
    <t>凌浩</t>
  </si>
  <si>
    <t>湖南省 长沙市 雨花区    东塘街道劳动西路386号枫树山社区25栋1单元602，麻烦快递小哥，派送前先电话联系，担心您辛苦跑过来，但是没人在家</t>
  </si>
  <si>
    <t>'13875940603</t>
  </si>
  <si>
    <t>No:9400307428</t>
  </si>
  <si>
    <t>'Angela:GAV-Q6  黑框龙纹灰白网  检查好质量  赠送专用的座套</t>
  </si>
  <si>
    <t>大恒好货</t>
  </si>
  <si>
    <t>华新恒</t>
  </si>
  <si>
    <t>江苏省 苏州市 太仓市 城厢镇向阳路14号太平新村25-1幢202(000000)</t>
  </si>
  <si>
    <t>'18136156108</t>
  </si>
  <si>
    <t>No:9400299562</t>
  </si>
  <si>
    <t>'Angela：GAV-8216  白框橙色带头枕  检查好质量</t>
  </si>
  <si>
    <t>tbzhaixf_snda</t>
  </si>
  <si>
    <t>陈丽</t>
  </si>
  <si>
    <t>上海 上海市 杨浦区 五角场镇安波路567弄22号1502(000000)</t>
  </si>
  <si>
    <t>'18616101402</t>
  </si>
  <si>
    <t>No:9400289357</t>
  </si>
  <si>
    <t>guojiarui1102</t>
  </si>
  <si>
    <t>郭郭郭</t>
  </si>
  <si>
    <t>山东省 济南市 历下区 文东街道和平路燕山小区西区11号楼1单元101室(000000)</t>
  </si>
  <si>
    <t>'13270332330</t>
  </si>
  <si>
    <t>No:9400156264</t>
  </si>
  <si>
    <t>'Anthea： GAV-G12V 黑框咖啡网 检查好质量</t>
  </si>
  <si>
    <t>廖冬梅19915</t>
  </si>
  <si>
    <t>彭友红</t>
  </si>
  <si>
    <t>江西省 赣州市 章贡区 蟠龙镇田心村欣源发艺(000000)</t>
  </si>
  <si>
    <t>'15170742295</t>
  </si>
  <si>
    <t>No:9899948932</t>
  </si>
  <si>
    <t>shang52120650559</t>
  </si>
  <si>
    <t>王松</t>
  </si>
  <si>
    <t>天津 天津市 和平区    天津医科大学口腔医院</t>
  </si>
  <si>
    <t>'13920139883（旧：'13102039583）</t>
  </si>
  <si>
    <t>【活动价】GAVEE可躺电脑椅家用午休办公椅人体工学椅网椅书房休闲老板座椅</t>
  </si>
  <si>
    <t>No:9899937895</t>
  </si>
  <si>
    <t>'Angela：GAV-G12V  黑框黑色  检查好质量</t>
  </si>
  <si>
    <t>anny农2012</t>
  </si>
  <si>
    <t>农爱初</t>
  </si>
  <si>
    <t>广西壮族自治区 南宁市 江南区 江南街道五一富德路34号(连你水店)(000000)</t>
  </si>
  <si>
    <t>'18154617469</t>
  </si>
  <si>
    <t>No:9899963524</t>
  </si>
  <si>
    <t>星陈大</t>
  </si>
  <si>
    <t>陈倩</t>
  </si>
  <si>
    <t>山西省 忻州市 忻府区 长征街街道和平西街3号(000000)</t>
  </si>
  <si>
    <t>'18585448359</t>
  </si>
  <si>
    <t>No:9899961261</t>
  </si>
  <si>
    <t>宝18562002</t>
  </si>
  <si>
    <t>陈生</t>
  </si>
  <si>
    <t>广东省 深圳市 南山区 粤海街道科技路2号朗景园B栋1005(000000)</t>
  </si>
  <si>
    <t>'13632966082</t>
  </si>
  <si>
    <t>No:9899948133</t>
  </si>
  <si>
    <t>'Angela：GAV-Q6   黑框龙纹灰白网  检查好质量  赠送座套</t>
  </si>
  <si>
    <t>tb15903273</t>
  </si>
  <si>
    <t>陈蓉</t>
  </si>
  <si>
    <t>广东省 阳江市 阳春市 河西街道金同花园27栋403(000000)</t>
  </si>
  <si>
    <t>'18813349914</t>
  </si>
  <si>
    <t>No:9899970312</t>
  </si>
  <si>
    <t>执晨绿炫</t>
  </si>
  <si>
    <t>符盈盈</t>
  </si>
  <si>
    <t>广东省 东莞市 null 长安镇广东省东莞市长安镇宏光电子厂收(000000)</t>
  </si>
  <si>
    <t>'15799018049</t>
  </si>
  <si>
    <t>No:9899937913</t>
  </si>
  <si>
    <t>'Angela：GAV-Q6   黑框龙纹灰白网  检查好质量</t>
  </si>
  <si>
    <t>xiaolinfengg</t>
  </si>
  <si>
    <t>林枫</t>
  </si>
  <si>
    <t>江苏省 南京市 玄武区 红山街道南京市玄武区近贤苑15栋四单元307室(210018)</t>
  </si>
  <si>
    <t>'18913008188</t>
  </si>
  <si>
    <t>No:9899963525</t>
  </si>
  <si>
    <t>心中思恋着她旧梦好似飞花</t>
  </si>
  <si>
    <t>范娇娇</t>
  </si>
  <si>
    <t>河南省 郑州市 新郑市 新村镇河南省郑州市新郑市新村镇梨园村(000000)</t>
  </si>
  <si>
    <t>'13223038451</t>
  </si>
  <si>
    <t>No:9899957730</t>
  </si>
  <si>
    <t>whloy19900713</t>
  </si>
  <si>
    <t>文翰林</t>
  </si>
  <si>
    <t>贵州省 贵阳市 乌当区 东风镇乐湾国际湖语美郡(550018)</t>
  </si>
  <si>
    <t>'18198241297</t>
  </si>
  <si>
    <t>GAVEE弓形电脑椅子办公椅家用职员人体工学椅学习休闲会议椅</t>
  </si>
  <si>
    <t>No:9899104317</t>
  </si>
  <si>
    <t>'Anthea: GAV-T11DE 黑色弓脚杯  检查好质量</t>
  </si>
  <si>
    <t>李金金0816</t>
  </si>
  <si>
    <t>李玉秋</t>
  </si>
  <si>
    <t>辽宁省 大连市 甘井子区 红旗街道兰兴巷15-2-2(116033)</t>
  </si>
  <si>
    <t>'18642655083</t>
  </si>
  <si>
    <t>No:9899099153</t>
  </si>
  <si>
    <t>'Anthea: GAV-R2 黑色尼龙脚 检查好质量 收货返49元运费</t>
  </si>
  <si>
    <t>todaysuperstar</t>
  </si>
  <si>
    <t>陳明耀</t>
  </si>
  <si>
    <t>广东省 东莞市 null 沙田镇第一产业物流园1号仓递四方A集运仓@V73RS8#VLK68SSLW2DA#(518128)</t>
  </si>
  <si>
    <t>GAVEE人体工学椅电脑椅家用 转椅老板椅护腰电竞椅游戏椅办公椅子</t>
  </si>
  <si>
    <t>No:9899047846</t>
  </si>
  <si>
    <t>'Anthea： GAV-X2 豪华版黑色 检查好质量</t>
  </si>
  <si>
    <t>radiohead37</t>
  </si>
  <si>
    <t>郭桥琪</t>
  </si>
  <si>
    <t>上海 上海市 徐汇区 枫林路街道龙华路1881弄9号401室(200030)</t>
  </si>
  <si>
    <t>'18018636969</t>
  </si>
  <si>
    <t>No:9899047695</t>
  </si>
  <si>
    <t>'Anthea: GAV-Q6 黑框黑网 检查好质量</t>
  </si>
  <si>
    <t>ztyzsc</t>
  </si>
  <si>
    <t>周桐羽</t>
  </si>
  <si>
    <t>广东省 广州市 番禺区 东环街道东艺路金山谷尚层3栋2902(511400)</t>
  </si>
  <si>
    <t>'13397732920</t>
  </si>
  <si>
    <t xml:space="preserve">'Anthea: GAV-801 升级版黑色自带脚托  高配椅脚  检查好质量 </t>
  </si>
  <si>
    <t>zeusth88</t>
  </si>
  <si>
    <t>林叶茵</t>
  </si>
  <si>
    <t>广东省 广州市 荔湾区 彩虹街道荔溪南约新街8号301(510145)</t>
  </si>
  <si>
    <t>'13763346163</t>
  </si>
  <si>
    <t>No:9899047600</t>
  </si>
  <si>
    <t>'Anthea: GAV-F03M 无头枕款   检查好质量  到手价839.2元</t>
  </si>
  <si>
    <t>wxkahw</t>
  </si>
  <si>
    <t>王晓康</t>
  </si>
  <si>
    <t>山东省 东营市 东营区 东城街道伟浩御景6号楼1单元502(000000)</t>
  </si>
  <si>
    <t>'13153569993</t>
  </si>
  <si>
    <t>No:9899069816</t>
  </si>
  <si>
    <t>'Anthea: GAV-F03H 检查好质量</t>
  </si>
  <si>
    <t>kanero</t>
  </si>
  <si>
    <t>李明颖</t>
  </si>
  <si>
    <t>福建省 厦门市 湖里区 殿前街道机场翔远一路民航快递4楼，日通国际物流（中国）有限公司厦门分公司(361006)</t>
  </si>
  <si>
    <t>'13600928743</t>
  </si>
  <si>
    <t>【狂欢价】GAVEE人体工学电脑椅家用书房护腰办公椅学生网椅转椅简约电竞椅</t>
  </si>
  <si>
    <t>No:9899069838</t>
  </si>
  <si>
    <t>'Anthea：GAV-8216A黑框黑网带头枕 检查好质量</t>
  </si>
  <si>
    <t>wonglok119</t>
  </si>
  <si>
    <t>李海琪 66983122</t>
  </si>
  <si>
    <t>广东省 珠海市 香洲区 前山街道珠海市前山界涌三潭圍路1007至1008檔（東順物流園第二排）德發物流(000000)</t>
  </si>
  <si>
    <t>'18948159162</t>
  </si>
  <si>
    <t>No:9406033997</t>
  </si>
  <si>
    <t>'Anthea: GAV-X2 豪华版黑色 检查好质量  7.1号发货</t>
  </si>
  <si>
    <t>大元宝2007</t>
  </si>
  <si>
    <t>叶女士</t>
  </si>
  <si>
    <t>浙江省 台州市 温岭市 太平街道钱江大厦1101（温岭新车站对面）送前电话(000000)</t>
  </si>
  <si>
    <t>'13666800200</t>
  </si>
  <si>
    <t>No:9400289888</t>
  </si>
  <si>
    <t>'Anthea： GAV-G12V 黑框黑网  赠椅套X1 头枕套X1 检查好质量</t>
  </si>
  <si>
    <t>明州府</t>
  </si>
  <si>
    <t>李森杰</t>
  </si>
  <si>
    <t>浙江省 宁波市 鄞州区 东钱湖镇中国宁波鄞县大道东钱湖段11号（宁波华艺服饰有限公司）(315121)</t>
  </si>
  <si>
    <t>'13123843388</t>
  </si>
  <si>
    <t>No:9898971039</t>
  </si>
  <si>
    <t>'Anthea: GAV-G12 黑框蓝网  工学椅套X1  工学头枕套X1  工学脚踏X1 检查好质量</t>
  </si>
  <si>
    <t>sissi_yan121</t>
  </si>
  <si>
    <t>傅小姐</t>
  </si>
  <si>
    <t>浙江省 绍兴市 越城区 稽山街道城东经济开发区鹤池苑小区88幢203室（请不要寄韵达）(312000)</t>
  </si>
  <si>
    <t>'13957537819</t>
  </si>
  <si>
    <t>No:9899975618</t>
  </si>
  <si>
    <t>'Anthea: GAV-X2 豪华版黑色 检查好质量  星期天派送</t>
  </si>
  <si>
    <t>somethinglikethisright</t>
  </si>
  <si>
    <t>郑文烽</t>
  </si>
  <si>
    <t>广东省 广州市 番禺区 小谷围街道广东工业大学大学城生活西区(511400)</t>
  </si>
  <si>
    <t>'15018410556</t>
  </si>
  <si>
    <t>No:9899029080</t>
  </si>
  <si>
    <t>'Anthea:GAV-8216B 白框绿 带头枕 检查好质量</t>
  </si>
  <si>
    <t>开心购物880209</t>
  </si>
  <si>
    <t>姜女士</t>
  </si>
  <si>
    <t>吉林省 辽源市 龙山区 县级直管村级单位吉林省辽源市龙山区富源花园(136200)</t>
  </si>
  <si>
    <t>'13943797399</t>
  </si>
  <si>
    <t>No:9899017655</t>
  </si>
  <si>
    <t>'Anthea: GAV-G12V 灰框蓝色 赠专属椅套X1 检查好质量</t>
  </si>
  <si>
    <t>barabarali</t>
  </si>
  <si>
    <t>BBL</t>
  </si>
  <si>
    <t>山东省 青岛市 崂山区 中韩街道劲松五路177号春光山色一期10-803(000000)</t>
  </si>
  <si>
    <t>'13210002923</t>
  </si>
  <si>
    <t>No:9899020236</t>
  </si>
  <si>
    <t>'Angela: GAV-F03H  检查好质量  赠专属头枕套X1   到手价为929.2元</t>
  </si>
  <si>
    <t>justu</t>
  </si>
  <si>
    <t>陈成</t>
  </si>
  <si>
    <t>江苏省 常州市 天宁区 兰陵街道工人新村南40幢乙单元402(000000)</t>
  </si>
  <si>
    <t>'18912321222</t>
  </si>
  <si>
    <t>No:9400290120</t>
  </si>
  <si>
    <t>'Anthea: GAV-G12V 黑框黑网  赠专属椅套X1  检查好质量</t>
  </si>
  <si>
    <t>yxj881127</t>
  </si>
  <si>
    <t>闫魔爱</t>
  </si>
  <si>
    <t>广东省 深圳市 罗湖区 南湖街道沿河南路1070号罗湖金岸3栋8e(518002)</t>
  </si>
  <si>
    <t>'13424363562</t>
  </si>
  <si>
    <t>No:9400290349</t>
  </si>
  <si>
    <t>'Anthea: GAV-G12V 黑框黑网  赠专属椅套X1  检查好质量  6.21号寄出</t>
  </si>
  <si>
    <t>zhanglei715723</t>
  </si>
  <si>
    <t>雨函</t>
  </si>
  <si>
    <t>上海 上海市 黄浦区 南京东路街道南京西路388号仙乐斯广场26层(000000)</t>
  </si>
  <si>
    <t>'18917086824</t>
  </si>
  <si>
    <t>No:9898899593</t>
  </si>
  <si>
    <t>'Anthea: GAV-G12V 黑框灰网 检查好质量</t>
  </si>
  <si>
    <t>尼克坦普顿</t>
  </si>
  <si>
    <t>王重龙</t>
  </si>
  <si>
    <t>北京 北京市 海淀区 甘家口街道阜成路8号院中国航天海淀区北京市海淀区阜成路8号43单元1号(100830)</t>
  </si>
  <si>
    <t>'18500277316</t>
  </si>
  <si>
    <t>No:9898846469</t>
  </si>
  <si>
    <t>'Anthea: GAV-M6 豪华版黑色 检查好质量</t>
  </si>
  <si>
    <t>15002816123陈宏</t>
  </si>
  <si>
    <t>陈宏</t>
  </si>
  <si>
    <t>四川省 广安市 广安区 枣山镇迎宾大道433号万品凯旋门(000000)</t>
  </si>
  <si>
    <t>'15002816123</t>
  </si>
  <si>
    <t>GAVEE 人体工学椅电脑椅 办公椅家用座椅升降椅 简约老板椅电竞椅</t>
  </si>
  <si>
    <t>No:9898847605</t>
  </si>
  <si>
    <t>'Angela：GAV-T05WM   白框全黑色  检查好质量，开发票：广安万品房地产开发有限公司</t>
  </si>
  <si>
    <t>晨风_阳光</t>
  </si>
  <si>
    <t>林晨阳</t>
  </si>
  <si>
    <t>福建省 福州市 台江区 鳌峰街道江滨中大道350号中国进出口银行大厦11层国泰君安证券福建分公司(000000)</t>
  </si>
  <si>
    <t>'18020776630</t>
  </si>
  <si>
    <t>【狂欢价】GAVEE可躺电脑椅家用午休办公椅人体工学椅网椅书房休闲老板座椅</t>
  </si>
  <si>
    <t>No:9898842016</t>
  </si>
  <si>
    <t xml:space="preserve">'Angela：GAV-526  黑框黑色*2  检查好质量  赠送座套*2 </t>
  </si>
  <si>
    <t>大粗腿123456</t>
  </si>
  <si>
    <t>李秀芬</t>
  </si>
  <si>
    <t>北京 北京市 海淀区 马连洼街道圆明园西路2号中国农业大学西校区绿苑小区203楼6单元312号(100091)</t>
  </si>
  <si>
    <t>'13681020872</t>
  </si>
  <si>
    <t>GAVEE 经典办公椅皮转椅 电脑椅家用简约老板椅座椅 会议商务椅子</t>
  </si>
  <si>
    <t>No:9898757001</t>
  </si>
  <si>
    <t>'Angela：GAV-LM  黑色  检查好质量</t>
  </si>
  <si>
    <t>衣燃123</t>
  </si>
  <si>
    <t>小慧</t>
  </si>
  <si>
    <t>吉林省 吉林市 桦甸市 明桦街道金穗二区4号楼一单元601，小慧15567335316(000000)</t>
  </si>
  <si>
    <t>'15567335316</t>
  </si>
  <si>
    <t>GAVEE家用现代简约直播椅网咖人体工程学网布书房转椅电脑办公</t>
  </si>
  <si>
    <t>No:9898735592</t>
  </si>
  <si>
    <t>'Angela：GAV-T14MW   白框黑色  检查好质量，收货后，退运费76元</t>
  </si>
  <si>
    <t>jing祺</t>
  </si>
  <si>
    <t>刘秀华</t>
  </si>
  <si>
    <t>江西省 南昌市 青山湖区 塘山镇上海北路666号瀚通玉泉雅苑四楼（南昌品欣科技公司）(000000)</t>
  </si>
  <si>
    <t>'13767003591</t>
  </si>
  <si>
    <t>GAVEE 高端进口牛皮老板椅 人体工程学电脑椅 办公家用真皮大班椅</t>
  </si>
  <si>
    <t>No:9898704018</t>
  </si>
  <si>
    <t>'Angela：GAV-901皮   咖啡皮  检查好质量</t>
  </si>
  <si>
    <t>一起吹过晚风·</t>
  </si>
  <si>
    <t>吴凡</t>
  </si>
  <si>
    <t>安徽省 宣城市 广德县 杨滩乡杨滩街道  99号。(000000)</t>
  </si>
  <si>
    <t>'14755580412</t>
  </si>
  <si>
    <t>No:9898671764</t>
  </si>
  <si>
    <t>'Angela：GAV-F03H   检查好质量</t>
  </si>
  <si>
    <t>tb63793739</t>
  </si>
  <si>
    <t>王彦召</t>
  </si>
  <si>
    <t>河北省 石家庄市 藁城区 丘头镇北乐乡村    一一(052160)</t>
  </si>
  <si>
    <t>'13703393633</t>
  </si>
  <si>
    <t>No:9898862362</t>
  </si>
  <si>
    <t>chen448700156</t>
  </si>
  <si>
    <t>戴跃发</t>
  </si>
  <si>
    <t>福建省 漳州市 长泰县 陈巷镇戴墘村(000000)</t>
  </si>
  <si>
    <t>'13959247195</t>
  </si>
  <si>
    <t>No:9898864943</t>
  </si>
  <si>
    <t>tb1621999_11</t>
  </si>
  <si>
    <t>常跃辉</t>
  </si>
  <si>
    <t>河南省 洛阳市 汝阳县 城关镇金凤凰时代小区5号楼二单元2202(000000)</t>
  </si>
  <si>
    <t>'13721621999</t>
  </si>
  <si>
    <t>No:9898702190</t>
  </si>
  <si>
    <t>'Angela：GAV-Q6  黑框黑色  检查好质量</t>
  </si>
  <si>
    <t>雷马朋宁芹立</t>
  </si>
  <si>
    <t>雷立明</t>
  </si>
  <si>
    <t>吉林省 白城市 通榆县 开通镇实验中学新家属楼(137200)</t>
  </si>
  <si>
    <t>'13943646975</t>
  </si>
  <si>
    <t>'Anthea:   GAV—G12V   黑框黑网   赠专属椅套X1  检查好质量  等通知发货</t>
  </si>
  <si>
    <t>jimjim_55</t>
  </si>
  <si>
    <t>Wei li</t>
  </si>
  <si>
    <t>广东省 东莞市 null 清溪镇谢坑村委会金寓一街25号华鹏飞物流园赛诚仓澳洲海运@YWOE9AB#VHNZN9J7JYDR#(000000)</t>
  </si>
  <si>
    <t>No:9898707719</t>
  </si>
  <si>
    <t>'Angela：GAV-Q6  灰白框灰白网  检查好质量</t>
  </si>
  <si>
    <t>褚先生2099</t>
  </si>
  <si>
    <t>褚宝明</t>
  </si>
  <si>
    <t>河南省 信阳市 平桥区 前进街道新三大道99号泰岩实业集团有限公司。(000000)</t>
  </si>
  <si>
    <t>'13526048668</t>
  </si>
  <si>
    <t>No:9898698335</t>
  </si>
  <si>
    <t>'Angela：GAV-901皮  咖啡皮  检查好质量   名称:信阳新信置业有限公司</t>
  </si>
  <si>
    <t>irjungle</t>
  </si>
  <si>
    <t>江青舟</t>
  </si>
  <si>
    <t>河南省 郑州市 金水区 丰产路街道政六街15号河南省卫生厅印刷厂(000000)</t>
  </si>
  <si>
    <t>'13598893871</t>
  </si>
  <si>
    <t>No:9898672061</t>
  </si>
  <si>
    <t>'Angela：GAV-M6   普通版黑色  检查好质量</t>
  </si>
  <si>
    <t>lovebo8226</t>
  </si>
  <si>
    <t>余波</t>
  </si>
  <si>
    <t>浙江省 衢州市 开化县 城关镇江滨北路2号  开化县广播电视台(324300)</t>
  </si>
  <si>
    <t>'13575645151</t>
  </si>
  <si>
    <t>No:9400292101</t>
  </si>
  <si>
    <t>'Angela：GAV-G12  黑框黑色   检查好质量   赠送专用的座套+头套</t>
  </si>
  <si>
    <t>黑马的天空qq</t>
  </si>
  <si>
    <t>冯文勇</t>
  </si>
  <si>
    <t>贵州省 黔西南布依族苗族自治州 兴义市 桔山街道兴义大道笔山安置区帅豪门业(000000)</t>
  </si>
  <si>
    <t>'13765596955</t>
  </si>
  <si>
    <t>No:9898870342</t>
  </si>
  <si>
    <t>meiqi0191</t>
  </si>
  <si>
    <t>胡秋双</t>
  </si>
  <si>
    <t>广西壮族自治区 南宁市 西乡塘区 安吉街道安吉大道47―8号金维咖主题酒店一楼  湖南辣手菜(530001)</t>
  </si>
  <si>
    <t>'18807836983</t>
  </si>
  <si>
    <t>No:9898843337</t>
  </si>
  <si>
    <t>blazesoul</t>
  </si>
  <si>
    <t>齐嘉宁</t>
  </si>
  <si>
    <t>宁夏回族自治区 银川市 金凤区 长城中路街道华雁湖畔A区5号楼(000000)</t>
  </si>
  <si>
    <t>'17795033658</t>
  </si>
  <si>
    <t>No:9402508742</t>
  </si>
  <si>
    <t>'Angela：GAV-801   黑框黑色  检查好质量</t>
  </si>
  <si>
    <t>abcd249</t>
  </si>
  <si>
    <t>杨爽</t>
  </si>
  <si>
    <t>北京 北京市 朝阳区 双井街道双花园南里二区3号楼2005室(000000)</t>
  </si>
  <si>
    <t>'15901244374</t>
  </si>
  <si>
    <t>No:9402509019</t>
  </si>
  <si>
    <t>'Angela：502黑色花纹网  检查好质量</t>
  </si>
  <si>
    <t>安迪的幸福ing</t>
  </si>
  <si>
    <t>邓梅</t>
  </si>
  <si>
    <t>陕西省 西安市 莲湖区 西关街道旭景名园8号楼(710003)</t>
  </si>
  <si>
    <t>'18691851629</t>
  </si>
  <si>
    <t>No:9899964281</t>
  </si>
  <si>
    <t>'Angela：q6黑框龙纹白网 检查好质量   赠送新椅套X1  发货安排周末派送</t>
  </si>
  <si>
    <t>dannyyang1212</t>
  </si>
  <si>
    <t>杨震</t>
  </si>
  <si>
    <t>上海 上海市 静安区 大宁路街道平型关路1018号嘉悦轩807室(000000)</t>
  </si>
  <si>
    <t>'18601734988</t>
  </si>
  <si>
    <t>No:9898081009</t>
  </si>
  <si>
    <t>'Angela：G12V灰框蓝色  检查好质量</t>
  </si>
  <si>
    <t>超越梦想3888</t>
  </si>
  <si>
    <t>刘王雍杰</t>
  </si>
  <si>
    <t>福建省 漳州市 芗城区  南坑街道   民兴北郡8栋1801单元</t>
  </si>
  <si>
    <t>'15006033888</t>
  </si>
  <si>
    <t>No:9898070420</t>
  </si>
  <si>
    <t>'Angela：502黑色纯色网 检查好质量</t>
  </si>
  <si>
    <t>大脑与心智</t>
  </si>
  <si>
    <t>陈巍</t>
  </si>
  <si>
    <t>浙江省 绍兴市 越城区 府山街道山阴路98号凤凰名都2幢704室(000000)</t>
  </si>
  <si>
    <t>'15957571021</t>
  </si>
  <si>
    <t>No:9898083030</t>
  </si>
  <si>
    <t>'Angela：T05白框橙色 检查好质量</t>
  </si>
  <si>
    <t>基烈寺</t>
  </si>
  <si>
    <t>章思邈</t>
  </si>
  <si>
    <t>天津 天津市 和平区    天津市和平区宜昌道宜昌南里1-1-501</t>
  </si>
  <si>
    <t>'15620752439</t>
  </si>
  <si>
    <t>No:9400291687</t>
  </si>
  <si>
    <t xml:space="preserve">'Angela：G12黑框黑色   检查好质量 </t>
  </si>
  <si>
    <t>虎小白</t>
  </si>
  <si>
    <t>王洪强</t>
  </si>
  <si>
    <t>江苏省 徐州市 铜山区 珠江路47号恒源电器4楼国健公司(000000)</t>
  </si>
  <si>
    <t>'13952208710</t>
  </si>
  <si>
    <t>No:9898076704</t>
  </si>
  <si>
    <t xml:space="preserve">'Angela：G12V黑框蓝色  检查好质量发出 </t>
  </si>
  <si>
    <t>吉林省 白城市 通榆县  开通镇   开通镇实验中学校</t>
  </si>
  <si>
    <t>'Anthea: GAV-G12V 黑框黑网X4 赠椅套X4  检查好质量    8月份等客户通知发货</t>
  </si>
  <si>
    <t>chenggdx</t>
  </si>
  <si>
    <t>程慧</t>
  </si>
  <si>
    <t>陕西省 西安市 雁塔区 小寨路街道西安吐哈石油大厦B座 西安吐哈石油大厦B座(710000)</t>
  </si>
  <si>
    <t>'17791638714</t>
  </si>
  <si>
    <t>No:9897778131</t>
  </si>
  <si>
    <t>'Anthea: GAV-G12  灰框蓝网  椅套X1 头枕套X1 灰色脚踏X1   检查好质量</t>
  </si>
  <si>
    <t>sljimskg</t>
  </si>
  <si>
    <t>任亚娟</t>
  </si>
  <si>
    <t>陕西省 西安市 灞桥区 席王街道水岸东方二期3号楼2单元(710038)</t>
  </si>
  <si>
    <t>'15319923331</t>
  </si>
  <si>
    <t>No:9897803395</t>
  </si>
  <si>
    <t>'Anthea: GAV-521  黑色尼龙椅脚 检查好质量</t>
  </si>
  <si>
    <t>苏咘咘</t>
  </si>
  <si>
    <t>付苏</t>
  </si>
  <si>
    <t>浙江省 杭州市 滨江区 浦沿街道南环路3276号尚造科技园2号楼3B层B304室(000000)</t>
  </si>
  <si>
    <t>'13810559744</t>
  </si>
  <si>
    <t>No:9897787177</t>
  </si>
  <si>
    <t>tb576377601</t>
  </si>
  <si>
    <t>王志强</t>
  </si>
  <si>
    <t>河南省 安阳市 其它区    中华路与长江大道交叉口空港新城（汽车南站附近）</t>
  </si>
  <si>
    <t>'13569074443</t>
  </si>
  <si>
    <t>No:9897787171</t>
  </si>
  <si>
    <t>'Anthea： GAV-8216A 黑框黑网带头枕 检查好质量</t>
  </si>
  <si>
    <t>木玄之</t>
  </si>
  <si>
    <t>张先生</t>
  </si>
  <si>
    <t>山西省 太原市 小店区 太原高新技术产业开发区晋阳街南二巷煤化工大厦A座13层(000000)</t>
  </si>
  <si>
    <t>'18835160111</t>
  </si>
  <si>
    <t>No:9897791387</t>
  </si>
  <si>
    <t>'Anthea: GAV-Q6 黑框灰白网 检查好质量</t>
  </si>
  <si>
    <t>仁弘仓储</t>
  </si>
  <si>
    <t>谭先生</t>
  </si>
  <si>
    <t>香港特别行政区 九龙 九龙城区     红磡环海街11号海明轩2座27楼B室（可以交管理处代收）</t>
  </si>
  <si>
    <t>'60201128（旧：'13509643338）</t>
  </si>
  <si>
    <t>No:232755321466</t>
  </si>
  <si>
    <t>'差价+运费</t>
  </si>
  <si>
    <t>香港特别行政区 九龙 九龙城区    红磡环海街11号海明轩2座27楼B室（可以交管理处代收）</t>
  </si>
  <si>
    <t>'Anthea： GAV-G12V 灰框灰网 检查好质量</t>
  </si>
  <si>
    <t>woaidoudoujiang</t>
  </si>
  <si>
    <t>夏瑞欣</t>
  </si>
  <si>
    <t>河北省 邢台市 广宗县 冯家寨乡冯家寨村行知小学(054500)</t>
  </si>
  <si>
    <t>'17331973647</t>
  </si>
  <si>
    <t>No:9897739040</t>
  </si>
  <si>
    <t>刘茜刘茜加油</t>
  </si>
  <si>
    <t>刘茜</t>
  </si>
  <si>
    <t>云南省 昆明市 五华区 红云街道红云路天骄北麓南区2幢1单元(000000)</t>
  </si>
  <si>
    <t>'18787442753</t>
  </si>
  <si>
    <t>No:9897627322</t>
  </si>
  <si>
    <t>kendeng2012</t>
  </si>
  <si>
    <t>邓琼</t>
  </si>
  <si>
    <t>海南省 三亚市 天涯区 河西区街道金鸡岭社区东二巷29号9楼(572000)</t>
  </si>
  <si>
    <t>'15091915363</t>
  </si>
  <si>
    <t>No:9897683412</t>
  </si>
  <si>
    <t>'Angela：GAV-G12  黑框黑色  检查好质量  赠送座套+头套</t>
  </si>
  <si>
    <t>xiaozhaoxia731105</t>
  </si>
  <si>
    <t>肖朝霞</t>
  </si>
  <si>
    <t>甘肃省 庆阳市 西峰区 温泉乡甘肃省庆阳市西峰区陇东学院新校区职工住宅小区2号楼3单元1202(745000)</t>
  </si>
  <si>
    <t>'13993458982</t>
  </si>
  <si>
    <t>No:9897611594</t>
  </si>
  <si>
    <t>'Angela: GAV-G12V 灰框红 检查好质量</t>
  </si>
  <si>
    <t>mr丶jy</t>
  </si>
  <si>
    <t>周海峰</t>
  </si>
  <si>
    <t>广东省 中山市      南头镇月桂东路130号</t>
  </si>
  <si>
    <t>'13824734245（旧：'13802480191）</t>
  </si>
  <si>
    <t>No:9897683396</t>
  </si>
  <si>
    <t>'Angela：GAV-G12  黑框黑色*2   检查好质量</t>
  </si>
  <si>
    <t>'Angela</t>
  </si>
  <si>
    <t>x811388117</t>
  </si>
  <si>
    <t>许海锋</t>
  </si>
  <si>
    <t>河南省 开封市 龙亭区 城西街道晋安路与黄河路交叉口马市街村委会西电业局家属院(475002)</t>
  </si>
  <si>
    <t>'19837811018</t>
  </si>
  <si>
    <t>GAVEE 新品电脑椅家用现代简约人体工学办公椅护腰书房学生座椅子</t>
  </si>
  <si>
    <t>No:9897605357</t>
  </si>
  <si>
    <t>'Angela: GAV-6211A 升级版灰背红坐 检查好质量</t>
  </si>
  <si>
    <t>ifelllikeit</t>
  </si>
  <si>
    <t>举个栗子</t>
  </si>
  <si>
    <t>广西壮族自治区 贵港市 平南县    平南街道 详细地址: 平安街297号</t>
  </si>
  <si>
    <t>'15810575195</t>
  </si>
  <si>
    <t>No:9897662372</t>
  </si>
  <si>
    <t>'Angela: GAV-8216A 黑框橙网带头枕  检查好质量</t>
  </si>
  <si>
    <t>t_1478843227822_0</t>
  </si>
  <si>
    <t>李晟</t>
  </si>
  <si>
    <t>浙江省 嘉兴市 南湖区 新兴街道放鹤洲老3期68幢701(000000)</t>
  </si>
  <si>
    <t>'15906833632</t>
  </si>
  <si>
    <t>No:9897614025</t>
  </si>
  <si>
    <t>'Angela：GAV-Q6 黑框黑 带脚踏     检查好质量</t>
  </si>
  <si>
    <t>蜘蛛鸡</t>
  </si>
  <si>
    <t>李青</t>
  </si>
  <si>
    <t>江苏省 南京市 下关区 幕府西路130号金帆北苑6幢二单元1002室(210015)</t>
  </si>
  <si>
    <t>'13815852690</t>
  </si>
  <si>
    <t>No:9897631041</t>
  </si>
  <si>
    <t>525344998ju</t>
  </si>
  <si>
    <t>甘凯</t>
  </si>
  <si>
    <t>河北省 石家庄市 藁城区 丘头镇水岸新城小区四号楼一单元705(000000)</t>
  </si>
  <si>
    <t>'13290569356</t>
  </si>
  <si>
    <t>No:9897605673</t>
  </si>
  <si>
    <t>郑飞鹰</t>
  </si>
  <si>
    <t>郑勇</t>
  </si>
  <si>
    <t>上海 上海市 静安区 宝山路街道止园路400弄20号106(200070)</t>
  </si>
  <si>
    <t>'18221116864</t>
  </si>
  <si>
    <t>No:9897628755</t>
  </si>
  <si>
    <t>呼吸欢畅</t>
  </si>
  <si>
    <t>Mr 刘</t>
  </si>
  <si>
    <t>河北省 秦皇岛市 海港区 海港镇雨田大厦505(066000)</t>
  </si>
  <si>
    <t>'18103352000</t>
  </si>
  <si>
    <t>No:9897677680</t>
  </si>
  <si>
    <t>'Anthea: GAV-F03H*4  赠专属头枕套*4 检查好质量</t>
  </si>
  <si>
    <t>bt小星星</t>
  </si>
  <si>
    <t>黄晴</t>
  </si>
  <si>
    <t>广西壮族自治区 百色市 右江区 百城街道城西农贸市场，马鞍坡34号(000000)</t>
  </si>
  <si>
    <t>'13768067703</t>
  </si>
  <si>
    <t>No:9897628756</t>
  </si>
  <si>
    <t>taobaoluoromeo01</t>
  </si>
  <si>
    <t>罗金良</t>
  </si>
  <si>
    <t>江西省 宜春市 丰城市 孙渡街道丰泽园东三栋三单元(331100)</t>
  </si>
  <si>
    <t>'15970542205</t>
  </si>
  <si>
    <t>No:9897627921</t>
  </si>
  <si>
    <t>'Angela: GAV-8216B 白框黑带头枕  检查好质量</t>
  </si>
  <si>
    <t>当家不理财</t>
  </si>
  <si>
    <t>温映辉</t>
  </si>
  <si>
    <t>湖南省 益阳市 赫山区 金银山街道益阳市中心医院财务科(413000)</t>
  </si>
  <si>
    <t>'13973701213</t>
  </si>
  <si>
    <t>No:9896824869</t>
  </si>
  <si>
    <t>雨季171</t>
  </si>
  <si>
    <t>灵贝</t>
  </si>
  <si>
    <t>四川省 成都市 武侯区 石羊场街道交子大道365号中海国际F座10楼果小美(000000)</t>
  </si>
  <si>
    <t>'18565745771</t>
  </si>
  <si>
    <t>No:9896771568</t>
  </si>
  <si>
    <t>'Anthea: GAV-521 黑色 铝合金椅脚 检查好质量</t>
  </si>
  <si>
    <t>fans小范</t>
  </si>
  <si>
    <t>范炎杰</t>
  </si>
  <si>
    <t>上海 上海市 宝山区 大场镇纬地路358弄17号502(200444)</t>
  </si>
  <si>
    <t>'15021079223</t>
  </si>
  <si>
    <t>GAVEE 人体工程学电脑椅 升降座椅可躺老板椅 家用网椅办公书房椅</t>
  </si>
  <si>
    <t>No:9896771571</t>
  </si>
  <si>
    <t>'Anthea:GAV-X4 普通版红色 尼龙脚 检查好质量</t>
  </si>
  <si>
    <t>木小勿</t>
  </si>
  <si>
    <t>邬杨</t>
  </si>
  <si>
    <t>安徽省 芜湖市 弋江区 中山南路街道 中山南路街道 中山南路街道 金域蓝湾A区A3幢2单元301室(000000)</t>
  </si>
  <si>
    <t>'15555361130</t>
  </si>
  <si>
    <t>No:9896784231</t>
  </si>
  <si>
    <t>'Anthea: GAV-526 黑色自带脚托  检查好质量</t>
  </si>
  <si>
    <t>boyo990528</t>
  </si>
  <si>
    <t>张镈鸥</t>
  </si>
  <si>
    <t>北京 北京市 昌平区 北七家镇名佳花园一区15号楼 2门602(102200)</t>
  </si>
  <si>
    <t>'18500431929</t>
  </si>
  <si>
    <t>No:9896842946</t>
  </si>
  <si>
    <t>'Anthea: GAV-8216A  黑框黑带头枕 检查好质量</t>
  </si>
  <si>
    <t>zxh0471</t>
  </si>
  <si>
    <t>李宝生</t>
  </si>
  <si>
    <t>北京 北京市 朝阳区 小红门镇北京市朝阳区三台山路甲3号北京市政路桥建材集团有限公司生产经营部302房间(100176)</t>
  </si>
  <si>
    <t>'13601205946</t>
  </si>
  <si>
    <t>No:9896784232</t>
  </si>
  <si>
    <t>'Anthea:GAV-T11DE 黑色弓形脚 检查好质量</t>
  </si>
  <si>
    <t>zl880805</t>
  </si>
  <si>
    <t>郑璐</t>
  </si>
  <si>
    <t>广东省 深圳市 龙华区 民治街道龙华新区玉龙路圣莫丽斯C区2栋16B(518101)</t>
  </si>
  <si>
    <t>'15989409056</t>
  </si>
  <si>
    <t>No:9896771583</t>
  </si>
  <si>
    <t>'Anthea: GAV-T05 灰白框全黑带头枕尼龙脚 检查好质量</t>
  </si>
  <si>
    <t>虚拟1987</t>
  </si>
  <si>
    <t>谢挺</t>
  </si>
  <si>
    <t>浙江省 台州市 温岭市 城北街道石粘镇双莲路23号(317519)</t>
  </si>
  <si>
    <t>'13566660408</t>
  </si>
  <si>
    <t>No:9896836815</t>
  </si>
  <si>
    <t>'Anthea: GAV-8216B 白框黑带头枕  检查好质量</t>
  </si>
  <si>
    <t>良刀三水19781212</t>
  </si>
  <si>
    <t>郎冰</t>
  </si>
  <si>
    <t>浙江省 杭州市 余杭区 闲林街道西溪悦墅13号楼1单元302号(000000)</t>
  </si>
  <si>
    <t>'18621133168</t>
  </si>
  <si>
    <t>No:9897712893</t>
  </si>
  <si>
    <t>刚好遇见你bzx</t>
  </si>
  <si>
    <t>白植销</t>
  </si>
  <si>
    <t>浙江省 温州市 瑞安市 飞云街道飞云宋家埭新工业区金蚂蚁箱包3楼(000000)</t>
  </si>
  <si>
    <t>'13057808757</t>
  </si>
  <si>
    <t>No:9896664250</t>
  </si>
  <si>
    <t>'Angela：GAV-8216A  黑框黑色带头枕  检查好质量</t>
  </si>
  <si>
    <t>lynnetong7</t>
  </si>
  <si>
    <t>童龙霞</t>
  </si>
  <si>
    <t>四川省 成都市 武侯区 望江路街道武侯区科华街3号川大花园北园16栋(610000)</t>
  </si>
  <si>
    <t>'13880295477</t>
  </si>
  <si>
    <t>No:9896641773</t>
  </si>
  <si>
    <t>'Angela：GAV-G12  黑框黑色  检查好质量  赠送头套</t>
  </si>
  <si>
    <t>薄暮如酒</t>
  </si>
  <si>
    <t>严涛</t>
  </si>
  <si>
    <t>云南省 昆明市 东川区    铜都街道兴玉路13号3栋2单元302室</t>
  </si>
  <si>
    <t>'15911730889</t>
  </si>
  <si>
    <t>No:9896612925</t>
  </si>
  <si>
    <t>'Angela：GAV-502  黑色  检查好质量</t>
  </si>
  <si>
    <t>赵志宏0301</t>
  </si>
  <si>
    <t>赵志宏</t>
  </si>
  <si>
    <t>河南省 洛阳市 洛龙区 白马寺镇洛常路东明小区报刊亭(000000)</t>
  </si>
  <si>
    <t>'18247278055</t>
  </si>
  <si>
    <t>【狂欢价】GAVEE人体工学电脑椅家用书房护腰办公椅学生网椅转椅简约电竞椅，【狂欢价】GAVEE人体工学电脑椅家用书房护腰办公椅学生网椅转椅简约电竞椅</t>
  </si>
  <si>
    <t>No:9896842998</t>
  </si>
  <si>
    <t>我是961370</t>
  </si>
  <si>
    <t>冯华</t>
  </si>
  <si>
    <t>河南省 郑州市 新郑市 新烟街道河南省郑州市新郑市宏基王朝小区天蕴美容养生会所(000000)</t>
  </si>
  <si>
    <t>'18039552166</t>
  </si>
  <si>
    <t>No:9896388071</t>
  </si>
  <si>
    <t>宾得咔嚓</t>
  </si>
  <si>
    <t>黄强</t>
  </si>
  <si>
    <t>北京 北京市 昌平区 霍营街道黄平路慧龙居27号楼2单元602(000000)</t>
  </si>
  <si>
    <t>'15210128297</t>
  </si>
  <si>
    <t>No:9404333340</t>
  </si>
  <si>
    <t>'Angela：GAV-G12  黑框黑色  检查好质量</t>
  </si>
  <si>
    <t>lh哥不在低调</t>
  </si>
  <si>
    <t>钟丹丹</t>
  </si>
  <si>
    <t>安徽省 宣城市 广德县 誓节镇安徽省宣城市广德县誓节镇(242200)</t>
  </si>
  <si>
    <t>'15212753877</t>
  </si>
  <si>
    <t>No:9896391679</t>
  </si>
  <si>
    <t>黄金子芯</t>
  </si>
  <si>
    <t>杜宝贝</t>
  </si>
  <si>
    <t>山东省 临沂市 兰山区 银雀山街道曦之路银都花园社区3-1-601(276000)</t>
  </si>
  <si>
    <t>'18660998955</t>
  </si>
  <si>
    <t>No:9896375407</t>
  </si>
  <si>
    <t>semmon_008</t>
  </si>
  <si>
    <t>张扬</t>
  </si>
  <si>
    <t>吉林省 长春市 朝阳区 双德乡保利罗兰香谷A3-1栋1单元302室，电话：13578704822。(130012)</t>
  </si>
  <si>
    <t>'13578704822</t>
  </si>
  <si>
    <t>No:9896401297</t>
  </si>
  <si>
    <t>'Angela：GAV-X2  升级版红色  检查好质量</t>
  </si>
  <si>
    <t>沫沫妈0406</t>
  </si>
  <si>
    <t>石昌玉</t>
  </si>
  <si>
    <t>山东省 济南市 槐荫区 段店北路街道经十路26666号财富壹号花园一期4号楼3002室(000000)</t>
  </si>
  <si>
    <t>'15954909949</t>
  </si>
  <si>
    <t>No:9896388139</t>
  </si>
  <si>
    <t>'Angela:X2普通版版黑色 检查好质量</t>
  </si>
  <si>
    <t>厚道人55</t>
  </si>
  <si>
    <t>刘永强</t>
  </si>
  <si>
    <t>江苏省 泰州市 海陵区 城东街道东方花园13号楼(225300)</t>
  </si>
  <si>
    <t>'18951170319</t>
  </si>
  <si>
    <t>No:9896012998</t>
  </si>
  <si>
    <t>'Angela：801黑框蓝色 检查好质量</t>
  </si>
  <si>
    <t>五之五</t>
  </si>
  <si>
    <t>贫嘴张大民</t>
  </si>
  <si>
    <t>四川省 成都市 锦江区 东光街道华润路158号华润翡翠城四期6栋(610011)</t>
  </si>
  <si>
    <t>'13518198962</t>
  </si>
  <si>
    <t>No:9896394340</t>
  </si>
  <si>
    <t>'Angela：GAV-G12   黑框蓝色  检查好质量</t>
  </si>
  <si>
    <t>t_1480556747849_0112</t>
  </si>
  <si>
    <t>徐庆开</t>
  </si>
  <si>
    <t>山东省 临沂市 兰山区 柳青街道兴冠园小区B03-401(276002)</t>
  </si>
  <si>
    <t>'13562920668</t>
  </si>
  <si>
    <t>No:9895937128</t>
  </si>
  <si>
    <t>'Angela：【901皮进口黄牛皮咖啡色】  检查好质量</t>
  </si>
  <si>
    <t>fangyun210</t>
  </si>
  <si>
    <t>方云</t>
  </si>
  <si>
    <t>浙江省 湖州市 吴兴区 爱山街道湖州市天杏园6幢204(313000)</t>
  </si>
  <si>
    <t>'13857266785</t>
  </si>
  <si>
    <t>No:9895952182</t>
  </si>
  <si>
    <t>'Angela：X2豪华版蓝色 检查好质量</t>
  </si>
  <si>
    <t>tiangaoyundan2688</t>
  </si>
  <si>
    <t>许云生</t>
  </si>
  <si>
    <t>江苏省 常州市 溧阳市 溧城镇南大街88号   江苏金燕房地产开发公司(213300)</t>
  </si>
  <si>
    <t>'13906142688</t>
  </si>
  <si>
    <t>No:9895987812</t>
  </si>
  <si>
    <t>'Angela:T05HM有头枕灰白框全黑 检查好质量</t>
  </si>
  <si>
    <t>亚夜_霞</t>
  </si>
  <si>
    <t>张晓辉</t>
  </si>
  <si>
    <t>吉林省 四平市 铁西区 英雄街道四平市铁西区海丰大路党校对面碧天辅雅居大学城小区5号楼6单元502(136000)</t>
  </si>
  <si>
    <t>'15944415088</t>
  </si>
  <si>
    <t>No:9895952162</t>
  </si>
  <si>
    <t>'Angela：X2豪华版【黑色】 检查好质量</t>
  </si>
  <si>
    <t>xiaojun90523</t>
  </si>
  <si>
    <t>萧俊</t>
  </si>
  <si>
    <t>上海 上海市 静安区 天目西路街道共和新路111弄11号2602室(200070)</t>
  </si>
  <si>
    <t>'13918324266</t>
  </si>
  <si>
    <t>No:9895974434</t>
  </si>
  <si>
    <t>'Angela:G12灰框灰色 赠送工学脚踏 + 工学座椅 + 工学头套 检查好质量</t>
  </si>
  <si>
    <t>GAVEE新品电脑人体工学椅真皮办公椅椅子靠背懒人休闲老板家用椅，GAVEE时尚椅子凳子 便捷家用餐椅休闲椅户外椅会议电脑椅子</t>
  </si>
  <si>
    <t>No:9895610397</t>
  </si>
  <si>
    <t>'Anthea：GAV-CM  黑色  赠送红色创意凳  检查好质量</t>
  </si>
  <si>
    <t>mooneyedd</t>
  </si>
  <si>
    <t>刘泽</t>
  </si>
  <si>
    <t>四川省 成都市 锦江区 双桂路街道牛沙路4号新沙河阳光水岸10栋8单元201(610011)</t>
  </si>
  <si>
    <t>'18200121165</t>
  </si>
  <si>
    <t>No:9401890654</t>
  </si>
  <si>
    <t>'脚踏</t>
  </si>
  <si>
    <t>lianzi05</t>
  </si>
  <si>
    <t>沈莺</t>
  </si>
  <si>
    <t>上海 上海市 闵行区 莘庄镇畹町路99弄245号601室(201104)</t>
  </si>
  <si>
    <t>'18616627625</t>
  </si>
  <si>
    <t>No:9895600735</t>
  </si>
  <si>
    <t>lilysyt</t>
  </si>
  <si>
    <t>施菊妹</t>
  </si>
  <si>
    <t>江苏省 苏州市 吴江区 吴江经济技术开发区松陵镇花港村44号(215200)</t>
  </si>
  <si>
    <t>'17768007447</t>
  </si>
  <si>
    <t>No:9895596686</t>
  </si>
  <si>
    <t>'Anthea: 8216A 黑框黑网带头枕尼龙脚 检查好质量</t>
  </si>
  <si>
    <t>tb51827162</t>
  </si>
  <si>
    <t>王效维</t>
  </si>
  <si>
    <t>山西省 太原市 小店区 太原经济技术开发区长治路保利金香槟2号楼2单元3104(000000)</t>
  </si>
  <si>
    <t>'15513065656</t>
  </si>
  <si>
    <t>No:9400292570</t>
  </si>
  <si>
    <t>'Angela: GAV-G12V 黑框黑网 赠专属头枕套X1 创意椅X1 检查好质量 收货补36元差价   20号发货</t>
  </si>
  <si>
    <t>～王～</t>
  </si>
  <si>
    <t>山西省 太原市 小店区 小店街道康宁街福海苑1号楼2单元2203（不要放代收点）(030032)</t>
  </si>
  <si>
    <t>gavee旗舰店满2000元-500元店铺优惠券06/03-06/15</t>
  </si>
  <si>
    <t>高建飞88</t>
  </si>
  <si>
    <t>练桂芹</t>
  </si>
  <si>
    <t>江苏省 盐城市 东台市 东台镇东台市金地盛大花园 15#1单元(224200)</t>
  </si>
  <si>
    <t>'13815595893</t>
  </si>
  <si>
    <t>No:9895598507</t>
  </si>
  <si>
    <t>'Anthea： GAV-X2 普通版本蓝色  赠小凳子  检查好质量   收货返76.6元差价</t>
  </si>
  <si>
    <t>willam林敏</t>
  </si>
  <si>
    <t>林敏</t>
  </si>
  <si>
    <t>陕西省 宝鸡市 渭滨区 高家镇宝鸡市渭滨区巨福路西段55号金色米兰售楼部(721001)</t>
  </si>
  <si>
    <t>'13992725607</t>
  </si>
  <si>
    <t>No:9895442455</t>
  </si>
  <si>
    <t>深爱潴宝宝9</t>
  </si>
  <si>
    <t>牛秀</t>
  </si>
  <si>
    <t>安徽省 宣城市 郎溪县 建平镇金色港湾14栋1单元501室(000000)</t>
  </si>
  <si>
    <t>'13637223933</t>
  </si>
  <si>
    <t>洪大大的世界</t>
  </si>
  <si>
    <t>洪君</t>
  </si>
  <si>
    <t>河南省 安阳市 文峰区 开发区银杏大街街道平原路与文昌大道交叉口长明苑东区(000000)</t>
  </si>
  <si>
    <t>'18237285685</t>
  </si>
  <si>
    <t>GAVEE人体工学电脑椅家用书房护腰办公椅学生网椅转椅简约电竞椅</t>
  </si>
  <si>
    <t>No:9895373814</t>
  </si>
  <si>
    <t>林寒佛珠批发</t>
  </si>
  <si>
    <t>朱明霞</t>
  </si>
  <si>
    <t>福建省 莆田市 仙游县 龙华镇团结村埔兜小组(351264)</t>
  </si>
  <si>
    <t>'13850205457</t>
  </si>
  <si>
    <t>GAVEE人体工学电竞椅护腰游戏椅电脑椅家用办公可躺舒适座老板椅</t>
  </si>
  <si>
    <t>No:9895373815</t>
  </si>
  <si>
    <t>四川省 成都市 武侯区 望江路街道成都市四川大学望江校区东1宿舍2栋607(610065)</t>
  </si>
  <si>
    <t>jxhddx</t>
  </si>
  <si>
    <t>贾向华</t>
  </si>
  <si>
    <t>河北省 秦皇岛市 海港区 北环路街道河北省秦皇岛市海港区西玻里15栋1单元11号 贾向华(066004)</t>
  </si>
  <si>
    <t>'13011968035</t>
  </si>
  <si>
    <t>墨客沁</t>
  </si>
  <si>
    <t>杨加强</t>
  </si>
  <si>
    <t>北京 北京市 通州区 宋庄镇小堡北街172号北门(100010)</t>
  </si>
  <si>
    <t>'13260223839</t>
  </si>
  <si>
    <t>No:9895366278</t>
  </si>
  <si>
    <t>'Anthea； GAV-G12V 黑框黑网  赠专属椅套X1 头枕套X1   检查好质量</t>
  </si>
  <si>
    <t>天使的爱恋星</t>
  </si>
  <si>
    <t>何星</t>
  </si>
  <si>
    <t>陕西省 榆林市 榆阳区 榆阳区主城区保宁中路文化巷东7排6号(000000)</t>
  </si>
  <si>
    <t>'15848030387</t>
  </si>
  <si>
    <t>No:9895381212</t>
  </si>
  <si>
    <t>鑫524</t>
  </si>
  <si>
    <t>樊鑫</t>
  </si>
  <si>
    <t>山东省 菏泽市 郓城县 郓州街道工商银行总行院内菏泽诚和招标代理公司(000000)</t>
  </si>
  <si>
    <t>'18765025559</t>
  </si>
  <si>
    <t>No:9895373816</t>
  </si>
  <si>
    <t>shzhenmei</t>
  </si>
  <si>
    <t>杨捷</t>
  </si>
  <si>
    <t>四川省 成都市 新都区 新都镇四川省新都区博海路28号（博海城）3栋1单元1802(610500)</t>
  </si>
  <si>
    <t>'13980780068</t>
  </si>
  <si>
    <t>No:9895366295</t>
  </si>
  <si>
    <t>'Anthea: GAV-G12V 黑框蓝网 赠专属椅套X1 头枕套X1 检查好质量</t>
  </si>
  <si>
    <t>xlj32914279</t>
  </si>
  <si>
    <t>谢丽君</t>
  </si>
  <si>
    <t>广东省 河源市 源城区 源南镇双下路路北57-13号(517000)</t>
  </si>
  <si>
    <t>'13829355475</t>
  </si>
  <si>
    <t>No:9895376348</t>
  </si>
  <si>
    <t>'Angela：GAV-G12V  黑框蓝网  赠专属椅套X1 头枕套X1 检查好质量（保价双十一）</t>
  </si>
  <si>
    <t>s13145202335</t>
  </si>
  <si>
    <t>李冬</t>
  </si>
  <si>
    <t>湖南省 永州市 零陵区 七里店街道天誉华府33栋(000000)</t>
  </si>
  <si>
    <t>'18874612221</t>
  </si>
  <si>
    <t>No:9895378575</t>
  </si>
  <si>
    <t>'Anthea: GAV-G12V 黑框黑网 赠专属椅套X1 头枕套X1 检查好质量</t>
  </si>
  <si>
    <t>lin198514</t>
  </si>
  <si>
    <t>罗英</t>
  </si>
  <si>
    <t>云南省 昆明市 官渡区  矣六街道   官渡区矣六村菜鸟驿站</t>
  </si>
  <si>
    <t>'13059781607（旧：'13345705802）</t>
  </si>
  <si>
    <t>No:9895365162</t>
  </si>
  <si>
    <t>'售后：801轮子X1个</t>
  </si>
  <si>
    <t>yi1550137046</t>
  </si>
  <si>
    <t>李晴</t>
  </si>
  <si>
    <t>湖北省 武汉市 东西湖区 吴家山街道收货地址：湖北省武汉市东西湖区熙龙湾李晴  收(430040)</t>
  </si>
  <si>
    <t>'18627058820</t>
  </si>
  <si>
    <t>No:9895373817</t>
  </si>
  <si>
    <t>diaoekg54</t>
  </si>
  <si>
    <t>李亚男</t>
  </si>
  <si>
    <t>辽宁省 鞍山市 岫岩满族自治县 石灰窑镇龙宝峪村快递(114300)</t>
  </si>
  <si>
    <t>'13941258204</t>
  </si>
  <si>
    <t>No:9895376208</t>
  </si>
  <si>
    <t>我和你5947</t>
  </si>
  <si>
    <t>石水英</t>
  </si>
  <si>
    <t>四川省 成都市 双流区 东升街道广都大道6号国栋南园五星城(000000)</t>
  </si>
  <si>
    <t>'15928152232</t>
  </si>
  <si>
    <t>No:9895353869</t>
  </si>
  <si>
    <t>天马行空_7585</t>
  </si>
  <si>
    <t>秦文荣</t>
  </si>
  <si>
    <t>江苏省 常州市 武进区    湖塘镇 武宜北路21号 白金汉宫东区  16幢 甲单元 1302</t>
  </si>
  <si>
    <t>'13906128532</t>
  </si>
  <si>
    <t>No:8349698512</t>
  </si>
  <si>
    <t>'Angela：GAV-G12V  灰框灰色  检查好质量  赠送头套和座套</t>
  </si>
  <si>
    <t>whcglyh</t>
  </si>
  <si>
    <t>刘余海</t>
  </si>
  <si>
    <t>安徽省 芜湖市 繁昌县 繁阳镇安徽省芜湖市繁昌县叠翠苑4#楼（芜湖春谷工程建设咨询有限公司）(241200)</t>
  </si>
  <si>
    <t>'13605537957</t>
  </si>
  <si>
    <t>xukun15891394536</t>
  </si>
  <si>
    <t>许坤</t>
  </si>
  <si>
    <t>陕西省 咸阳市 秦都区 古渡街道玉泉东路毛条生活区(000000)</t>
  </si>
  <si>
    <t>'13572816811</t>
  </si>
  <si>
    <t>曦晨逐味8</t>
  </si>
  <si>
    <t>胡麟威</t>
  </si>
  <si>
    <t>黑龙江省 哈尔滨市 南岗区 哈尔滨工业大学一校区(000000)</t>
  </si>
  <si>
    <t>'18374806346</t>
  </si>
  <si>
    <t>No:8349573144</t>
  </si>
  <si>
    <t>金金jjtb</t>
  </si>
  <si>
    <t>贾欣惠</t>
  </si>
  <si>
    <t>黑龙江省 大庆市 肇源县    肇源农场 黑龙江省大庆市肇源农场</t>
  </si>
  <si>
    <t>'15734591477</t>
  </si>
  <si>
    <t>No:8349573607</t>
  </si>
  <si>
    <t>paopao_1848</t>
  </si>
  <si>
    <t>陆锦毅</t>
  </si>
  <si>
    <t>浙江省 杭州市 萧山区 新塘街道泰和花园芙蓉园9幢802(311200)</t>
  </si>
  <si>
    <t>'18758070943</t>
  </si>
  <si>
    <t>momo201472</t>
  </si>
  <si>
    <t>程旸</t>
  </si>
  <si>
    <t>江苏省 徐州市 泉山区    湖滨街道 湖北路滨湖花园A9-2-401</t>
  </si>
  <si>
    <t>'15896420285</t>
  </si>
  <si>
    <t>No:8349573985</t>
  </si>
  <si>
    <t>黑龙江省 大庆市 肇源县 肇源农场黑龙江省大庆市肇源农场(166500)</t>
  </si>
  <si>
    <t>江苏省 徐州市 泉山区 湖滨街道湖北路滨湖花园A9-2-401(221006)</t>
  </si>
  <si>
    <t>无际1998</t>
  </si>
  <si>
    <t>黄学伟</t>
  </si>
  <si>
    <t>广东省 广州市 天河区    天河南街道 体育西路109号高盛大厦19楼C座</t>
  </si>
  <si>
    <t>'13802757619</t>
  </si>
  <si>
    <t>No:8349573781</t>
  </si>
  <si>
    <t>'Anthea: GAV-801 黑色升级版自带脚托  检查好质量 开票：中恒建设有限公司</t>
  </si>
  <si>
    <t>广东省 广州市 海珠区 素社街道前进北街30号402房(510220)</t>
  </si>
  <si>
    <t>乐兔先生</t>
  </si>
  <si>
    <t>苏浩</t>
  </si>
  <si>
    <t>上海 上海市 杨浦区    五角场街道 政本路280弄1支弄10号401室</t>
  </si>
  <si>
    <t>'13501837105</t>
  </si>
  <si>
    <t>No:8349539178</t>
  </si>
  <si>
    <t>'Anthea: GAV-Q6 黑框黑网 赠椅套X1  头枕套X1  检查好质量</t>
  </si>
  <si>
    <t>上海 上海市 杨浦区 五角场街道政本路280弄1支弄10号401室(000000)</t>
  </si>
  <si>
    <t>bdkwba</t>
  </si>
  <si>
    <t>黃操</t>
  </si>
  <si>
    <t>江苏省 无锡市 宜兴市    丁蜀镇 江苏省宜兴市丁蜀镇漳渎紫砂园黃操工作室朱泥鱼化龙(朱渎桥边上)</t>
  </si>
  <si>
    <t>'18020523202</t>
  </si>
  <si>
    <t>No:8349576205</t>
  </si>
  <si>
    <t>'Anthea: GAV-G12V  黑框蓝网 赠专属椅套X1 头枕套X1  检查好质量</t>
  </si>
  <si>
    <t>No:8349576207</t>
  </si>
  <si>
    <t>'Anthea: GAV-G12V 黑框红网 赠专属椅套X1 头枕套X1 检查好质量</t>
  </si>
  <si>
    <t>江苏省 无锡市 宜兴市 丁蜀镇江苏省宜兴市丁蜀镇漳渎紫砂园黃操工作室朱泥鱼化龙(朱渎桥边上)(214200)</t>
  </si>
  <si>
    <t>rorl哈</t>
  </si>
  <si>
    <t>戎露</t>
  </si>
  <si>
    <t>上海 上海市 普陀区    长征镇 吉镇路450弄54号402</t>
  </si>
  <si>
    <t>'13564947067</t>
  </si>
  <si>
    <t>No:8349574609</t>
  </si>
  <si>
    <t>ssweb</t>
  </si>
  <si>
    <t>陈杰</t>
  </si>
  <si>
    <t>福建省 漳州市 芗城区  南坑街道   平等路80号201室</t>
  </si>
  <si>
    <t>'15959676711</t>
  </si>
  <si>
    <t>No:9894582568</t>
  </si>
  <si>
    <t>'Anthea: GAV-801 黑框红色 检查好质量</t>
  </si>
  <si>
    <t>福建省 漳州市 芗城区 南坑街道冠成国际2幢D06店面二楼。周末不要送！不要送！谢谢！(363000)</t>
  </si>
  <si>
    <t>yaoyaner1</t>
  </si>
  <si>
    <t>刘柳</t>
  </si>
  <si>
    <t>辽宁省 锦州市 凌河区 榴花街道上海路6段20号楼69号(121000)</t>
  </si>
  <si>
    <t>'15241699524</t>
  </si>
  <si>
    <t>No:9894547952</t>
  </si>
  <si>
    <t>'Angela:GAV-G12  黑框蓝色  赠送专用的座套+头套  检查好质量，收货后返50元优惠</t>
  </si>
  <si>
    <t>zhuai154511</t>
  </si>
  <si>
    <t>刘先生</t>
  </si>
  <si>
    <t>山东省 枣庄市 薛城区 常庄镇长江路中兴建安工程有限公司(000000)</t>
  </si>
  <si>
    <t>'18518880585</t>
  </si>
  <si>
    <t>GAVEE电脑人体工学椅网布办公椅 现代简约家用办公椅转椅设计师椅，GAVEE电脑人体工学椅网布办公椅 现代简约家用办公椅转椅设计师椅</t>
  </si>
  <si>
    <t>No:9894544557</t>
  </si>
  <si>
    <t>'Angela：GAV-FM  黑色  检查好质量</t>
  </si>
  <si>
    <t>田红</t>
  </si>
  <si>
    <t>山东省 枣庄市 薛城区 兴仁街道高新区 可可里小区别墅区D户(277000)</t>
  </si>
  <si>
    <t>'13062045888</t>
  </si>
  <si>
    <t>江苏省 常州市 武进区 湖塘镇武宜北路21号 白金汉宫东区  16幢 甲单元 1302(000000)</t>
  </si>
  <si>
    <t>laidadadada</t>
  </si>
  <si>
    <t>来钧</t>
  </si>
  <si>
    <t>浙江省 杭州市 拱墅区 祥符街道丰登街119号阮家桥公寓6幢2单元301室(000000)</t>
  </si>
  <si>
    <t>'18767133739</t>
  </si>
  <si>
    <t>'Angela：GAV-G12  黑框蓝色，赠送专用的座套+专用的头枕套，等客户通知发货</t>
  </si>
  <si>
    <t>浙江省 杭州市 江干区 采荷街道采荷东区15-2-702(310016)</t>
  </si>
  <si>
    <t>qqing0728</t>
  </si>
  <si>
    <t>田密</t>
  </si>
  <si>
    <t>四川省 资阳市 乐至县 天池镇曙光路红泰花园(000000)</t>
  </si>
  <si>
    <t>'18048896821</t>
  </si>
  <si>
    <t>No:9894433700</t>
  </si>
  <si>
    <t>不可的可</t>
  </si>
  <si>
    <t>吴京瑶</t>
  </si>
  <si>
    <t>上海 上海市 宝山区 淞南镇长江南路258号C3(000000)</t>
  </si>
  <si>
    <t>'18389637636</t>
  </si>
  <si>
    <t>No:9894454190</t>
  </si>
  <si>
    <t>skylily倾</t>
  </si>
  <si>
    <t>李丽琴</t>
  </si>
  <si>
    <t>江西省 萍乡市 上栗县 东源乡桃源村洪塘源9号(337009)</t>
  </si>
  <si>
    <t>'18296938015</t>
  </si>
  <si>
    <t>No:9894456573</t>
  </si>
  <si>
    <t>海南省 陵水黎族自治县 null 光坡镇海南省陵水县香水湾旅游度假区B区(近高速路红角岭出口)书香酒店收(000000)</t>
  </si>
  <si>
    <t>lj20lj</t>
  </si>
  <si>
    <t>叶姣</t>
  </si>
  <si>
    <t>上海 上海市 长宁区 北新泾街道新泾三村15号203(200050)</t>
  </si>
  <si>
    <t>'17521666853</t>
  </si>
  <si>
    <t>No:9894450940</t>
  </si>
  <si>
    <t>王守燕92</t>
  </si>
  <si>
    <t>王晓燕</t>
  </si>
  <si>
    <t>浙江省 杭州市 江干区 丁兰街道前浜路与同港路交叉口西150米（赵家花苑6幢1单元701）(000000)</t>
  </si>
  <si>
    <t>'17606545935</t>
  </si>
  <si>
    <t>No:9894447524</t>
  </si>
  <si>
    <t>克里斯仃1981</t>
  </si>
  <si>
    <t>刘女士</t>
  </si>
  <si>
    <t>北京 北京市 海淀区 西北旺镇永丰路大牛坊小区一期6号楼2单元701(000000)</t>
  </si>
  <si>
    <t>'18611702186</t>
  </si>
  <si>
    <t>GAVEE可躺电脑椅家用午休办公椅人体工学椅网椅书房休闲老板座椅，GAVEE时尚椅子凳子 便捷家用餐椅休闲椅户外椅会议电脑椅子</t>
  </si>
  <si>
    <t>No:9894450042</t>
  </si>
  <si>
    <t>'Angela：GAV-526  黑色自带脚踏  检查好质量，赠送白色的创意凳</t>
  </si>
  <si>
    <t>zha12345639441441</t>
  </si>
  <si>
    <t>高荣</t>
  </si>
  <si>
    <t>陕西省 宝鸡市 凤县 凤州镇龙口和谐花园(000000)</t>
  </si>
  <si>
    <t>'15229476944</t>
  </si>
  <si>
    <t>No:9894144065</t>
  </si>
  <si>
    <t>一旦兑现留住11</t>
  </si>
  <si>
    <t>郑瑞</t>
  </si>
  <si>
    <t>云南省 玉溪市 红塔区 李棋街道康井8组2幢6号(000000)</t>
  </si>
  <si>
    <t>'13577703300</t>
  </si>
  <si>
    <t>No:9894151396</t>
  </si>
  <si>
    <t>'Anthea： GAV-G12V 黑框黑网 赠椅套X1 头枕套X1 检查好质量</t>
  </si>
  <si>
    <t>akongking</t>
  </si>
  <si>
    <t>刘霖</t>
  </si>
  <si>
    <t>吉林省 吉林市 昌邑区 东局子街道松江东路41号融兴家园（吉林市人民银行家属楼） 3单元3002号(132001)</t>
  </si>
  <si>
    <t>'15543438068</t>
  </si>
  <si>
    <t>No:9894142299</t>
  </si>
  <si>
    <t>'Angela: GAV-801 升级版黑色自带脚托  检查好质量</t>
  </si>
  <si>
    <t>marcel7</t>
  </si>
  <si>
    <t>孙雷</t>
  </si>
  <si>
    <t>天津 天津市 津南区 海河教育园区同砚路38号南开大学计算机与控制工程学院104(300350)</t>
  </si>
  <si>
    <t>'13512967601</t>
  </si>
  <si>
    <t>No:9894137647</t>
  </si>
  <si>
    <t>'Anthea: GAV-G12V 黑框黑网 赠专属椅套X1 头枕套X1  检查好质量 开票：南开大学</t>
  </si>
  <si>
    <t>吉林省 吉林市 船营区 大东街道吉林省吉林市南京街4号吉林市中心医院统计室(132001)</t>
  </si>
  <si>
    <t>牧笛设计5018</t>
  </si>
  <si>
    <t>孔薇</t>
  </si>
  <si>
    <t>上海 上海市 松江区 新桥镇松江区 新桥镇 申北一路16号，C4-1（合肥万科北城）(000000)</t>
  </si>
  <si>
    <t>'18606231357</t>
  </si>
  <si>
    <t>GAVEE工学精灵电脑椅家用北欧休闲椅现代简约餐椅时尚办公书房椅</t>
  </si>
  <si>
    <t>No:9894497462</t>
  </si>
  <si>
    <t>'Anthea: GAV精灵椅  绿色固定脚（椅脚换黑色） 检查好质量</t>
  </si>
  <si>
    <t>yuanweihao55</t>
  </si>
  <si>
    <t>原伟豪</t>
  </si>
  <si>
    <t>浙江省 杭州市 西湖区 三墩镇古墩路598号同人广场B座1325(000000)</t>
  </si>
  <si>
    <t>'15639169396</t>
  </si>
  <si>
    <t>No:9894053126</t>
  </si>
  <si>
    <t>'Angela: GAV-502 黑框绿网 赠小凳子  检查好质量</t>
  </si>
  <si>
    <t>原先生</t>
  </si>
  <si>
    <t>河南省 郑州市 中原区 石佛镇电厂路大学科技科技园12号楼3楼吉客印(450000)</t>
  </si>
  <si>
    <t>mark嘿</t>
  </si>
  <si>
    <t>大姚</t>
  </si>
  <si>
    <t>陕西省 西安市 雁塔区 小寨路街道含光路美苑楼尚1311(000000)</t>
  </si>
  <si>
    <t>'15529508111</t>
  </si>
  <si>
    <t>No:9894044719</t>
  </si>
  <si>
    <t>'Angela：GAV-T05H  黑框黑色尼龙脚*2  检查好质量</t>
  </si>
  <si>
    <t>恰逢花开cp</t>
  </si>
  <si>
    <t>陈萍</t>
  </si>
  <si>
    <t>湖北省 武汉市 江岸区 后湖街街道兴业路海赋江城天韵7号楼1302(000000)</t>
  </si>
  <si>
    <t>'18842881969</t>
  </si>
  <si>
    <t>No:9894013372</t>
  </si>
  <si>
    <t>love韩舒婷</t>
  </si>
  <si>
    <t>赵蕾</t>
  </si>
  <si>
    <t>山西省 运城市 平陆县 圣人涧镇诚西广场第六排(000000)</t>
  </si>
  <si>
    <t>'13453386720</t>
  </si>
  <si>
    <t>No:9893994387</t>
  </si>
  <si>
    <t>爱尚一半青橙的忧伤</t>
  </si>
  <si>
    <t>何金荣</t>
  </si>
  <si>
    <t>北京 北京市 丰台区 东高地街道南大红门路六营门小区9号楼0611(000000)</t>
  </si>
  <si>
    <t>'18832674994</t>
  </si>
  <si>
    <t>No:9894017523</t>
  </si>
  <si>
    <t>fengmiaohong888</t>
  </si>
  <si>
    <t>冯苗红</t>
  </si>
  <si>
    <t>安徽省 宣城市 绩溪县 华阳镇汉庭酒店前台(000000)</t>
  </si>
  <si>
    <t>'18098568636</t>
  </si>
  <si>
    <t>No:9894014097</t>
  </si>
  <si>
    <t>tb88875910</t>
  </si>
  <si>
    <t>潘荣梦</t>
  </si>
  <si>
    <t>江苏省 南京市 建邺区 建邺区江东商业文化旅游中心区保利天悦6号楼2单元1303  售楼处(000000)</t>
  </si>
  <si>
    <t>'18352811888</t>
  </si>
  <si>
    <t>No:9893991713</t>
  </si>
  <si>
    <t>'Angela：GAV-G12  灰框灰色  检查好质量，头套座套随后寄出</t>
  </si>
  <si>
    <t>maximeete</t>
  </si>
  <si>
    <t>江奔奔</t>
  </si>
  <si>
    <t>重庆 重庆市 彭水苗族土家族自治县 汉葭街道汉葭镇下街人和春天A栋(409600)</t>
  </si>
  <si>
    <t>'13983122522</t>
  </si>
  <si>
    <t>No:9893557891</t>
  </si>
  <si>
    <t>'Anthea: GAV-G12V 黑框黑网 检查好质量  后续补发椅套X1  头枕套X1</t>
  </si>
  <si>
    <t>miaoyu2000</t>
  </si>
  <si>
    <t>缪先生</t>
  </si>
  <si>
    <t>江苏省 苏州市 姑苏区 金阊街道闻钟苑11幢402(215000)</t>
  </si>
  <si>
    <t>'13913513997</t>
  </si>
  <si>
    <t>郭文婷奕臻</t>
  </si>
  <si>
    <t>郭文婷</t>
  </si>
  <si>
    <t>湖北省 武汉市 江汉区 民权街街道汉来广场信义楼九楼(000000)</t>
  </si>
  <si>
    <t>'13627200729</t>
  </si>
  <si>
    <t>No:9893580321</t>
  </si>
  <si>
    <t>'Anthea: GAV-X2 升级版绿色 检查好质量</t>
  </si>
  <si>
    <t>tb220482_88</t>
  </si>
  <si>
    <t>吕大明</t>
  </si>
  <si>
    <t>北京 北京市 顺义区 仁和镇仁和 双兴南区26号楼10单元501(101300)</t>
  </si>
  <si>
    <t>'13601220482</t>
  </si>
  <si>
    <t>No:9893565631</t>
  </si>
  <si>
    <t>'Anthea: GAV-G12V 黑框黑网  检查好质量  保价至618  后续补发椅套X1 头枕套X1   星期天派送</t>
  </si>
  <si>
    <t>江苏省 苏州市 姑苏区  金阊街道   闻钟苑11幢402</t>
  </si>
  <si>
    <t>No:9893592474</t>
  </si>
  <si>
    <t>'Anthea: GAV-Q6  黑框灰白网 检查好质量  后续补发椅套X1 头枕套X1</t>
  </si>
  <si>
    <t>我想取个短一点的名字</t>
  </si>
  <si>
    <t>徐惠英</t>
  </si>
  <si>
    <t>浙江省 湖州市 吴兴区 织里镇 中华西路368号(313000)</t>
  </si>
  <si>
    <t>'13735153753</t>
  </si>
  <si>
    <t>No:9893562539</t>
  </si>
  <si>
    <t>'Anthea: GAV-G12V 灰框灰网 检查好质量   后续赠品制作完成补发椅套X1  头枕套X1</t>
  </si>
  <si>
    <t>顶尖男孩_2008</t>
  </si>
  <si>
    <t>曹晓玲</t>
  </si>
  <si>
    <t>江苏省 扬州市 邗江区 新城西区新盛街道京华城路名门一品11幢302室(225100)</t>
  </si>
  <si>
    <t>'15380316688</t>
  </si>
  <si>
    <t>No:9893560034</t>
  </si>
  <si>
    <t>'Anthea: GAV-502  黑框黑网 赠小凳子 检查好质量  到达客户所在地需提前预约收件时间</t>
  </si>
  <si>
    <t>我爱我家人clx</t>
  </si>
  <si>
    <t>李美芬</t>
  </si>
  <si>
    <t>广东省 东莞市 null 塘厦镇清湖路20号好来居公寓(523000)</t>
  </si>
  <si>
    <t>'13790255786</t>
  </si>
  <si>
    <t>No:9893556495</t>
  </si>
  <si>
    <t>tb777506_88</t>
  </si>
  <si>
    <t>陈泽衍</t>
  </si>
  <si>
    <t>浙江省 杭州市 余杭区  乔司街道   葛家车村二十组37号</t>
  </si>
  <si>
    <t>'18367817776</t>
  </si>
  <si>
    <t>No:9893465950</t>
  </si>
  <si>
    <t>'Anthea: GAV-502 黑框黑网  铝合金脚 赠小凳子 检查好质量</t>
  </si>
  <si>
    <t>浙江省 杭州市 余杭区 乔司街道花漫里丰巢快递柜(311100)</t>
  </si>
  <si>
    <t>123刘国华</t>
  </si>
  <si>
    <t>刘国华</t>
  </si>
  <si>
    <t>广东省 东莞市 null 长安镇福海路日美日盛生鲜超市旁情缘住宿(523000)</t>
  </si>
  <si>
    <t>'18676675776</t>
  </si>
  <si>
    <t>No:9894024653</t>
  </si>
  <si>
    <t>烟梅子50222</t>
  </si>
  <si>
    <t>蒋冬梅</t>
  </si>
  <si>
    <t>上海 上海市 闵行区 七宝镇华林路228弄白雪公主4号楼802(000000)</t>
  </si>
  <si>
    <t>'18964547877</t>
  </si>
  <si>
    <t>No:9893426047</t>
  </si>
  <si>
    <t>zhangxinying899</t>
  </si>
  <si>
    <t>田一成</t>
  </si>
  <si>
    <t>云南省 玉溪市 红塔区 北城街道龙瑞小区6(000000)</t>
  </si>
  <si>
    <t>'13887779036</t>
  </si>
  <si>
    <t>No:9893413357</t>
  </si>
  <si>
    <t>金牌啊秀</t>
  </si>
  <si>
    <t>林尚秀</t>
  </si>
  <si>
    <t>广东省 惠州市 惠东县 广东省惠州市惠东县巽寮镇天后宫海隆旺海鲜饭店(516300)</t>
  </si>
  <si>
    <t>'13652883150</t>
  </si>
  <si>
    <t>No:9893391573</t>
  </si>
  <si>
    <t>小企的拉拉</t>
  </si>
  <si>
    <t>王思冰</t>
  </si>
  <si>
    <t>湖北省 武汉市 江岸区 二七街街道工农兵路16号(430014)</t>
  </si>
  <si>
    <t>'13971551297</t>
  </si>
  <si>
    <t>No:9893420730</t>
  </si>
  <si>
    <t>chenghanye</t>
  </si>
  <si>
    <t>程先生</t>
  </si>
  <si>
    <t>江苏省 苏州市 姑苏区 留园街道虎丘路虎丘新村20幢102(215000)</t>
  </si>
  <si>
    <t>'15716210946</t>
  </si>
  <si>
    <t>GAVEE高端人体工学电脑椅新款大班真皮办公家用护腰老板转座椅靠，GAVEE时尚椅子凳子 便捷家用餐椅休闲椅户外椅会议电脑椅子</t>
  </si>
  <si>
    <t>No:9893413393</t>
  </si>
  <si>
    <t>'Anthea: GAV-GT  灰白框黑网 赠小凳子 检查好质量</t>
  </si>
  <si>
    <t>名字取长点才行</t>
  </si>
  <si>
    <t>白松</t>
  </si>
  <si>
    <t>重庆 重庆市 大渡口区 八桥镇双山路198号雅居乐御宾府15栋701(000000)</t>
  </si>
  <si>
    <t>'13883901142</t>
  </si>
  <si>
    <t>No:9892970657</t>
  </si>
  <si>
    <t>'Anthea: GAV-G12V  黑框黑网  赠专属椅套X1 专属头枕套X1 检查好质量</t>
  </si>
  <si>
    <t>cp19930406</t>
  </si>
  <si>
    <t>陈鹏</t>
  </si>
  <si>
    <t>湖南省 株洲市 荷塘区 金山街道无线电十厂生活小区单身公寓406(410002)</t>
  </si>
  <si>
    <t>'18890216727</t>
  </si>
  <si>
    <t>No:9893011197</t>
  </si>
  <si>
    <t>'Anthea: GAV-G12V 黑框黑网  赠专属椅套X1 专属头枕套X1 检查好质量</t>
  </si>
  <si>
    <t>湖南省 株洲市 荷塘区 金山街道新华东路1297号(412000)</t>
  </si>
  <si>
    <t>江苏省 扬州市 邗江区 扬子津街道扬州江阳中路433号金天城大厦南京银行(225009)</t>
  </si>
  <si>
    <t>oo小叮当oo</t>
  </si>
  <si>
    <t>张艺涵</t>
  </si>
  <si>
    <t>四川省 乐山市 市中区 肖坝街道尖子山巷8号6栋4单元(614000)</t>
  </si>
  <si>
    <t>'18683380553</t>
  </si>
  <si>
    <t>No:9892970734</t>
  </si>
  <si>
    <t>'Anthea： GAV-G12V 黑框黑网  赠专属椅套X1 专属头枕套X1  检查好质量</t>
  </si>
  <si>
    <t>买七个对讲机</t>
  </si>
  <si>
    <t>李瑞</t>
  </si>
  <si>
    <t>安徽省 淮北市 杜集区 朔里镇朔里矿幸福村(000000)</t>
  </si>
  <si>
    <t>'18506185861</t>
  </si>
  <si>
    <t>No:9893000836</t>
  </si>
  <si>
    <t>朱迪zd</t>
  </si>
  <si>
    <t>朱迪</t>
  </si>
  <si>
    <t>江苏省 徐州市 沛县 沛城镇汉景华城南门西2号寒莹养生减肥(221600)</t>
  </si>
  <si>
    <t>'18552887568</t>
  </si>
  <si>
    <t>No:9893011225</t>
  </si>
  <si>
    <t>secainanhai</t>
  </si>
  <si>
    <t>康少</t>
  </si>
  <si>
    <t>湖南省 衡阳市 雁峰区 白沙洲街道白沙大道紫光阁旁边，天天快递代收(000000)</t>
  </si>
  <si>
    <t>'18627677966</t>
  </si>
  <si>
    <t>No:9892897983</t>
  </si>
  <si>
    <t>'Angela：GAV-Q6   灰白框橙色网  赠送座套+头套  检查好质量</t>
  </si>
  <si>
    <t>雪儿菲非</t>
  </si>
  <si>
    <t>董娜</t>
  </si>
  <si>
    <t>辽宁省 抚顺市 新抚区 新抚街道南台二路 石化大学教授公寓 4号楼 三单元302(000000)</t>
  </si>
  <si>
    <t>'15694236393</t>
  </si>
  <si>
    <t>No:9892826289</t>
  </si>
  <si>
    <t>'Angela：GAV-6211    普通版黑背红坐   检查好质量</t>
  </si>
  <si>
    <t>100蓝色心情100</t>
  </si>
  <si>
    <t>王艳</t>
  </si>
  <si>
    <t>安徽省 阜阳市 阜南县 鹿城镇汽车站斜对面文明旅社巷内电线杆左边(000000)</t>
  </si>
  <si>
    <t>'13601665958</t>
  </si>
  <si>
    <t>No:9892826284</t>
  </si>
  <si>
    <t>老虎吃青菜1</t>
  </si>
  <si>
    <t>陈娟娟</t>
  </si>
  <si>
    <t>浙江省 温州市 鹿城区 南汇街道浙江省温州市鹿城区温州市鹿城区东龙路东立景园2幢2单元1204室(325000)</t>
  </si>
  <si>
    <t>'13906662668</t>
  </si>
  <si>
    <t>No:9892765613</t>
  </si>
  <si>
    <t>'Angela：GAV-G12   灰框灰色  检查好质量，赠送头套+座套</t>
  </si>
  <si>
    <t>agoni落幕</t>
  </si>
  <si>
    <t>皇煜</t>
  </si>
  <si>
    <t>四川省 成都市 武侯区 芳草街道玉林北路2号2栋3单元7号(610041)</t>
  </si>
  <si>
    <t>'15390081006</t>
  </si>
  <si>
    <t>常胜将军1997</t>
  </si>
  <si>
    <t>史津铭</t>
  </si>
  <si>
    <t>吉林省 吉林市 龙潭区 龙潭街道东方二区15-3-602(000000)</t>
  </si>
  <si>
    <t>'13904413609</t>
  </si>
  <si>
    <t>No:9892735817</t>
  </si>
  <si>
    <t>pan861342148</t>
  </si>
  <si>
    <t>张涵</t>
  </si>
  <si>
    <t>山东省 济宁市 汶上县 中都街道阳光盈城1单元(272500)</t>
  </si>
  <si>
    <t>'18954069197</t>
  </si>
  <si>
    <t>No:9892752377</t>
  </si>
  <si>
    <t>气派猎鹰</t>
  </si>
  <si>
    <t>闫明宣</t>
  </si>
  <si>
    <t>河北省 石家庄市 栾城区 西营乡西营村(000000)</t>
  </si>
  <si>
    <t>'15533905940</t>
  </si>
  <si>
    <t>No:9892761746</t>
  </si>
  <si>
    <t>dinghan2006</t>
  </si>
  <si>
    <t>袁海义</t>
  </si>
  <si>
    <t>广东省 深圳市 龙华区 民治街道民康路秋瑞大厦606(518101)</t>
  </si>
  <si>
    <t>'13823169449</t>
  </si>
  <si>
    <t>No:9892761623</t>
  </si>
  <si>
    <t>'Angela：GAV-G12   黑框黑色  检查好质量   赠送座套+头套</t>
  </si>
  <si>
    <t>宅在新西兰</t>
  </si>
  <si>
    <t>曾露露3630</t>
  </si>
  <si>
    <t>广东省 深圳市 宝安区 福永街道广东省 深圳市 宝安区 福永街道 怀德翠岗工业二区23栋峰琳物流园(000000)</t>
  </si>
  <si>
    <t>'13620956578</t>
  </si>
  <si>
    <t>No:9892756410</t>
  </si>
  <si>
    <t>'Angela：GAV-G12   灰框红色  检查好质量，赠送头套+座套</t>
  </si>
  <si>
    <t>雨后春笋11双</t>
  </si>
  <si>
    <t>贾宽</t>
  </si>
  <si>
    <t>陕西省 西安市 未央区  大明宫街道   北辰村第六社区北区</t>
  </si>
  <si>
    <t>'13299008970</t>
  </si>
  <si>
    <t>No:9892415325</t>
  </si>
  <si>
    <t>'Anthea: GAV-G12V 黑框舒适棉座  椅套X1 头枕套X1 检查好质量</t>
  </si>
  <si>
    <t>yanhui870707</t>
  </si>
  <si>
    <t>闫慧</t>
  </si>
  <si>
    <t>河南省 商丘市 梁园区 平原街道区委 金地绿洲(000000)</t>
  </si>
  <si>
    <t>'15737006135</t>
  </si>
  <si>
    <t>No:9892425404</t>
  </si>
  <si>
    <t>'Anthea: GAV-8216A  黑框黑网带头枕X2 检查好质量</t>
  </si>
  <si>
    <t>陕西省 西安市 未央区 大明宫街道北二环大明宫汽车用品广场 C7-19(710016)</t>
  </si>
  <si>
    <t>jiaxinga7</t>
  </si>
  <si>
    <t>柳女士</t>
  </si>
  <si>
    <t>福建省 泉州市 南安市 柳城街道成功街1309号东方伟业城市广场沃尔玛(000000)</t>
  </si>
  <si>
    <t>'16652250721</t>
  </si>
  <si>
    <t>No:9892409049</t>
  </si>
  <si>
    <t>狼被围奸007</t>
  </si>
  <si>
    <t>简涛</t>
  </si>
  <si>
    <t>广东省 深圳市 宝安区 新安街道24区灶下村一坊九巷6号b(000000)</t>
  </si>
  <si>
    <t>'18603028909</t>
  </si>
  <si>
    <t>No:9892402687</t>
  </si>
  <si>
    <t>'Anthea: GAV-8216B  白框黑网带头枕  检查好质量</t>
  </si>
  <si>
    <t>戴继承5039</t>
  </si>
  <si>
    <t>戴继承</t>
  </si>
  <si>
    <t>安徽省 芜湖市 鸠江区 龙山街道波尔卡国际花园76栋05-06门面中国移动手机大卖场(241000)</t>
  </si>
  <si>
    <t>'15156302018</t>
  </si>
  <si>
    <t>No:9892361387</t>
  </si>
  <si>
    <t>'Anthea: GAV-X2 豪华版黑色  检查好质量</t>
  </si>
  <si>
    <t>tb96793_2011</t>
  </si>
  <si>
    <t>陈昊然</t>
  </si>
  <si>
    <t>安徽省 合肥市 高新区 香樟大道  澜溪镇  21#1501(230088)</t>
  </si>
  <si>
    <t>'15215693391</t>
  </si>
  <si>
    <t>No:9892336647</t>
  </si>
  <si>
    <t>'Angela：GAV-X2   升级版绿色 检查好质量</t>
  </si>
  <si>
    <t>紫轩尼尼尼</t>
  </si>
  <si>
    <t>高岩峰</t>
  </si>
  <si>
    <t>辽宁省 沈阳市 沈北新区 道义街道蒲北路30-3号新湖仙林金谷北区3-141(000000)</t>
  </si>
  <si>
    <t>'18900910527</t>
  </si>
  <si>
    <t>静静的等o</t>
  </si>
  <si>
    <t>谭文敬</t>
  </si>
  <si>
    <t>浙江省 金华市 婺城区 城北街道金竹路455号金竹苑(000000)</t>
  </si>
  <si>
    <t>'18558424559</t>
  </si>
  <si>
    <t>No:9892314693</t>
  </si>
  <si>
    <t>残心叶</t>
  </si>
  <si>
    <t>李肖媛</t>
  </si>
  <si>
    <t>山东省 济宁市 汶上县 中都街道南门新村天龙市场东门以北100米茶人之家后边第三家(272501)</t>
  </si>
  <si>
    <t>'15254761616</t>
  </si>
  <si>
    <t>No:9892201264</t>
  </si>
  <si>
    <t>教官杨</t>
  </si>
  <si>
    <t>杨春來</t>
  </si>
  <si>
    <t>辽宁省 大连市 沙河口区 南沙河口街道西山园中园15号楼1－102(116021)</t>
  </si>
  <si>
    <t>'13941157878</t>
  </si>
  <si>
    <t>No:9892164687</t>
  </si>
  <si>
    <t>'Angela：GAV-G12   灰框蓝色  检查好质量，赠送专用的头套+座套</t>
  </si>
  <si>
    <t>罗玉770880</t>
  </si>
  <si>
    <t>罗能群</t>
  </si>
  <si>
    <t>重庆 重庆市 江北区 铁山坪街道五里坪海尔工业园A01(000000)</t>
  </si>
  <si>
    <t>'15025478237</t>
  </si>
  <si>
    <t>No:9892196848</t>
  </si>
  <si>
    <t>linlibin1983</t>
  </si>
  <si>
    <t>林诗彬</t>
  </si>
  <si>
    <t>广东省 广州市 海珠区 南石头街道石岗路27号绿地滨江汇鑫楼2004(000000)</t>
  </si>
  <si>
    <t>'18073444444</t>
  </si>
  <si>
    <t>No:9892209167</t>
  </si>
  <si>
    <t>'Angela：GAV-801  升级版黑色  检查好质量</t>
  </si>
  <si>
    <t>w157376449</t>
  </si>
  <si>
    <t>王雨</t>
  </si>
  <si>
    <t>吉林省 延边朝鲜族自治州 汪清县 汪清林业局南山新村 7-4-201(133200)</t>
  </si>
  <si>
    <t>'13304477433</t>
  </si>
  <si>
    <t>mu0623</t>
  </si>
  <si>
    <t>李运洪</t>
  </si>
  <si>
    <t>广东省 深圳市 宝安区 新安街道宝安区新安三路一巷24号汇聚宝安湾智创园c栋503(518101)</t>
  </si>
  <si>
    <t>'18680524578</t>
  </si>
  <si>
    <t>GAVEE人体工学休闲电脑椅家用现代简约办公椅北欧升降转椅子靠背</t>
  </si>
  <si>
    <t>No:9891915676</t>
  </si>
  <si>
    <t>szzsjtlidazhen</t>
  </si>
  <si>
    <t>赵建平</t>
  </si>
  <si>
    <t>江苏省 苏州市 相城区 元和街道香城花园一区21幢601室(000000)</t>
  </si>
  <si>
    <t>'13606213546</t>
  </si>
  <si>
    <t>zhangjinzhi280</t>
  </si>
  <si>
    <t>张金枝</t>
  </si>
  <si>
    <t>湖北省 鄂州市 鄂城区 凤凰街道万佳凯旋城23栋(436000)</t>
  </si>
  <si>
    <t>'13886335920</t>
  </si>
  <si>
    <t>sunrain1122</t>
  </si>
  <si>
    <t>姜葳</t>
  </si>
  <si>
    <t>浙江省 杭州市 江干区 白杨街道世茂江滨花园瑞景湾9幢1单元603室(000000)</t>
  </si>
  <si>
    <t>'13906510607</t>
  </si>
  <si>
    <t>No:9891850743</t>
  </si>
  <si>
    <t>'Anthea: GAV-G12V 黑框黑网 赠专属椅套X1 专属头枕套X1  检查好质量</t>
  </si>
  <si>
    <t>松丹怡8100</t>
  </si>
  <si>
    <t>汪娇</t>
  </si>
  <si>
    <t>贵州省 毕节市 大方县 鼎新乡坡脚街上(551600)</t>
  </si>
  <si>
    <t>'15217250100</t>
  </si>
  <si>
    <t>GAVEE护脊人体工学椅电脑椅家用老板书房办公椅护腰可躺座转网椅，GAVEE人体工学电脑椅办公椅专用防脏头套，GAVEE人体工学电脑椅办公椅专用防尘椅套</t>
  </si>
  <si>
    <t>No:9891861074</t>
  </si>
  <si>
    <t>我的糖果是忧伤</t>
  </si>
  <si>
    <t>李明涛</t>
  </si>
  <si>
    <t>河南省 平顶山市 叶县 城关乡叶县城关乡韩丰村(467200)</t>
  </si>
  <si>
    <t>'15638664770</t>
  </si>
  <si>
    <t>No:9891853337</t>
  </si>
  <si>
    <t>tb081351811</t>
  </si>
  <si>
    <t>林生</t>
  </si>
  <si>
    <t>广东省 深圳市 龙华区 龙华街道清湖路40号贤华名苑d座(000000)</t>
  </si>
  <si>
    <t>'13267035572</t>
  </si>
  <si>
    <t>No:9891838473</t>
  </si>
  <si>
    <t>'Anthea: GAV-8216AM  黑框蓝网无头枕尼龙脚  检查好质量</t>
  </si>
  <si>
    <t>浙江省 湖州市 吴兴区 仁皇山街道湖州市浙江信息工程学校（湖州市长兴路1299号）(313000)</t>
  </si>
  <si>
    <t>爱你366天88</t>
  </si>
  <si>
    <t>王团结</t>
  </si>
  <si>
    <t>山东省 潍坊市 寒亭区 寒亭街道潍坊市滨海经济开发区央子街道滨城绿洲安爱国诊所(261100)</t>
  </si>
  <si>
    <t>'15069615899</t>
  </si>
  <si>
    <t>No:9891741435</t>
  </si>
  <si>
    <t xml:space="preserve">'Angela：G12V黑框蓝色 赠送头套+椅套   检查好质量 </t>
  </si>
  <si>
    <t>蘑菇xiia</t>
  </si>
  <si>
    <t>张伟梅</t>
  </si>
  <si>
    <t>江西省 吉安市 峡江县 峡江县工业园区新县城玉华名居(331409)</t>
  </si>
  <si>
    <t>'13755453829</t>
  </si>
  <si>
    <t>No:9891727881</t>
  </si>
  <si>
    <t>qq嫣然qq</t>
  </si>
  <si>
    <t>郝林东</t>
  </si>
  <si>
    <t>河北省 石家庄市 高邑县 万城乡东良庄村 村西(051330)</t>
  </si>
  <si>
    <t>'13803333916</t>
  </si>
  <si>
    <t>No:9891743746</t>
  </si>
  <si>
    <t>'st</t>
  </si>
  <si>
    <t>tb3870352</t>
  </si>
  <si>
    <t>陈智勇</t>
  </si>
  <si>
    <t>上海 上海市 徐汇区 田林街道田林六村11号楼603(000000)</t>
  </si>
  <si>
    <t>'17354103681</t>
  </si>
  <si>
    <t>No:9891706821</t>
  </si>
  <si>
    <t>'Angela:802黑框灰色 更换高脚配   检查好质量</t>
  </si>
  <si>
    <t>lsxlhbsyl</t>
  </si>
  <si>
    <t>宋月玲</t>
  </si>
  <si>
    <t>广东省 深圳市 福田区 华强北街道通新岭25栋205(518000)</t>
  </si>
  <si>
    <t>'18028738605</t>
  </si>
  <si>
    <t>No:9891318642</t>
  </si>
  <si>
    <t>'Anthea: GAV-G12V 黑框黑网 赠专属椅套x1，专属头枕套X1 检查好质量</t>
  </si>
  <si>
    <t>幸福专卖店200803</t>
  </si>
  <si>
    <t>唐小姐</t>
  </si>
  <si>
    <t>广东省 深圳市 罗湖区 莲塘街道鹏基工业区703栋西边207室(518002)</t>
  </si>
  <si>
    <t>'18025391649</t>
  </si>
  <si>
    <t>GAVEE工学精灵电脑椅家用北欧休闲椅现代简约餐椅时尚办公书房椅，GAVEE工学精灵电脑椅家用北欧休闲椅现代简约餐椅时尚办公书房椅</t>
  </si>
  <si>
    <t>No:9891322755</t>
  </si>
  <si>
    <t>小胖</t>
  </si>
  <si>
    <t>广东省 深圳市 罗湖区 东晓街道太白路松泉山庄11栋704(518002)</t>
  </si>
  <si>
    <t>马奕扬</t>
  </si>
  <si>
    <t>江苏省 南京市 江宁区 东山街道双龙大道833号 南方花园枫彩园13幢405(000000)</t>
  </si>
  <si>
    <t>'18762406287</t>
  </si>
  <si>
    <t>No:9891308955</t>
  </si>
  <si>
    <t>'Anthea: GAV-G12V 黑框舒适棉座  专属椅套X1  专属头枕套X1 检查好质量</t>
  </si>
  <si>
    <t>liuliang_1982</t>
  </si>
  <si>
    <t>刘靓</t>
  </si>
  <si>
    <t>重庆 重庆市 渝北区 人和街道玥湖路1号玥湖园一期7幢1单元5-1(000000)</t>
  </si>
  <si>
    <t>'13996339691</t>
  </si>
  <si>
    <t>No:9891327709</t>
  </si>
  <si>
    <t>'Anthea: GAV-8216B 白框蓝网带头枕  尼龙椅脚  检查好质量</t>
  </si>
  <si>
    <t>shuminjie9</t>
  </si>
  <si>
    <t>舒敏杰</t>
  </si>
  <si>
    <t>浙江省 金华市 东阳市 白云街道平川路333号南岸名城7栋2单元302(322100)</t>
  </si>
  <si>
    <t>'13506592671</t>
  </si>
  <si>
    <t>No:9891261493</t>
  </si>
  <si>
    <t>'Anthea: GAV-G12V 灰框咖啡网  专属椅套X1 专属头枕套X1  检查好质量</t>
  </si>
  <si>
    <t>cwgbb</t>
  </si>
  <si>
    <t>陈伟</t>
  </si>
  <si>
    <t>辽宁省 沈阳市 皇姑区  辽河街道   岐山东路9-4号乐天圣苑1号楼 3506</t>
  </si>
  <si>
    <t>'13840386920</t>
  </si>
  <si>
    <t>No:9891258626</t>
  </si>
  <si>
    <t>'Anthea: GAV-G12V  黑框舒适棉 专属椅套X1  专属头枕套X1 检查好质量</t>
  </si>
  <si>
    <t>沈丁丁2013</t>
  </si>
  <si>
    <t>沈洲旭</t>
  </si>
  <si>
    <t>浙江省 宁波市 江北区 文教街道江北区清河路 北岸琴森24幢1601(315020)</t>
  </si>
  <si>
    <t>'15757134307</t>
  </si>
  <si>
    <t>辽宁省 沈阳市 皇姑区 辽河街道岐山东路9-4号 乐天圣苑 1号楼-35层-6#(110031)</t>
  </si>
  <si>
    <t>上海 上海市 静安区 彭浦新村街道新汾小区保德路891弄3号楼104室(000000)</t>
  </si>
  <si>
    <t>1352127698lichenyang</t>
  </si>
  <si>
    <t>李晨阳</t>
  </si>
  <si>
    <t>广东省 江门市 鹤山市 雅瑶镇沙坪镇赤坎工业区十里方圆九章一栋对面方晟建筑项目部(529700)</t>
  </si>
  <si>
    <t>'18603423025</t>
  </si>
  <si>
    <t>No:9891270980</t>
  </si>
  <si>
    <t>一样儿儿</t>
  </si>
  <si>
    <t>姜波</t>
  </si>
  <si>
    <t>吉林省 吉林市 昌邑区 延安街道嫩江街华业国际城B区二号楼二单元903室(132002)</t>
  </si>
  <si>
    <t>'13331612667</t>
  </si>
  <si>
    <t>No:9891276568</t>
  </si>
  <si>
    <t>tb98863989</t>
  </si>
  <si>
    <t>常艳艳</t>
  </si>
  <si>
    <t>河南省 南阳市 唐河县 黑龙镇河南省南阳市唐河县黑龙镇黑龙镇街(000000)</t>
  </si>
  <si>
    <t>'18338343007</t>
  </si>
  <si>
    <t>No:9891261153</t>
  </si>
  <si>
    <t>wxflovewxa</t>
  </si>
  <si>
    <t>王鑫</t>
  </si>
  <si>
    <t>河南省 济源市 null 济源市北海街道北海街道 北海大道118号星湖湾5号楼(454650)</t>
  </si>
  <si>
    <t>'15603916090</t>
  </si>
  <si>
    <t>hatayl</t>
  </si>
  <si>
    <t>杨磊</t>
  </si>
  <si>
    <t>重庆 重庆市 江北区 观音桥街道北兴路18号国兴北岸江山东区9-8-7(000000)</t>
  </si>
  <si>
    <t>'15023193330</t>
  </si>
  <si>
    <t>张福顺986494052478</t>
  </si>
  <si>
    <t>张福顺</t>
  </si>
  <si>
    <t>福建省 漳州市 云霄县 莆美镇将军大道泰景12 号后面第五冻第三间，演武亭484 号(000000)</t>
  </si>
  <si>
    <t>'13859226060</t>
  </si>
  <si>
    <t>No:9891251276</t>
  </si>
  <si>
    <t>'Angela：GAV-8216B   白框黑色带头枕 检查好质量</t>
  </si>
  <si>
    <t>cao2777</t>
  </si>
  <si>
    <t>曹雄</t>
  </si>
  <si>
    <t>湖南省 邵阳市 邵东县 宋家塘街道白沙路107号（邵东县农村公路管理所）(422800)</t>
  </si>
  <si>
    <t>'17773952282</t>
  </si>
  <si>
    <t>liang09412</t>
  </si>
  <si>
    <t>梁松岚</t>
  </si>
  <si>
    <t>黑龙江省 哈尔滨市 南岗区 保健路街道大众新城1期103栋6单元502(150086)</t>
  </si>
  <si>
    <t>'13836136211</t>
  </si>
  <si>
    <t>No:9891276622</t>
  </si>
  <si>
    <t>'Angela：GAV-T11DE  黑色  检查好质量</t>
  </si>
  <si>
    <t>asdmeili</t>
  </si>
  <si>
    <t>张凯莉</t>
  </si>
  <si>
    <t>河南省 郑州市 中牟县 祥云街道祥云办事处  四港联动大道席庄红绿灯路口，祥云派出所(451450)</t>
  </si>
  <si>
    <t>'13271286390</t>
  </si>
  <si>
    <t>No:9891278826</t>
  </si>
  <si>
    <t>招财猫200808</t>
  </si>
  <si>
    <t>杨立秀</t>
  </si>
  <si>
    <t>北京 北京市 昌平区 回龙观街道新龙城33号楼11单元101底商烟酒行(102209)</t>
  </si>
  <si>
    <t>'15210547177</t>
  </si>
  <si>
    <t>No:9890932682</t>
  </si>
  <si>
    <t>tb044130552</t>
  </si>
  <si>
    <t>陈微</t>
  </si>
  <si>
    <t>江西省 吉安市 峡江县 水边镇东升宾馆前100米佩贝便利店(000000)</t>
  </si>
  <si>
    <t>'18079678171</t>
  </si>
  <si>
    <t>No:9890922758</t>
  </si>
  <si>
    <t>可可高原</t>
  </si>
  <si>
    <t>董蕾</t>
  </si>
  <si>
    <t>河南省 周口市 郸城县 洺南街道张小庄桥珍香园附近(000000)</t>
  </si>
  <si>
    <t>'17600486723</t>
  </si>
  <si>
    <t>No:9890930001</t>
  </si>
  <si>
    <t>likexincaoli</t>
  </si>
  <si>
    <t>曹丽</t>
  </si>
  <si>
    <t>江苏省 徐州市 云龙区 润金城1期A3号楼二单元703(220009)</t>
  </si>
  <si>
    <t>'17712115354</t>
  </si>
  <si>
    <t>No:9890922759</t>
  </si>
  <si>
    <t>chlo_music</t>
  </si>
  <si>
    <t>羅志慶</t>
  </si>
  <si>
    <t>香港特别行政区 新界 西贡区 新界調景嶺維景灣畔11座35樓E室(810304)</t>
  </si>
  <si>
    <t>'85296249522</t>
  </si>
  <si>
    <t>No:232400386975</t>
  </si>
  <si>
    <t xml:space="preserve">'Angela:G12V黑框蓝色  检查好质量 赠送头套+椅套 </t>
  </si>
  <si>
    <t>神州-2033699261</t>
  </si>
  <si>
    <t>广东省 东莞市 null 洪梅镇广东省东莞市洪梅镇沙望路正腾工业区神州集运转lobaba(2033699261)(523000)</t>
  </si>
  <si>
    <t>'13532580699</t>
  </si>
  <si>
    <t>夜夜撸加多撸</t>
  </si>
  <si>
    <t>杜润</t>
  </si>
  <si>
    <t>江苏省 苏州市 虎丘区 横塘街道汇金新地15-111号汇金公馆(215000)</t>
  </si>
  <si>
    <t>'18556860607</t>
  </si>
  <si>
    <t>No:9890831989</t>
  </si>
  <si>
    <t>'Angela:G12V黑框黑色 赠送专用头套+椅套  检查好质量</t>
  </si>
  <si>
    <t>ycgqhy</t>
  </si>
  <si>
    <t>陈前友</t>
  </si>
  <si>
    <t>浙江省 嘉兴市 秀洲区 高照街道中山西路嘉欣丝绸工业园10号楼优佳公司(314031)</t>
  </si>
  <si>
    <t>'13967387362</t>
  </si>
  <si>
    <t>No:9890821878</t>
  </si>
  <si>
    <t>'Angela: G12黑框黑色 送脚踏*1  头套*1 椅套 *1检查好质量  开发票</t>
  </si>
  <si>
    <t>anscn11</t>
  </si>
  <si>
    <t>牛飞</t>
  </si>
  <si>
    <t>北京 北京市 朝阳区 朝外街道19号华普国际大厦911(000000)</t>
  </si>
  <si>
    <t>'13501089599</t>
  </si>
  <si>
    <t>No:9890845503</t>
  </si>
  <si>
    <t>'Angela:Q6白框灰白网 检查好质量  赠送头套+椅套</t>
  </si>
  <si>
    <t xml:space="preserve">'ANGELA </t>
  </si>
  <si>
    <t>chenyefei0914</t>
  </si>
  <si>
    <t>陈烨菲</t>
  </si>
  <si>
    <t>江西省 萍乡市 莲花县 琴亭镇莲花县人民医院内三科(337100)</t>
  </si>
  <si>
    <t>'18979925680</t>
  </si>
  <si>
    <t>香甜橘子皮</t>
  </si>
  <si>
    <t>胡丽婷</t>
  </si>
  <si>
    <t>北京 北京市 丰台区 丰台街道丰体南路8号院3号楼1115(000000)</t>
  </si>
  <si>
    <t>'18817366467</t>
  </si>
  <si>
    <t>No:9890481029</t>
  </si>
  <si>
    <t>'Anthea:  GAV-M6  黑色普通版X2  检查好质量</t>
  </si>
  <si>
    <t>张晓红</t>
  </si>
  <si>
    <t>北京 北京市 朝阳区 劲松街道广渠路38号北京一轻大厦西区1117房间(100011)</t>
  </si>
  <si>
    <t>'13621148952</t>
  </si>
  <si>
    <t>GAVEE 人体工学椅 电脑椅家用转椅网椅 升降办公椅子 可躺老板椅，GAVEE移动躺舒宝 透气网布升降脚踏 新一代时尚椅子脚凳放松脚托</t>
  </si>
  <si>
    <t>No:9890849404</t>
  </si>
  <si>
    <t>'Anthea:  GAV-801  黑色升级版自带脚托  赠专属椅套*1，专属头枕套*1  检查好质量  客户星期一才有空收件</t>
  </si>
  <si>
    <t>love李家小玉儿</t>
  </si>
  <si>
    <t>李梅玉</t>
  </si>
  <si>
    <t>浙江省 丽水市 青田县 温溪镇丽水市青田县温溪镇安康小区B栋一单元202室(000000)</t>
  </si>
  <si>
    <t>'18674586535</t>
  </si>
  <si>
    <t>No:9890482807</t>
  </si>
  <si>
    <t>白利芳90</t>
  </si>
  <si>
    <t>白利芳</t>
  </si>
  <si>
    <t>河南省 开封市 龙亭区 河南开封经济开发区汉兴路128号开封市联通公司(475002)</t>
  </si>
  <si>
    <t>'15637800198</t>
  </si>
  <si>
    <t>No:9890334257</t>
  </si>
  <si>
    <t>xy韩妆</t>
  </si>
  <si>
    <t>杨生</t>
  </si>
  <si>
    <t>广东省 深圳市 龙华区 龙华街道广东省深圳市龙华区雪岗北路324号凤天创新科技园韵达快递，杨生13556043958(000)</t>
  </si>
  <si>
    <t>'13556043958</t>
  </si>
  <si>
    <t>No:9890310516</t>
  </si>
  <si>
    <t>'Angela：GAV-M6   黑色*2  检查好质量</t>
  </si>
  <si>
    <t>董彦贞</t>
  </si>
  <si>
    <t>河北省 石家庄市 裕华区 宋营镇东仰陵村石门酒楼(050081)</t>
  </si>
  <si>
    <t>'13472113466</t>
  </si>
  <si>
    <t>No:9890296950</t>
  </si>
  <si>
    <t>sanlang120</t>
  </si>
  <si>
    <t>王建峰</t>
  </si>
  <si>
    <t>浙江省 嘉兴市 南湖区 南湖街道烟雨路探花苑8-808室(314000)</t>
  </si>
  <si>
    <t>'13736853304</t>
  </si>
  <si>
    <t>tb20056065</t>
  </si>
  <si>
    <t>林星星</t>
  </si>
  <si>
    <t>福建省 厦门市 湖里区 江头街道东方财富广场02-1002(000000)</t>
  </si>
  <si>
    <t>'18750013120</t>
  </si>
  <si>
    <t>No:9890311811</t>
  </si>
  <si>
    <t>chengsheng110</t>
  </si>
  <si>
    <t>成城</t>
  </si>
  <si>
    <t>湖南省 株洲市 荷塘区 金山街道金山路500号。 有小卖部的那一栋 7楼成家衣品(000000)</t>
  </si>
  <si>
    <t>'18890226469</t>
  </si>
  <si>
    <t>No:9890314268</t>
  </si>
  <si>
    <t>'Angela：GAV-G12V   黑框黑色棉，赠送座套+头套  检查好质量</t>
  </si>
  <si>
    <t>夏小沫代购店</t>
  </si>
  <si>
    <t>吕沐</t>
  </si>
  <si>
    <t>吉林省 长春市 二道区 荣光街道郁金花园17栋1门102长拖社区(130031)</t>
  </si>
  <si>
    <t>'18166850303</t>
  </si>
  <si>
    <t>No:9890309614</t>
  </si>
  <si>
    <t>tiao8988</t>
  </si>
  <si>
    <t>覃凤挑</t>
  </si>
  <si>
    <t>广西壮族自治区 来宾市 兴宾区 河西街道来宾市天然桥路(来宾市工人文化内广西俊发酒店)(546100)</t>
  </si>
  <si>
    <t>'18278288153</t>
  </si>
  <si>
    <t>No:9890286655</t>
  </si>
  <si>
    <t>y3jhy3jh</t>
  </si>
  <si>
    <t>杨舰辉</t>
  </si>
  <si>
    <t>天津 天津市 河西区 桃园街道天津市河西区永安道罗马花园二期乙座4门601室(300042)</t>
  </si>
  <si>
    <t>'13902065588</t>
  </si>
  <si>
    <t>mmkk8899</t>
  </si>
  <si>
    <t>吕一平</t>
  </si>
  <si>
    <t>河南省 郑州市 金水区 未来路街道英协路天佑小区4号楼1单元0701(450000)</t>
  </si>
  <si>
    <t>'13838186975</t>
  </si>
  <si>
    <t>xiansam</t>
  </si>
  <si>
    <t>冼生</t>
  </si>
  <si>
    <t>广东省 广州市 越秀区 大塘街道德政北路538号达信大厦(510000)</t>
  </si>
  <si>
    <t>'18688392202</t>
  </si>
  <si>
    <t>panshare001</t>
  </si>
  <si>
    <t>潘利国</t>
  </si>
  <si>
    <t>浙江省 宁波市 鄞州区 潘火街道甬骅路宜家花园二期11幢501室(315000)</t>
  </si>
  <si>
    <t>'18606603532</t>
  </si>
  <si>
    <t>callme蟹老板</t>
  </si>
  <si>
    <t>谢艳婷</t>
  </si>
  <si>
    <t>河南省 周口市 太康县 马厂镇王老家村(000000)</t>
  </si>
  <si>
    <t>'13213337670</t>
  </si>
  <si>
    <t>No:9890284289</t>
  </si>
  <si>
    <t>幸福昂恩</t>
  </si>
  <si>
    <t>Eva Gu</t>
  </si>
  <si>
    <t>上海 上海市 静安区 天目西路街道恒丰路399号达邦协作广场 27楼 凯帝珂广告(000000)</t>
  </si>
  <si>
    <t>'13524697090</t>
  </si>
  <si>
    <t>No:9889732689</t>
  </si>
  <si>
    <t>my樱花飘落的季节198510</t>
  </si>
  <si>
    <t>陈梅英</t>
  </si>
  <si>
    <t>广东省 中山市 null 横栏镇乐丰五路19号B栋豪华电梯公寓(000000)</t>
  </si>
  <si>
    <t>'15907656130</t>
  </si>
  <si>
    <t>No:9889748170</t>
  </si>
  <si>
    <t>老覃braver</t>
  </si>
  <si>
    <t>覃勇</t>
  </si>
  <si>
    <t>湖北省 武汉市 江岸区 花桥街街道花桥街办事处 江大路20号大江天际1栋2单元603(000000)</t>
  </si>
  <si>
    <t>'13886068921</t>
  </si>
  <si>
    <t>No:9889727341</t>
  </si>
  <si>
    <t>zhangning13641087818</t>
  </si>
  <si>
    <t>张志会</t>
  </si>
  <si>
    <t>河南省 周口市 西华县 田口乡张大楼村079号，请电话提前联系，谢谢！(466001)</t>
  </si>
  <si>
    <t>'15238851454</t>
  </si>
  <si>
    <t>No:9889722369</t>
  </si>
  <si>
    <t>tb002437466</t>
  </si>
  <si>
    <t>李先生</t>
  </si>
  <si>
    <t>广东省 深圳市 福田区 福田街道京地大厦2203(000000)</t>
  </si>
  <si>
    <t>'19928710830</t>
  </si>
  <si>
    <t>No:9889752338</t>
  </si>
  <si>
    <t>'Angela：GAV-G12   黑框黑色  检查好质量  开票：深圳市祥华投资发展有限公司</t>
  </si>
  <si>
    <t>广东省 深圳市 福田区 南园街道玉田大厦向东围西村泊寓三栋704(000000)</t>
  </si>
  <si>
    <t>yjm_m</t>
  </si>
  <si>
    <t>庾小姐</t>
  </si>
  <si>
    <t>广东省 广州市 花都区 新华街道金钟路30号中新花园(510800)</t>
  </si>
  <si>
    <t>'13725224871</t>
  </si>
  <si>
    <t>No:9889722370</t>
  </si>
  <si>
    <t>缘定今生1154</t>
  </si>
  <si>
    <t>温花花</t>
  </si>
  <si>
    <t>河南省 焦作市 武陟县 西陶镇北阳村-组(454981)</t>
  </si>
  <si>
    <t>'13782899855</t>
  </si>
  <si>
    <t>No:9889750236</t>
  </si>
  <si>
    <t>wye603118189</t>
  </si>
  <si>
    <t>王先生</t>
  </si>
  <si>
    <t>云南省 保山市 隆阳区 永昌街道御景东方商铺智慧家居(678000)</t>
  </si>
  <si>
    <t>'13987549647</t>
  </si>
  <si>
    <t>No:9889730084</t>
  </si>
  <si>
    <t>snyangr</t>
  </si>
  <si>
    <t>杨仁</t>
  </si>
  <si>
    <t>湖南省 长沙市 雨花区 黎托街道雨花区古曲南路198号茂华国际湘B3栋二单元104房(410007)</t>
  </si>
  <si>
    <t>'13755105635</t>
  </si>
  <si>
    <t>No:9889746021</t>
  </si>
  <si>
    <t>'Alan：GAV-G12   黑框黑色   检查好质量   赠送座套+头套</t>
  </si>
  <si>
    <t>王越0322</t>
  </si>
  <si>
    <t>王越</t>
  </si>
  <si>
    <t>河北省 唐山市 路北区 缸窑街道金鼎园4-2-402(063000)</t>
  </si>
  <si>
    <t>'15930453305</t>
  </si>
  <si>
    <t>No:9889327331</t>
  </si>
  <si>
    <t>'Alan: GAV-G12V  黑框黑网  检查好质量</t>
  </si>
  <si>
    <t>江苏省 南京市 江宁区 秣陵街道托乐嘉单身公寓西3-105(000000)</t>
  </si>
  <si>
    <t>欲问君</t>
  </si>
  <si>
    <t>郁汶君</t>
  </si>
  <si>
    <t>江苏省 徐州市 泉山区 和平街道水漫桥路怡然庭院放曼桥快递柜(221000)</t>
  </si>
  <si>
    <t>'18796222031</t>
  </si>
  <si>
    <t>No:9889331614</t>
  </si>
  <si>
    <t>美丽在线7758521</t>
  </si>
  <si>
    <t>陈爱容</t>
  </si>
  <si>
    <t>河南省 三门峡市 湖滨区 河南三门峡经济开发区分陕路滨溪花园2号楼4单元2楼(000000)</t>
  </si>
  <si>
    <t>'15539839860</t>
  </si>
  <si>
    <t>No:9889199306</t>
  </si>
  <si>
    <t>hsiu720124</t>
  </si>
  <si>
    <t>潘燕</t>
  </si>
  <si>
    <t>福建省 宁德市 周宁县 咸村镇川中村福兴路十巷2号(000000)</t>
  </si>
  <si>
    <t>'15160187563</t>
  </si>
  <si>
    <t>No:9889203925</t>
  </si>
  <si>
    <t>tb82751002</t>
  </si>
  <si>
    <t>王朝秀</t>
  </si>
  <si>
    <t>广东省 惠州市 惠阳区 秋长街道广东省惠州市惠阳区秋长镇金秋大道桔园路博新电子斜对面黄色租房(000000)</t>
  </si>
  <si>
    <t>'13765950885</t>
  </si>
  <si>
    <t>No:9889207128</t>
  </si>
  <si>
    <t>萱丫头162420869</t>
  </si>
  <si>
    <t>陈红笑</t>
  </si>
  <si>
    <t>江苏省 南通市 港闸区 永兴街道天安数码城6栋611(000000)</t>
  </si>
  <si>
    <t>'18862967772</t>
  </si>
  <si>
    <t>No:9889202402</t>
  </si>
  <si>
    <t>魏巍2015</t>
  </si>
  <si>
    <t>魏巍</t>
  </si>
  <si>
    <t>陕西省 西安市 未央区 谭家街道祥和居小区(000000)</t>
  </si>
  <si>
    <t>'17791458322</t>
  </si>
  <si>
    <t>No:9889193892</t>
  </si>
  <si>
    <t>sulovesj</t>
  </si>
  <si>
    <t>杜明凤</t>
  </si>
  <si>
    <t>北京 北京市 海淀区 北下关街道西直门外上园村3号北京交通大学南门(000000)</t>
  </si>
  <si>
    <t>'13126572379</t>
  </si>
  <si>
    <t>肖凤飞314</t>
  </si>
  <si>
    <t>孙洪涛</t>
  </si>
  <si>
    <t>辽宁省 大连市 沙河口区    星海湾街道 连山街123号A座401室</t>
  </si>
  <si>
    <t>'17896218815</t>
  </si>
  <si>
    <t>【狂欢价】GAVEE护脊人体工学椅电脑椅家用老板书房办公椅护腰可躺座转网椅</t>
  </si>
  <si>
    <t>No:8344277045</t>
  </si>
  <si>
    <t>'Alan: GAV-G12V  黑框黑网 检查好质量</t>
  </si>
  <si>
    <t>tb201675_99</t>
  </si>
  <si>
    <t>王楠雅</t>
  </si>
  <si>
    <t>江苏省 苏州市 园区 东平街276号悉地勘察设计顾问有限公司(215000)</t>
  </si>
  <si>
    <t>'13222287721</t>
  </si>
  <si>
    <t>No:8344276351</t>
  </si>
  <si>
    <t>'Angela: GAV-G12V  灰框灰网 检查好质量</t>
  </si>
  <si>
    <t>箬莅宝</t>
  </si>
  <si>
    <t>湖北省 武汉市 洪山区    卓刀泉街道 楚康路城投瀚城315栋2单元1楼B户</t>
  </si>
  <si>
    <t>'13476079328</t>
  </si>
  <si>
    <t>No:8344276306</t>
  </si>
  <si>
    <t>'Alan: GAV-G12V 黑框黑网  检查好质量</t>
  </si>
  <si>
    <t>林海珊</t>
  </si>
  <si>
    <t>上海 上海市 嘉定区    安亭镇 安亭安拓路155号6号1901室 1901</t>
  </si>
  <si>
    <t>No:8344276296</t>
  </si>
  <si>
    <t>'Alan: GAV-G12V  黑框红网  检查好质量</t>
  </si>
  <si>
    <t>一切随缘760915</t>
  </si>
  <si>
    <t>王乐飞</t>
  </si>
  <si>
    <t>山东省 莱芜市 莱城区    凤城街道 龙潭东大街98号清水湾大公馆1号楼东一单元702室</t>
  </si>
  <si>
    <t>'13853216563</t>
  </si>
  <si>
    <t>No:8344276282</t>
  </si>
  <si>
    <t>'Alan: GAV-G12V 黑框蓝网 检查好质量</t>
  </si>
  <si>
    <t>影夜迷蒙</t>
  </si>
  <si>
    <t>文韬</t>
  </si>
  <si>
    <t>湖南省 郴州市 苏仙区    王仙岭街道 爱莲花园3栋403</t>
  </si>
  <si>
    <t>'18002579004</t>
  </si>
  <si>
    <t>No:8344276272</t>
  </si>
  <si>
    <t>'Alan: GAV-G12V  黑框舒适棉  检查好质量</t>
  </si>
  <si>
    <t>tb9627172</t>
  </si>
  <si>
    <t>王槐杭</t>
  </si>
  <si>
    <t>江苏省 镇江市 丹阳市    延陵镇 万善路西顶头200米宏利石材</t>
  </si>
  <si>
    <t>'15952921661</t>
  </si>
  <si>
    <t>No:8344276233</t>
  </si>
  <si>
    <t>'Alan:  GAV-G12V  黑框黑网 检查好质量</t>
  </si>
  <si>
    <t>chengwzn</t>
  </si>
  <si>
    <t>吴晓</t>
  </si>
  <si>
    <t>河南省 焦作市 山阳区    定和街道 焦东路市技校对面姜河小区综合楼</t>
  </si>
  <si>
    <t>'15039169083（旧：'18639101120）</t>
  </si>
  <si>
    <t>No:8344276219</t>
  </si>
  <si>
    <t>'Angela: GAV-G12V  黑框黑网 检查好质量</t>
  </si>
  <si>
    <t>杜灿灿622</t>
  </si>
  <si>
    <t>杜灿灿</t>
  </si>
  <si>
    <t>河南省 平顶山市 宝丰县    肖旗乡 韩店村</t>
  </si>
  <si>
    <t>'18768991965</t>
  </si>
  <si>
    <t>No:8344276209</t>
  </si>
  <si>
    <t>yzc880</t>
  </si>
  <si>
    <t>杨真成</t>
  </si>
  <si>
    <t>广西壮族自治区 防城港市 东兴市    东兴镇 观湖苑48号</t>
  </si>
  <si>
    <t>'13788206199</t>
  </si>
  <si>
    <t>No:8344201410</t>
  </si>
  <si>
    <t>'Angela：GAV-G12  灰框灰色 检查好质量</t>
  </si>
  <si>
    <t>wuchaohuang</t>
  </si>
  <si>
    <t>吴朝石</t>
  </si>
  <si>
    <t>福建省 莆田市 城厢区    龙桥街道 华秀路333 欧氏领秀12号楼1503 请送后门云柜</t>
  </si>
  <si>
    <t>'18206045616</t>
  </si>
  <si>
    <t>No:8344197033</t>
  </si>
  <si>
    <t>'Angela: GAV-8216A  黑框带头枕尼龙脚  检查好质量</t>
  </si>
  <si>
    <t>sj802065125</t>
  </si>
  <si>
    <t>宋宋</t>
  </si>
  <si>
    <t>内蒙古自治区 呼和浩特市 新城区    成吉思汗大街街道 金色华府小区</t>
  </si>
  <si>
    <t>'17704808306</t>
  </si>
  <si>
    <t>No:8344202693</t>
  </si>
  <si>
    <t>gsy000001</t>
  </si>
  <si>
    <t>高时扬</t>
  </si>
  <si>
    <t>山东省 济南市 市中区    兴隆街道 二环东路12550号山东大学兴隆山校区南山小区6号楼1-102号</t>
  </si>
  <si>
    <t>'13953159972</t>
  </si>
  <si>
    <t>【狂欢价】GAVEE 人体工学椅电脑椅家用书房转椅护腰办公椅子老板座椅电竞椅，GAVEE人体工学电脑椅办公椅专用防脏头套</t>
  </si>
  <si>
    <t>No:8344145387</t>
  </si>
  <si>
    <t>'Angela：GAV-Q6   黑框龙纹灰白网  检查好质量  赠送头套</t>
  </si>
  <si>
    <t>欧阳节米</t>
  </si>
  <si>
    <t>欧阳淼淼</t>
  </si>
  <si>
    <t>云南省 玉溪市 红塔区    大营街街道 云南省玉溪市红塔区大营街景和苑7幢1单元602室</t>
  </si>
  <si>
    <t>'18787781535</t>
  </si>
  <si>
    <t>No:8344145981</t>
  </si>
  <si>
    <t>dayong13818703895</t>
  </si>
  <si>
    <t>袁小姐</t>
  </si>
  <si>
    <t>江苏省 苏州市 昆山市    花桥镇 绿地大道199弄启航社河东小区30栋102室</t>
  </si>
  <si>
    <t>'18621913495</t>
  </si>
  <si>
    <t>No:8344149071</t>
  </si>
  <si>
    <t>随便老婆</t>
  </si>
  <si>
    <t>冯韵</t>
  </si>
  <si>
    <t>云南省 玉溪市 红塔区    李棋街道 玉溪二小区</t>
  </si>
  <si>
    <t>'13529766013</t>
  </si>
  <si>
    <t>【狂欢价】GAVEE 人体工学椅电脑椅家用书房转椅护腰办公椅子老板座椅电竞椅，GAVEE人体工学电脑椅办公椅专用防尘椅套</t>
  </si>
  <si>
    <t>No:8344146714</t>
  </si>
  <si>
    <t>ccsshh4</t>
  </si>
  <si>
    <t>陈诗翰</t>
  </si>
  <si>
    <t>江苏省 苏州市 吴中区    郭巷街道 工业园区若水路398号 中科院苏州纳米所</t>
  </si>
  <si>
    <t>'15949278386</t>
  </si>
  <si>
    <t>【狂欢价】GAVEE人体工学电脑椅家用书房护腰办公椅学生网椅转椅简约电竞椅，GAVEE人体工学电脑椅办公椅专用防脏头套</t>
  </si>
  <si>
    <t>No:8344147413</t>
  </si>
  <si>
    <t>horsewen</t>
  </si>
  <si>
    <t>马海海</t>
  </si>
  <si>
    <t>湖南省 邵阳市 双清区    东风路街道 宝庆东路双龙紫薇园一号院4栋701</t>
  </si>
  <si>
    <t>'13395801986</t>
  </si>
  <si>
    <t>【狂欢价】GAVEE护脊人体工学椅电脑椅家用老板书房办公椅护腰可躺座转网椅，GAVEE人体工学电脑椅办公椅专用防尘椅套</t>
  </si>
  <si>
    <t>No:8344093345</t>
  </si>
  <si>
    <t>'Angela：GAV-G12V  黑框黑色棉*2   赠送专用座套*2   检查好质量</t>
  </si>
  <si>
    <t>tb239645298</t>
  </si>
  <si>
    <t>赵文翰</t>
  </si>
  <si>
    <t>辽宁省 鞍山市 立山区    红旗街道 灵秀花园2A19</t>
  </si>
  <si>
    <t>'15042234479</t>
  </si>
  <si>
    <t>No:8343984438</t>
  </si>
  <si>
    <t>'Alan：GAV-802   黑框黑色 检查好质量</t>
  </si>
  <si>
    <t>杀无赦无悔</t>
  </si>
  <si>
    <t>王星洲</t>
  </si>
  <si>
    <t>陕西省 榆林市 榆阳区    航宇路街道 陕西省榆林市开发区桃园小区8号楼1单元202室</t>
  </si>
  <si>
    <t>'15619910105</t>
  </si>
  <si>
    <t>No:8343984204</t>
  </si>
  <si>
    <t>'Alan： GAV-802 黑框黑网  专属黑色脚踏*1 检查好质量</t>
  </si>
  <si>
    <t>No:8344166779</t>
  </si>
  <si>
    <t>hiroulei</t>
  </si>
  <si>
    <t>盛雷</t>
  </si>
  <si>
    <t>浙江省 杭州市 拱墅区    祥符街道 学院北路与润园街交叉口碧桂园西江月（碧月华庭）2幢1单元401室</t>
  </si>
  <si>
    <t>'13957120842</t>
  </si>
  <si>
    <t>No:8343984163</t>
  </si>
  <si>
    <t>'Alan： GAV-G12V 黑框黑网 检查好质量</t>
  </si>
  <si>
    <t>黄元元0123</t>
  </si>
  <si>
    <t>杨先生</t>
  </si>
  <si>
    <t>陕西省 西安市 碑林区    南院门街道 五岳庙门5号西安警备区</t>
  </si>
  <si>
    <t>'18700867111</t>
  </si>
  <si>
    <t>No:8343983744</t>
  </si>
  <si>
    <t>'Alan:  GAV-T11DE 黑色钢制弓形脚   检查好质量</t>
  </si>
  <si>
    <t>chriszhongxian</t>
  </si>
  <si>
    <t>刘忠贤</t>
  </si>
  <si>
    <t>上海 上海市 奉贤区    南桥镇 新建西路众旺苑南区110号702室(门铃请按1502)</t>
  </si>
  <si>
    <t>'13641976405</t>
  </si>
  <si>
    <t>No:8343983632</t>
  </si>
  <si>
    <t>'Alan： GAV-G12V  黑框红网 检查好质量</t>
  </si>
  <si>
    <t>janejiang0922</t>
  </si>
  <si>
    <t>屠东曙</t>
  </si>
  <si>
    <t>上海 上海市 浦东新区    潍坊新村街道 源深路600弄一支弄5号701室</t>
  </si>
  <si>
    <t>'13661531390</t>
  </si>
  <si>
    <t>No:8343983396</t>
  </si>
  <si>
    <t>'Alan: GAV-G12V 黑框舒适棉座 检查好质量</t>
  </si>
  <si>
    <t>爱是凡事</t>
  </si>
  <si>
    <t>刘洋</t>
  </si>
  <si>
    <t>黑龙江省 大庆市 龙凤区    开发区黎明街道 黑龙江八一农垦大学</t>
  </si>
  <si>
    <t>'18346665740</t>
  </si>
  <si>
    <t>No:8343983032</t>
  </si>
  <si>
    <t>'Alan: GAV-801 黑框绿网  专属头套*1，专属椅套*1 专属脚踏*1</t>
  </si>
  <si>
    <t>野鹤xinyun</t>
  </si>
  <si>
    <t>花先森</t>
  </si>
  <si>
    <t>广东省 深圳市 龙华区    龙华街道 东环一路，瑞丰小区15号楼</t>
  </si>
  <si>
    <t>'17318021700</t>
  </si>
  <si>
    <t>No:7793306502</t>
  </si>
  <si>
    <t>'Angela：GAV-G12  黑框蓝色 检查好质量</t>
  </si>
  <si>
    <t>zcywuguanghui</t>
  </si>
  <si>
    <t>吴光辉</t>
  </si>
  <si>
    <t>广东省 深圳市 福田区    沙头街道 深南大道深圳市人才园6113房</t>
  </si>
  <si>
    <t>'13602608300</t>
  </si>
  <si>
    <t>GAVEE新品人体工程力学老板真皮椅现代简约办公家用时尚电脑椅子</t>
  </si>
  <si>
    <t>No:7793306498</t>
  </si>
  <si>
    <t>'Angela：GAV-G12  黑框黑色皮  检查好质量</t>
  </si>
  <si>
    <t>娃娃_19</t>
  </si>
  <si>
    <t>小小</t>
  </si>
  <si>
    <t>湖北省 武汉市 东西湖区    将军路街道 宏图路38号莱特建材市场</t>
  </si>
  <si>
    <t>No:7793306500</t>
  </si>
  <si>
    <t>sennyting</t>
  </si>
  <si>
    <t>沈宇婷</t>
  </si>
  <si>
    <t>江苏省 无锡市 南长区    南禅寺街道 永乐路80号家乐苑17幢201</t>
  </si>
  <si>
    <t>'13771314494</t>
  </si>
  <si>
    <t>No:7793306497</t>
  </si>
  <si>
    <t>shreck1120</t>
  </si>
  <si>
    <t>韩旭</t>
  </si>
  <si>
    <t>吉林省 长春市 朝阳区    南湖街道 南湖中街大禹城邦4栋3门105</t>
  </si>
  <si>
    <t>'13756178768</t>
  </si>
  <si>
    <t>No:7793306513</t>
  </si>
  <si>
    <t>'Angela：GAV-G12   黑框黑色 检查好质量，收货后退运费80元</t>
  </si>
  <si>
    <t>罗广威0615</t>
  </si>
  <si>
    <t>罗哥</t>
  </si>
  <si>
    <t>上海 上海市 浦东新区    塘桥街道 浦东南路2178弄9号楼403</t>
  </si>
  <si>
    <t>'15026897519</t>
  </si>
  <si>
    <t>No:7793306492</t>
  </si>
  <si>
    <t>carolwasc</t>
  </si>
  <si>
    <t>吕强</t>
  </si>
  <si>
    <t>河北省 廊坊市 广阳区    北旺乡 和平路13号中油管道物装储运公司</t>
  </si>
  <si>
    <t>'15076462570</t>
  </si>
  <si>
    <t>No:7793306491</t>
  </si>
  <si>
    <t>我是宝宝qq</t>
  </si>
  <si>
    <t>金娜</t>
  </si>
  <si>
    <t>北京 北京市 大兴区    清源街道 大兴黄村香海园6号楼1单元101</t>
  </si>
  <si>
    <t>'13121551936</t>
  </si>
  <si>
    <t>No:7793306499</t>
  </si>
  <si>
    <t>徐红鑫</t>
  </si>
  <si>
    <t>江苏省 盐城市 盐都区    新都街道 （城南新区） 解放南路中南世纪城一期7号楼3单元211</t>
  </si>
  <si>
    <t>'15261983098</t>
  </si>
  <si>
    <t>No:7793306489</t>
  </si>
  <si>
    <t>'Angela：GAV-G12V  灰框灰色  检查好质量，开发票：上海航澳企业管理中心</t>
  </si>
  <si>
    <t>tb1438001_2012</t>
  </si>
  <si>
    <t>熊倩岚</t>
  </si>
  <si>
    <t>广东省 东莞市      凤岗镇 天堂围西旺工业区奥淼公司</t>
  </si>
  <si>
    <t>'13431438001</t>
  </si>
  <si>
    <t>No:7793306511</t>
  </si>
  <si>
    <t>brushepic</t>
  </si>
  <si>
    <t>上海 上海市 徐汇区    虹梅路街道 宜山路700号上海普天信息产业园B1栋 上海海隆软件有限公司 11楼</t>
  </si>
  <si>
    <t>'13916639228</t>
  </si>
  <si>
    <t>No:7793306488</t>
  </si>
  <si>
    <t>凯旋的杨</t>
  </si>
  <si>
    <t>杨凯</t>
  </si>
  <si>
    <t>天津 天津市 河东区    大直沽街道 大直沽中路中建悦东嘉园6号楼2604室</t>
  </si>
  <si>
    <t>'13820187912</t>
  </si>
  <si>
    <t>【狂欢价】GAVEE护脊人体工学椅电脑椅家用老板书房办公椅护腰可躺座转网椅，GAVEE人体工学电脑椅办公椅专用防脏头套</t>
  </si>
  <si>
    <t>No:7793306487</t>
  </si>
  <si>
    <t>'Angela：GAV-G12V   灰框蓝色  检查好质量，赠送头套</t>
  </si>
  <si>
    <t>liulingliuf</t>
  </si>
  <si>
    <t>刘伶</t>
  </si>
  <si>
    <t>浙江省 绍兴市 柯桥区    齐贤街道 浙江省绍兴市柯桥区齐贤镇西环路586号科创大厦B座507-510室</t>
  </si>
  <si>
    <t>'15221938619</t>
  </si>
  <si>
    <t>No:7793306486</t>
  </si>
  <si>
    <t>'Angela：GAV-X2   豪华版黑色*5  检查好质量</t>
  </si>
  <si>
    <t>订单号</t>
  </si>
  <si>
    <t>商品ID</t>
  </si>
  <si>
    <t>商品名称</t>
  </si>
  <si>
    <t>订购数量</t>
  </si>
  <si>
    <t>支付方式</t>
  </si>
  <si>
    <t>下单时间</t>
  </si>
  <si>
    <t>应付金额</t>
  </si>
  <si>
    <t>下单帐号</t>
  </si>
  <si>
    <t>客户姓名</t>
  </si>
  <si>
    <t>客户地址</t>
  </si>
  <si>
    <t>联系电话</t>
  </si>
  <si>
    <t>商家备注</t>
  </si>
  <si>
    <t>商家备注等级（等级1-5为由高到低）</t>
  </si>
  <si>
    <t>运费金额</t>
  </si>
  <si>
    <t>付款确认时间</t>
  </si>
  <si>
    <t>货号</t>
  </si>
  <si>
    <t>订单完成时间</t>
  </si>
  <si>
    <t>GAVEE 人体工学椅 宝马系列电脑椅转椅 升降办公椅子 可躺老板椅 工学椅专用座套</t>
  </si>
  <si>
    <t>在线支付</t>
  </si>
  <si>
    <t xml:space="preserve">	2019-06-30 22:13:14</t>
  </si>
  <si>
    <t>完成</t>
  </si>
  <si>
    <t>tao5208023</t>
  </si>
  <si>
    <t>陶文祥</t>
  </si>
  <si>
    <t>江苏南京市玄武区苏宁大道紫金东郡56栋1单元501</t>
  </si>
  <si>
    <t xml:space="preserve">	2019-06-30 22:14:02</t>
  </si>
  <si>
    <t>GAV-ZY-Q6</t>
  </si>
  <si>
    <t xml:space="preserve">	2019-07-07 19:23:50</t>
  </si>
  <si>
    <t xml:space="preserve">	2019-06-30 22:12:53</t>
  </si>
  <si>
    <t>liuglei_m</t>
  </si>
  <si>
    <t>刘广雷</t>
  </si>
  <si>
    <t>河北石家庄市桥西区新石北路399号3号楼A区401室</t>
  </si>
  <si>
    <t xml:space="preserve">	2019-07-08 11:31:59</t>
  </si>
  <si>
    <t xml:space="preserve">	2019-06-30 21:58:59</t>
  </si>
  <si>
    <t>jd_5e8d2b1973108</t>
  </si>
  <si>
    <t>王振惠</t>
  </si>
  <si>
    <t>福建福州市仓山区盖山镇林浦路闽江世纪城D区12-12中国电信FF</t>
  </si>
  <si>
    <t xml:space="preserve">	2019-06-30 21:59:20</t>
  </si>
  <si>
    <t xml:space="preserve">	2019-07-05 00:47:24</t>
  </si>
  <si>
    <t xml:space="preserve">	2019-06-30 21:55:38</t>
  </si>
  <si>
    <t>jd_64e7725044852</t>
  </si>
  <si>
    <t>徐女士</t>
  </si>
  <si>
    <t>安徽合肥市巢湖市城区皖维路皖维快递中心</t>
  </si>
  <si>
    <t xml:space="preserve">	2019-06-30 21:56:06</t>
  </si>
  <si>
    <t xml:space="preserve">	2019-07-04 15:29:35</t>
  </si>
  <si>
    <t xml:space="preserve">	2019-06-30 21:49:23</t>
  </si>
  <si>
    <t>jd_6c5aa29e3e6cf</t>
  </si>
  <si>
    <t>孔晓亮</t>
  </si>
  <si>
    <t>北京昌平区六环以内创新公寓(百沙路北200米)创新公寓</t>
  </si>
  <si>
    <t xml:space="preserve">	2019-06-30 21:50:13</t>
  </si>
  <si>
    <t xml:space="preserve">	2019-07-05 14:30:47</t>
  </si>
  <si>
    <t xml:space="preserve">	2019-06-30 21:47:54</t>
  </si>
  <si>
    <t>jd_4e889be910fe8</t>
  </si>
  <si>
    <t>庄炳照</t>
  </si>
  <si>
    <t>福建泉州市晋江市城区新华街侨联大厦c1601</t>
  </si>
  <si>
    <t xml:space="preserve">	2019-06-30 21:48:23</t>
  </si>
  <si>
    <t xml:space="preserve">	2019-07-02 11:43:47</t>
  </si>
  <si>
    <t xml:space="preserve">	2019-06-30 21:44:19</t>
  </si>
  <si>
    <t>jd_61ec60ba88650</t>
  </si>
  <si>
    <t>王d</t>
  </si>
  <si>
    <t>广东广州市花都区城区淘淘乐电子商务大厦3楼306</t>
  </si>
  <si>
    <t xml:space="preserve">	2019-06-30 21:44:29</t>
  </si>
  <si>
    <t xml:space="preserve">	2019-07-07 11:00:17</t>
  </si>
  <si>
    <t xml:space="preserve">	2019-06-29 21:37:27</t>
  </si>
  <si>
    <t>asd1270275427</t>
  </si>
  <si>
    <t>张彭桃</t>
  </si>
  <si>
    <t>广东惠州市惠城区城区鹅岭南路21号利群商店楼上603室</t>
  </si>
  <si>
    <t xml:space="preserve">	2019-06-29 21:37:47</t>
  </si>
  <si>
    <t xml:space="preserve">	2019-07-04 11:35:55</t>
  </si>
  <si>
    <t xml:space="preserve">	2019-06-29 21:09:44</t>
  </si>
  <si>
    <t>jd_47023b95e0f62</t>
  </si>
  <si>
    <t>熊合松</t>
  </si>
  <si>
    <t>河南郑州市二七区马寨镇尖西线北100米郑州市二七区全垌小学</t>
  </si>
  <si>
    <t xml:space="preserve">	2019-06-29 21:10:00</t>
  </si>
  <si>
    <t xml:space="preserve">	2019-07-03 18:02:12</t>
  </si>
  <si>
    <t xml:space="preserve">	2019-06-29 21:02:41</t>
  </si>
  <si>
    <t>jd_6c51bba5e54ab</t>
  </si>
  <si>
    <t>张振</t>
  </si>
  <si>
    <t>辽宁营口市站前区城区南阳南里36号楼</t>
  </si>
  <si>
    <t xml:space="preserve">	2019-06-29 21:06:23</t>
  </si>
  <si>
    <t xml:space="preserve">	2019-07-06 12:20:29</t>
  </si>
  <si>
    <t xml:space="preserve">	2019-06-29 20:59:21</t>
  </si>
  <si>
    <t>jd_vhfwtTqoAPAd</t>
  </si>
  <si>
    <t>小李</t>
  </si>
  <si>
    <t>广西柳州市鱼峰区雒容镇文宛路2号柳州铁道职业技术学校</t>
  </si>
  <si>
    <t xml:space="preserve">	2019-06-29 21:00:54</t>
  </si>
  <si>
    <t xml:space="preserve">	2019-07-04 10:00:20</t>
  </si>
  <si>
    <t xml:space="preserve">	2019-06-29 20:57:59</t>
  </si>
  <si>
    <t>jd_42a6cb590bbd3</t>
  </si>
  <si>
    <t>王伟</t>
  </si>
  <si>
    <t>河南南阳市宛城区城区高新区南阳防爆重机公司</t>
  </si>
  <si>
    <t xml:space="preserve">	2019-06-29 20:59:14</t>
  </si>
  <si>
    <t xml:space="preserve">	2019-07-03 17:43:26</t>
  </si>
  <si>
    <t xml:space="preserve">	2019-06-29 20:47:25</t>
  </si>
  <si>
    <t>jd_469dada4f759e</t>
  </si>
  <si>
    <t>刘争鸣</t>
  </si>
  <si>
    <t>河南郑州市郑东新区金水东路180号河南财经政法大学新校区</t>
  </si>
  <si>
    <t xml:space="preserve">	2019-06-29 20:47:49</t>
  </si>
  <si>
    <t xml:space="preserve">	2019-07-06 16:51:44</t>
  </si>
  <si>
    <t xml:space="preserve">	2019-06-29 20:38:53</t>
  </si>
  <si>
    <t>jd_5e48a6350f40c</t>
  </si>
  <si>
    <t>张旺</t>
  </si>
  <si>
    <t>湖北天门市岳口镇孝义新村5巷29号</t>
  </si>
  <si>
    <t xml:space="preserve">	2019-06-29 20:40:14</t>
  </si>
  <si>
    <t xml:space="preserve">	2019-06-30 17:35:56</t>
  </si>
  <si>
    <t xml:space="preserve">	2019-06-29 20:35:50</t>
  </si>
  <si>
    <t>jd_6755ceb9adf84</t>
  </si>
  <si>
    <t>郭玉璋</t>
  </si>
  <si>
    <t>河南南阳市宛城区城区南阳理工学院-长江路80号老校区五号宿舍楼</t>
  </si>
  <si>
    <t xml:space="preserve">	2019-06-29 20:37:25</t>
  </si>
  <si>
    <t xml:space="preserve">	2019-07-03 12:08:19</t>
  </si>
  <si>
    <t xml:space="preserve">	2019-06-29 20:28:58</t>
  </si>
  <si>
    <t>ccz714</t>
  </si>
  <si>
    <t>蔡敏丹</t>
  </si>
  <si>
    <t>上海浦东新区川沙新镇妙川路800弄112弄302室</t>
  </si>
  <si>
    <t xml:space="preserve">	2019-06-29 20:29:16</t>
  </si>
  <si>
    <t xml:space="preserve">	2019-07-03 20:04:35</t>
  </si>
  <si>
    <t xml:space="preserve">	2019-06-29 20:09:38</t>
  </si>
  <si>
    <t>送你一顶原谅帽</t>
  </si>
  <si>
    <t>王宇晨</t>
  </si>
  <si>
    <t>江苏徐州市鼓楼区城区九里区大孤山美尔小区12栋3单元103</t>
  </si>
  <si>
    <t xml:space="preserve">	2019-06-29 20:09:49</t>
  </si>
  <si>
    <t xml:space="preserve">	2019-07-02 20:13:12</t>
  </si>
  <si>
    <t xml:space="preserve">	2019-06-28 22:38:44</t>
  </si>
  <si>
    <t>yihaikesjtu</t>
  </si>
  <si>
    <t>张明</t>
  </si>
  <si>
    <t>上海浦东新区三林镇上南路3323弄2号楼</t>
  </si>
  <si>
    <t xml:space="preserve">	2019-06-28 22:41:29</t>
  </si>
  <si>
    <t xml:space="preserve">	2019-07-07 20:46:33</t>
  </si>
  <si>
    <t xml:space="preserve">	2019-06-28 22:32:44</t>
  </si>
  <si>
    <t>13126381276_p</t>
  </si>
  <si>
    <t>黎杰</t>
  </si>
  <si>
    <t>广东深圳市宝安区桥头社区永福路89号伟创力电子设备（深圳）有限公司</t>
  </si>
  <si>
    <t xml:space="preserve">	2019-06-28 22:33:22</t>
  </si>
  <si>
    <t xml:space="preserve">	2019-07-01 11:33:36</t>
  </si>
  <si>
    <t xml:space="preserve">	2019-06-28 22:32:39</t>
  </si>
  <si>
    <t>苗苗在购物</t>
  </si>
  <si>
    <t>蔡湘媛</t>
  </si>
  <si>
    <t>广东深圳市宝安区西乡固戍航城大道光电研发总部大厦3栋2单元7楼左边电话联系或放四楼速递易丰巢</t>
  </si>
  <si>
    <t xml:space="preserve">	2019-06-28 22:32:57</t>
  </si>
  <si>
    <t xml:space="preserve">	2019-07-02 10:53:24</t>
  </si>
  <si>
    <t xml:space="preserve">	2019-06-28 22:15:35</t>
  </si>
  <si>
    <t>mefool123</t>
  </si>
  <si>
    <t>虞霞</t>
  </si>
  <si>
    <t>江苏常州市天宁区城区香溢紫郡5栋甲单元1902</t>
  </si>
  <si>
    <t xml:space="preserve">	2019-06-28 22:15:54</t>
  </si>
  <si>
    <t xml:space="preserve">	2019-07-02 23:30:46</t>
  </si>
  <si>
    <t xml:space="preserve">	2019-06-28 22:07:40</t>
  </si>
  <si>
    <t>jd_4d001354beedc</t>
  </si>
  <si>
    <t>解浩东</t>
  </si>
  <si>
    <t>山东青岛市即墨区潮海街道龙福家园4号楼</t>
  </si>
  <si>
    <t xml:space="preserve">	2019-06-28 22:08:10</t>
  </si>
  <si>
    <t xml:space="preserve">	2019-07-05 09:59:31</t>
  </si>
  <si>
    <t xml:space="preserve">	2019-06-28 22:03:24</t>
  </si>
  <si>
    <t>niujiale</t>
  </si>
  <si>
    <t>牛佳乐</t>
  </si>
  <si>
    <t>上海浦东新区川沙新镇妙川路800弄112号302室</t>
  </si>
  <si>
    <t xml:space="preserve">	2019-06-28 22:03:34</t>
  </si>
  <si>
    <t xml:space="preserve">	2019-07-04 10:56:16</t>
  </si>
  <si>
    <t xml:space="preserve">	2019-06-28 21:57:41</t>
  </si>
  <si>
    <t>xd9005</t>
  </si>
  <si>
    <t>宣德</t>
  </si>
  <si>
    <t>安徽合肥市包河区城区紫竹苑c10-504</t>
  </si>
  <si>
    <t xml:space="preserve">	2019-06-28 21:57:52</t>
  </si>
  <si>
    <t xml:space="preserve">	2019-07-02 05:28:07</t>
  </si>
  <si>
    <t xml:space="preserve">	2019-06-28 21:16:49</t>
  </si>
  <si>
    <t>安韩</t>
  </si>
  <si>
    <t>姚鹏</t>
  </si>
  <si>
    <t>河南濮阳市清丰县县城内北环路顿丘种业有限公司</t>
  </si>
  <si>
    <t xml:space="preserve">	2019-06-28 21:17:01</t>
  </si>
  <si>
    <t xml:space="preserve">	2019-07-02 08:46:41</t>
  </si>
  <si>
    <t xml:space="preserve">	2019-06-28 20:55:18</t>
  </si>
  <si>
    <t>简简单单890</t>
  </si>
  <si>
    <t>刘英</t>
  </si>
  <si>
    <t>广东惠州市惠城区城区东平鑫月汇峰15号楼</t>
  </si>
  <si>
    <t xml:space="preserve">	2019-06-28 20:55:38</t>
  </si>
  <si>
    <t xml:space="preserve">	2019-07-01 08:56:58</t>
  </si>
  <si>
    <t xml:space="preserve">	2019-06-28 20:37:14</t>
  </si>
  <si>
    <t>jd_6932d364f8c40</t>
  </si>
  <si>
    <t>荣柳</t>
  </si>
  <si>
    <t>河北石家庄市辛集市小辛庄乡小章村超市</t>
  </si>
  <si>
    <t xml:space="preserve">	2019-06-28 20:37:57</t>
  </si>
  <si>
    <t xml:space="preserve">	2019-07-03 07:53:16</t>
  </si>
  <si>
    <t xml:space="preserve">	2019-06-28 20:15:58</t>
  </si>
  <si>
    <t>jj依然</t>
  </si>
  <si>
    <t>张侠</t>
  </si>
  <si>
    <t>河南商丘市永城市城关镇中山西路食品胡同208号</t>
  </si>
  <si>
    <t xml:space="preserve">	2019-06-28 20:16:23</t>
  </si>
  <si>
    <t xml:space="preserve">	2019-07-03 18:44:50</t>
  </si>
  <si>
    <t xml:space="preserve">	2019-06-28 19:58:32</t>
  </si>
  <si>
    <t>yys196984141</t>
  </si>
  <si>
    <t>袁业双</t>
  </si>
  <si>
    <t>山东泰安市肥城市新城街道刘庄A区10号楼东楼头</t>
  </si>
  <si>
    <t xml:space="preserve">	2019-06-28 19:58:46</t>
  </si>
  <si>
    <t xml:space="preserve">	2019-07-02 17:29:44</t>
  </si>
  <si>
    <t xml:space="preserve">	2019-06-27 21:47:27</t>
  </si>
  <si>
    <t>好热的感觉</t>
  </si>
  <si>
    <t>陈芳</t>
  </si>
  <si>
    <t>山西吕梁市孝义市城区天福广场</t>
  </si>
  <si>
    <t xml:space="preserve">	2019-06-27 21:47:44</t>
  </si>
  <si>
    <t xml:space="preserve">	2019-07-02 09:09:30</t>
  </si>
  <si>
    <t xml:space="preserve">	2019-06-27 21:31:33</t>
  </si>
  <si>
    <t>jd18662961728</t>
  </si>
  <si>
    <t>吴女士</t>
  </si>
  <si>
    <t>江苏淮安市清浦区城区淮海南路2号华城大厦</t>
  </si>
  <si>
    <t xml:space="preserve">	2019-06-27 21:31:50</t>
  </si>
  <si>
    <t xml:space="preserve">	2019-07-03 16:52:30</t>
  </si>
  <si>
    <t xml:space="preserve">	2019-06-27 21:22:30</t>
  </si>
  <si>
    <t>jd_7c22ec77b765f</t>
  </si>
  <si>
    <t>李佳</t>
  </si>
  <si>
    <t>广西玉林市玉州区城区红新里101对面</t>
  </si>
  <si>
    <t xml:space="preserve">	2019-06-27 21:22:52</t>
  </si>
  <si>
    <t xml:space="preserve">	2019-07-03 23:58:49</t>
  </si>
  <si>
    <t xml:space="preserve">	2019-06-27 21:09:26</t>
  </si>
  <si>
    <t>jd_77580acc1b086</t>
  </si>
  <si>
    <t>李媛媛</t>
  </si>
  <si>
    <t>江西九江市共青城市江益镇青年大道69号南昌航空大学科技学院(共青校区)</t>
  </si>
  <si>
    <t xml:space="preserve">	2019-06-27 21:09:41</t>
  </si>
  <si>
    <t xml:space="preserve">	2019-07-04 10:59:34</t>
  </si>
  <si>
    <t xml:space="preserve">	2019-06-27 20:53:37</t>
  </si>
  <si>
    <t>jd_6b4e993b787f6</t>
  </si>
  <si>
    <t>郭秀兰</t>
  </si>
  <si>
    <t>上海徐汇区城区龙南五村5号楼202室</t>
  </si>
  <si>
    <t xml:space="preserve">	2019-06-27 20:57:07</t>
  </si>
  <si>
    <t xml:space="preserve">	2019-06-30 20:28:48</t>
  </si>
  <si>
    <t>GAVEE 高端进口牛皮老板椅 人体工程学电脑椅 办公家用真皮大班椅 进口黄牛皮橙色【订制色】 铝合金脚</t>
  </si>
  <si>
    <t xml:space="preserve">	2019-06-27 15:07:01</t>
  </si>
  <si>
    <t>jd_4fbb3b12afc56</t>
  </si>
  <si>
    <t>张磊</t>
  </si>
  <si>
    <t>天津红桥区全境丁字沽一号路十三段104楼301</t>
  </si>
  <si>
    <t>Angela：GAV-901皮  橙色皮  检查好质量</t>
  </si>
  <si>
    <t xml:space="preserve">	2019-06-27 15:07:15</t>
  </si>
  <si>
    <t>GAV-JNS-901全皮</t>
  </si>
  <si>
    <t xml:space="preserve">	2019-06-30 13:04:46</t>
  </si>
  <si>
    <t>GAVEE人体工学椅子可躺商务休闲电脑椅护脊护腰老板椅工程学座椅转椅网布办公家用书房椅子 521黑色尼龙脚（</t>
  </si>
  <si>
    <t xml:space="preserve">	2019-06-26 19:48:51</t>
  </si>
  <si>
    <t>jd_7ac169042e18f</t>
  </si>
  <si>
    <t>周春丽</t>
  </si>
  <si>
    <t>安徽淮北市濉溪县五沟镇安徽省濉溪县五沟镇北湖南村</t>
  </si>
  <si>
    <t xml:space="preserve">	2019-06-26 19:49:03</t>
  </si>
  <si>
    <t>GAV-521</t>
  </si>
  <si>
    <t xml:space="preserve">	2019-06-30 16:56:56</t>
  </si>
  <si>
    <t>GAVEE 电脑椅办公椅家用 座椅 人体工学电脑椅   升降转椅网椅可躺时尚休闲椅子 豪华版黑色</t>
  </si>
  <si>
    <t xml:space="preserve">	2019-06-26 19:38:56</t>
  </si>
  <si>
    <t>jd_4914f21515dd5</t>
  </si>
  <si>
    <t>银燕</t>
  </si>
  <si>
    <t>广西柳州市融安县浮石镇起西村龙角屯</t>
  </si>
  <si>
    <t xml:space="preserve">	2019-06-26 19:39:16</t>
  </si>
  <si>
    <t>GAV-X2</t>
  </si>
  <si>
    <t xml:space="preserve">	2019-06-30 01:48:25</t>
  </si>
  <si>
    <t>GAVEE 家用电脑椅北欧休闲椅现代简约书房椅时尚人体工学精灵椅 蓝色带轮脚</t>
  </si>
  <si>
    <t xml:space="preserve">	2019-06-26 19:34:52</t>
  </si>
  <si>
    <t>jd_4373c85cc2de3</t>
  </si>
  <si>
    <t>张未斌</t>
  </si>
  <si>
    <t>山西忻州市定襄县宏道镇山西省忻州市定襄县宏道镇南门外村102</t>
  </si>
  <si>
    <t xml:space="preserve">	2019-06-26 19:35:07</t>
  </si>
  <si>
    <t>精灵</t>
  </si>
  <si>
    <t xml:space="preserve">	2019-07-03 10:37:20</t>
  </si>
  <si>
    <t xml:space="preserve">	2019-06-26 17:55:07</t>
  </si>
  <si>
    <t>302582823_m</t>
  </si>
  <si>
    <t>叶佳兴</t>
  </si>
  <si>
    <t>广东汕尾市海丰县公平镇南园2街7号</t>
  </si>
  <si>
    <t xml:space="preserve">	2019-06-26 17:56:02</t>
  </si>
  <si>
    <t xml:space="preserve">	2019-07-01 18:48:56</t>
  </si>
  <si>
    <t xml:space="preserve">	2019-06-25 20:52:44</t>
  </si>
  <si>
    <t>13825825386_p</t>
  </si>
  <si>
    <t>郑丹丹</t>
  </si>
  <si>
    <t>广东汕头市潮南区陇田镇溪西宫前10巷6号A</t>
  </si>
  <si>
    <t xml:space="preserve">	2019-06-25 20:54:30</t>
  </si>
  <si>
    <t xml:space="preserve">	2019-06-29 21:28:13</t>
  </si>
  <si>
    <t xml:space="preserve">	2019-06-25 19:42:17</t>
  </si>
  <si>
    <t>sinsinm</t>
  </si>
  <si>
    <t>丁丽</t>
  </si>
  <si>
    <t>山东青岛市黄岛区隐珠街道海王路造纸厂对面灵海花园2号楼东边</t>
  </si>
  <si>
    <t xml:space="preserve">	2019-06-25 19:45:34</t>
  </si>
  <si>
    <t xml:space="preserve">	2019-06-30 01:10:04</t>
  </si>
  <si>
    <t xml:space="preserve">	2019-06-25 18:29:27</t>
  </si>
  <si>
    <t>小小丫头扬</t>
  </si>
  <si>
    <t>李敏</t>
  </si>
  <si>
    <t>福建漳州市东山县杏陈镇消瓜林洗车店</t>
  </si>
  <si>
    <t xml:space="preserve">	2019-06-25 18:30:44</t>
  </si>
  <si>
    <t xml:space="preserve">	2019-06-28 23:21:25</t>
  </si>
  <si>
    <t xml:space="preserve">	2019-06-25 17:47:48</t>
  </si>
  <si>
    <t>JD_木子</t>
  </si>
  <si>
    <t>胡建明</t>
  </si>
  <si>
    <t>湖南长沙市芙蓉区高岭小区-高岭小区55栋四单元六楼</t>
  </si>
  <si>
    <t xml:space="preserve">	2019-06-25 17:49:08</t>
  </si>
  <si>
    <t xml:space="preserve">	2019-07-01 11:42:40</t>
  </si>
  <si>
    <t>GAVEE 人体工学椅 电脑椅家用转椅网椅 升降办公椅子 可躺老板椅分段式承托舒适护腰舒脊工程学椅子 802黑框</t>
  </si>
  <si>
    <t xml:space="preserve">	2019-06-25 00:56:34</t>
  </si>
  <si>
    <t>jd_68b29aa6acf76</t>
  </si>
  <si>
    <t>郭振奎</t>
  </si>
  <si>
    <t>安徽阜阳市颍东区城区阜蚌路289号（永辉冶金设备有限公司）</t>
  </si>
  <si>
    <t>Angela：GAV-802  黑框黑色  检查好质量</t>
  </si>
  <si>
    <t xml:space="preserve">	2019-06-25 00:56:44</t>
  </si>
  <si>
    <t>GAV-JNS-80系列</t>
  </si>
  <si>
    <t xml:space="preserve">	2019-06-28 12:52:39</t>
  </si>
  <si>
    <t xml:space="preserve">	2019-06-24 22:42:15</t>
  </si>
  <si>
    <t>lyppl</t>
  </si>
  <si>
    <t>王露</t>
  </si>
  <si>
    <t>山东青岛市黄岛区隐珠街道海王路346号海怡嘉园北门</t>
  </si>
  <si>
    <t xml:space="preserve">	2019-06-24 22:42:53</t>
  </si>
  <si>
    <t xml:space="preserve">	2019-07-03 11:07:35</t>
  </si>
  <si>
    <t xml:space="preserve">	2019-06-24 21:12:44</t>
  </si>
  <si>
    <t>别安粉</t>
  </si>
  <si>
    <t>谢明东</t>
  </si>
  <si>
    <t>广东江门市台山市四九镇长龙工业区三路1号利勤木业有限公司</t>
  </si>
  <si>
    <t xml:space="preserve">	2019-06-24 21:13:07</t>
  </si>
  <si>
    <t xml:space="preserve">	2019-06-29 17:27:32</t>
  </si>
  <si>
    <t xml:space="preserve">	2019-06-24 20:20:34</t>
  </si>
  <si>
    <t>jd_5ff05a7cb58a9</t>
  </si>
  <si>
    <t>潘小翠</t>
  </si>
  <si>
    <t>广西南宁市西乡塘区城区北湖北路18号</t>
  </si>
  <si>
    <t xml:space="preserve">	2019-06-24 20:21:05</t>
  </si>
  <si>
    <t xml:space="preserve">	2019-07-05 14:25:46</t>
  </si>
  <si>
    <t xml:space="preserve">	2019-06-24 19:46:25</t>
  </si>
  <si>
    <t>妞妞嗄</t>
  </si>
  <si>
    <t>张婷</t>
  </si>
  <si>
    <t>福建福州市晋安区城区铁路六小区81栋809（放快递柜不要放小站）</t>
  </si>
  <si>
    <t>s</t>
  </si>
  <si>
    <t xml:space="preserve">	2019-06-24 19:46:59</t>
  </si>
  <si>
    <t xml:space="preserve">	2019-06-28 16:06:13</t>
  </si>
  <si>
    <t xml:space="preserve">	2019-06-23 19:58:54</t>
  </si>
  <si>
    <t>vc8930</t>
  </si>
  <si>
    <t>占建平</t>
  </si>
  <si>
    <t>浙江衢州市开化县城关镇工业园区华埠路12号</t>
  </si>
  <si>
    <t>SJ</t>
  </si>
  <si>
    <t xml:space="preserve">	2019-06-23 19:59:10</t>
  </si>
  <si>
    <t xml:space="preserve">	2019-06-26 19:30:25</t>
  </si>
  <si>
    <t xml:space="preserve">	2019-06-23 19:50:49</t>
  </si>
  <si>
    <t>jd_7740102e9d820</t>
  </si>
  <si>
    <t>田生林</t>
  </si>
  <si>
    <t>天津大港区油田李园小区21</t>
  </si>
  <si>
    <t xml:space="preserve">	2019-06-23 19:51:01</t>
  </si>
  <si>
    <t xml:space="preserve">	2019-06-30 11:05:01</t>
  </si>
  <si>
    <t xml:space="preserve">	2019-06-23 19:20:36</t>
  </si>
  <si>
    <t>732576583-286708</t>
  </si>
  <si>
    <t>蒋鸣</t>
  </si>
  <si>
    <t>浙江绍兴市诸暨市王家井镇市南路1号高速轴瓦</t>
  </si>
  <si>
    <t xml:space="preserve">	2019-06-23 19:20:51</t>
  </si>
  <si>
    <t xml:space="preserve">	2019-06-27 10:24:10</t>
  </si>
  <si>
    <t xml:space="preserve">	2019-06-23 18:48:19</t>
  </si>
  <si>
    <t>萧颖live</t>
  </si>
  <si>
    <t>王小姐</t>
  </si>
  <si>
    <t>江苏宿迁市沭阳县城区建陵商都大众服饰66号</t>
  </si>
  <si>
    <t xml:space="preserve">	2019-06-23 18:50:19</t>
  </si>
  <si>
    <t xml:space="preserve">	2019-06-30 00:02:10</t>
  </si>
  <si>
    <t>GAVEE 简约家用电脑椅 时尚学生学习椅人体工学办公椅 休闲老板转椅 白框千鸟格</t>
  </si>
  <si>
    <t xml:space="preserve">	2019-06-23 18:36:37</t>
  </si>
  <si>
    <t>jd_563d499ac145a</t>
  </si>
  <si>
    <t>张明度</t>
  </si>
  <si>
    <t>广东深圳市宝安区松岗塘下涌一村泰和豪苑B栋</t>
  </si>
  <si>
    <t xml:space="preserve">	2019-06-23 18:37:05</t>
  </si>
  <si>
    <t xml:space="preserve">	2019-06-28 15:05:14</t>
  </si>
  <si>
    <t>GAVEE 电脑椅办公椅家用 座椅 人体工学电脑椅   升降转椅网椅可躺时尚休闲椅子 升级版本黑色</t>
  </si>
  <si>
    <t xml:space="preserve">	2019-06-22 23:07:45</t>
  </si>
  <si>
    <t>yeyasan</t>
  </si>
  <si>
    <t>叶亚三</t>
  </si>
  <si>
    <t>福建泉州市晋江市城区锦峰小区101101</t>
  </si>
  <si>
    <t>Alan：GAV-X2   豪华版版黑色  检查好质量</t>
  </si>
  <si>
    <t xml:space="preserve">	2019-06-23 09:31:07</t>
  </si>
  <si>
    <t xml:space="preserve">	2019-06-29 14:04:22</t>
  </si>
  <si>
    <t xml:space="preserve">	2019-06-22 19:56:02</t>
  </si>
  <si>
    <t>jd_7b06b0cb63cd0</t>
  </si>
  <si>
    <t>少卿</t>
  </si>
  <si>
    <t>广东汕头市金平区大华街道华坞大路12号</t>
  </si>
  <si>
    <t xml:space="preserve">	2019-06-22 19:56:21</t>
  </si>
  <si>
    <t xml:space="preserve">	2019-06-25 17:46:01</t>
  </si>
  <si>
    <t xml:space="preserve">	2019-06-22 19:37:24</t>
  </si>
  <si>
    <t>jd_47b48aab9c9c7</t>
  </si>
  <si>
    <t>彭燕辉</t>
  </si>
  <si>
    <t>湖南娄底市双峰县县城内城西小区1-2-601</t>
  </si>
  <si>
    <t xml:space="preserve">	2019-06-22 19:38:33</t>
  </si>
  <si>
    <t xml:space="preserve">	2019-07-03 09:39:21</t>
  </si>
  <si>
    <t xml:space="preserve">	2019-06-22 18:53:13</t>
  </si>
  <si>
    <t>李刚</t>
  </si>
  <si>
    <t>江苏苏州市工业园区斜塘镇车坊南澳花园6-301</t>
  </si>
  <si>
    <t xml:space="preserve">	2019-06-22 18:53:46</t>
  </si>
  <si>
    <t xml:space="preserve">	2019-06-25 15:06:07</t>
  </si>
  <si>
    <t xml:space="preserve">	2019-06-22 17:40:33</t>
  </si>
  <si>
    <t>skiplife</t>
  </si>
  <si>
    <t>董剑昆</t>
  </si>
  <si>
    <t>安徽淮北市相山区城区五马路水岸碧桂园6栋803</t>
  </si>
  <si>
    <t xml:space="preserve">	2019-06-22 17:40:44</t>
  </si>
  <si>
    <t xml:space="preserve">	2019-06-27 13:00:21</t>
  </si>
  <si>
    <t xml:space="preserve">	2019-06-22 17:39:21</t>
  </si>
  <si>
    <t>笑起来眼睛迷成一条线</t>
  </si>
  <si>
    <t>卿海军</t>
  </si>
  <si>
    <t>浙江杭州市萧山区城区萧绍路1240号富丽花园3幢402下午4点后送</t>
  </si>
  <si>
    <t xml:space="preserve">	2019-06-22 17:39:36</t>
  </si>
  <si>
    <t xml:space="preserve">	2019-06-27 11:35:37</t>
  </si>
  <si>
    <t xml:space="preserve">	2019-06-21 21:19:47</t>
  </si>
  <si>
    <t>中国祁东</t>
  </si>
  <si>
    <t>匡娥</t>
  </si>
  <si>
    <t>广东深圳市龙岗区坂田街道下围西4巷2号</t>
  </si>
  <si>
    <t xml:space="preserve">	2019-06-21 21:24:15</t>
  </si>
  <si>
    <t xml:space="preserve">	2019-06-26 07:39:08</t>
  </si>
  <si>
    <t xml:space="preserve">	2019-06-21 21:09:54</t>
  </si>
  <si>
    <t>过眼云烟和英语</t>
  </si>
  <si>
    <t>赵永政</t>
  </si>
  <si>
    <t>山东潍坊市潍城区东风西街芙蓉小区46-3-102号</t>
  </si>
  <si>
    <t xml:space="preserve">	2019-06-21 21:14:30</t>
  </si>
  <si>
    <t xml:space="preserve">	2019-06-25 22:20:15</t>
  </si>
  <si>
    <t xml:space="preserve">	2019-06-21 21:01:50</t>
  </si>
  <si>
    <t>1805113856_m</t>
  </si>
  <si>
    <t>张虹</t>
  </si>
  <si>
    <t>上海闵行区梅陇镇虹梅南路1781弄104号302室</t>
  </si>
  <si>
    <t xml:space="preserve">	2019-06-21 21:02:53</t>
  </si>
  <si>
    <t xml:space="preserve">	2019-06-26 19:53:24</t>
  </si>
  <si>
    <t>GAVEE 电脑椅办公椅家用 座椅 人体工学电脑椅   升降转椅网椅可躺时尚休闲椅子 普通版本黑色</t>
  </si>
  <si>
    <t xml:space="preserve">	2019-06-21 20:44:02</t>
  </si>
  <si>
    <t>jd_639ad724ff2b7</t>
  </si>
  <si>
    <t>张在旭</t>
  </si>
  <si>
    <t>山东滨州市阳信县流坡坞镇大王庄</t>
  </si>
  <si>
    <t xml:space="preserve">	2019-06-21 20:44:15</t>
  </si>
  <si>
    <t xml:space="preserve">	2019-06-25 09:58:42</t>
  </si>
  <si>
    <t xml:space="preserve">	2019-06-18 20:49:33</t>
  </si>
  <si>
    <t>liquan_wei</t>
  </si>
  <si>
    <t>魏学亮</t>
  </si>
  <si>
    <t>湖北武汉市洪山区城区珞喻路1037号华中科技大学武汉光电国家研究中心F栋</t>
  </si>
  <si>
    <t>Anthea： GAV-X2 豪华版黑色 检查好质量</t>
  </si>
  <si>
    <t xml:space="preserve">	2019-06-18 20:49:52</t>
  </si>
  <si>
    <t xml:space="preserve">	2019-06-27 23:47:36</t>
  </si>
  <si>
    <t xml:space="preserve">	2019-06-18 17:14:22</t>
  </si>
  <si>
    <t>盈盈小艺</t>
  </si>
  <si>
    <t>曹潆艺</t>
  </si>
  <si>
    <t>北京朝阳区四环到五环之间望京启阳路4号中轻大厦16层</t>
  </si>
  <si>
    <t>Anthea: GAV-521 黑色尼龙脚  检查好质量</t>
  </si>
  <si>
    <t xml:space="preserve">	2019-06-18 17:15:00</t>
  </si>
  <si>
    <t xml:space="preserve">	2019-06-21 15:58:33</t>
  </si>
  <si>
    <t xml:space="preserve">	2019-06-18 00:58:52</t>
  </si>
  <si>
    <t>f15942014921</t>
  </si>
  <si>
    <t>冯运</t>
  </si>
  <si>
    <t>辽宁沈阳市浑南新区白塔镇创新路东软医疗c园</t>
  </si>
  <si>
    <t xml:space="preserve">Angela:X2普黑
</t>
  </si>
  <si>
    <t xml:space="preserve">	2019-06-18 00:59:04</t>
  </si>
  <si>
    <t xml:space="preserve">	2019-06-22 08:20:12</t>
  </si>
  <si>
    <t xml:space="preserve">	2019-06-16 18:24:18</t>
  </si>
  <si>
    <t>m77889900</t>
  </si>
  <si>
    <t>莫峰</t>
  </si>
  <si>
    <t>湖北荆门市东宝区城区金虾路41号荆门农商行东宝支行</t>
  </si>
  <si>
    <t>Anthea: GAV-8213 白框千鸟格</t>
  </si>
  <si>
    <t xml:space="preserve">	2019-06-16 18:24:39</t>
  </si>
  <si>
    <t xml:space="preserve">	2019-06-22 16:54:12</t>
  </si>
  <si>
    <t>GAVEE 高端进口牛皮老板椅 人体工程学电脑椅 办公家用真皮大班椅 进口黄牛皮黑色 铝合金脚</t>
  </si>
  <si>
    <t xml:space="preserve">	2019-06-16 02:04:21</t>
  </si>
  <si>
    <t>jd_6067eece8e7e5</t>
  </si>
  <si>
    <t>杜欣宇</t>
  </si>
  <si>
    <t>四川成都市双流区兴隆镇菁蓉路天投北鑫苑南区8栋2单元1201</t>
  </si>
  <si>
    <t>Alan：901进口皮黑色皮  检查好质量</t>
  </si>
  <si>
    <t xml:space="preserve">	2019-06-16 02:04:33</t>
  </si>
  <si>
    <t xml:space="preserve">	2019-06-27 09:58:31</t>
  </si>
  <si>
    <t xml:space="preserve">	2019-06-13 12:42:37</t>
  </si>
  <si>
    <t>jy32474715</t>
  </si>
  <si>
    <t>杨军</t>
  </si>
  <si>
    <t>湖南怀化市新晃县县城内湖南省新晃县梅林春天9栋104</t>
  </si>
  <si>
    <t>Angela：GAV-521   黑色尼龙脚 检查好质量</t>
  </si>
  <si>
    <t xml:space="preserve">	2019-06-13 12:43:18</t>
  </si>
  <si>
    <t xml:space="preserve">	2019-06-17 15:03:36</t>
  </si>
  <si>
    <t>GAVEE 人体工学办公老板椅子 游戏直播电竞电脑椅 办公室家用网布可躺升降书房靠背转椅 黑框黑色 旋转升降扶</t>
  </si>
  <si>
    <t xml:space="preserve">	2019-06-10 22:24:28</t>
  </si>
  <si>
    <t>xq1338</t>
  </si>
  <si>
    <t>夏青</t>
  </si>
  <si>
    <t>山东枣庄市滕州市城区山东光复律师事务所-滕州市善国北路信访局南（路西）</t>
  </si>
  <si>
    <t>Anthea: GAV-G12 黑框黑网 检查好质量【anthea安西雅g 2019.06.11 15:35:47】</t>
  </si>
  <si>
    <t xml:space="preserve">	2019-06-10 22:27:49</t>
  </si>
  <si>
    <t>GAV-G12</t>
  </si>
  <si>
    <t xml:space="preserve">	2019-06-13 15:40:28</t>
  </si>
  <si>
    <t xml:space="preserve">	2019-06-09 09:51:26</t>
  </si>
  <si>
    <t>q744592-107096</t>
  </si>
  <si>
    <t>王磊青</t>
  </si>
  <si>
    <t>浙江嘉兴市南湖区大桥镇亚欧路东方都市51栋2801</t>
  </si>
  <si>
    <t>Angela：GAV-X2   普通版黑色  检查好质量</t>
  </si>
  <si>
    <t xml:space="preserve">	2019-06-09 09:51:46</t>
  </si>
  <si>
    <t xml:space="preserve">	2019-06-15 15:16:29</t>
  </si>
  <si>
    <t>GAVEE 新品电脑椅家用现代简约人体工学办公椅护腰书房学生座椅子 升级版灰背红坐 旋转升降扶手</t>
  </si>
  <si>
    <t xml:space="preserve">	2019-06-08 13:40:21</t>
  </si>
  <si>
    <t>tedliueng</t>
  </si>
  <si>
    <t>刘准</t>
  </si>
  <si>
    <t>北京朝阳区太阳宫乡社科院太阳宫小区(东南门)17号楼1506</t>
  </si>
  <si>
    <t>Anthea: GAV-6211A  升级版灰背红坐  检查好质量【anthea安西雅g 2019.06.08 15:38:33】</t>
  </si>
  <si>
    <t xml:space="preserve">	2019-06-08 13:40:41</t>
  </si>
  <si>
    <t>GAV-6211A</t>
  </si>
  <si>
    <t xml:space="preserve">	2019-06-14 19:29:37</t>
  </si>
  <si>
    <t xml:space="preserve">	2019-06-07 21:10:19</t>
  </si>
  <si>
    <t>jd_ELxGdHGkVLym</t>
  </si>
  <si>
    <t>李爱华</t>
  </si>
  <si>
    <t>广东东莞市南城区环城路莞太立交与莞太路交叉口东南角阳光城MODO(建设中)</t>
  </si>
  <si>
    <t>Anthea: GAV-8213  白框黑白格 检查好质量【anthea安西雅g 2019.06.08 15:36:56】</t>
  </si>
  <si>
    <t xml:space="preserve">	2019-06-07 21:13:37</t>
  </si>
  <si>
    <t xml:space="preserve">	2019-06-12 17:08:24</t>
  </si>
  <si>
    <t>GAVEE 人体工学办公老板椅子 游戏直播电竞电脑椅 办公室家用网布可躺升降书房靠背转椅 黑框咖啡色 旋转升降</t>
  </si>
  <si>
    <t xml:space="preserve">	2019-06-07 10:26:50</t>
  </si>
  <si>
    <t>judy_zhou周</t>
  </si>
  <si>
    <t>周晓颖</t>
  </si>
  <si>
    <t>上海普陀区城区云岭东路89号长风国际大厦402室</t>
  </si>
  <si>
    <t>Angela：GAV-G12   黑框咖啡色  检查好质量，赠送脚踏</t>
  </si>
  <si>
    <t xml:space="preserve">	2019-06-07 10:29:18</t>
  </si>
  <si>
    <t xml:space="preserve">	2019-06-13 14:38:07</t>
  </si>
  <si>
    <t>GAVEE新品人体工程力学老板真皮椅现代简约办公家用时尚电脑椅子 大班皮椅 黑框黑色进口牛皮 铝合金脚</t>
  </si>
  <si>
    <t xml:space="preserve">	2019-06-07 01:22:34</t>
  </si>
  <si>
    <t>yang15989188397</t>
  </si>
  <si>
    <t>杨家德</t>
  </si>
  <si>
    <t>广东广州市花都区花东镇白云国际机场北区海关大楼135B</t>
  </si>
  <si>
    <t>Angela：GAV-G12皮   黑色皮  检查好质量</t>
  </si>
  <si>
    <t xml:space="preserve">	2019-06-07 01:23:47</t>
  </si>
  <si>
    <t>GAV-G12全皮</t>
  </si>
  <si>
    <t xml:space="preserve">	2019-06-09 22:32:43</t>
  </si>
  <si>
    <t xml:space="preserve">	2019-06-05 10:10:19</t>
  </si>
  <si>
    <t>军晨信息技术3</t>
  </si>
  <si>
    <t>李阳</t>
  </si>
  <si>
    <t>内蒙古呼和浩特市土默特左旗城区8281邮政所部队机场</t>
  </si>
  <si>
    <t>Angela：GAV-521 黑色尼龙脚*2   检查好质量   开票：内蒙古军晨信息技术服务有限公司</t>
  </si>
  <si>
    <t xml:space="preserve">	2019-06-06 18:45:23</t>
  </si>
  <si>
    <t xml:space="preserve">	2019-06-14 20:39:31</t>
  </si>
  <si>
    <t xml:space="preserve">	2019-06-03 16:26:49</t>
  </si>
  <si>
    <t>jd_57e7c5728529c</t>
  </si>
  <si>
    <t>何青燕</t>
  </si>
  <si>
    <t>广东东莞市长安镇长青路明珠广场A座2507室</t>
  </si>
  <si>
    <t>Alan：GAV-8213   白框千鸟格   检查好质量</t>
  </si>
  <si>
    <t xml:space="preserve">	2019-06-03 16:26:56</t>
  </si>
  <si>
    <t xml:space="preserve">	2019-06-09 12:27:31</t>
  </si>
  <si>
    <t xml:space="preserve">	2019-06-02 07:37:43</t>
  </si>
  <si>
    <t>wdXFPlfHSJxyup</t>
  </si>
  <si>
    <t>司泽永</t>
  </si>
  <si>
    <t>贵州六盘水市盘州市红果街道宏财投资大厦2-9-3</t>
  </si>
  <si>
    <t>Angela：GAV-8213   白框千鸟格  检查好质量</t>
  </si>
  <si>
    <t xml:space="preserve">	2019-06-02 07:38:06</t>
  </si>
  <si>
    <t xml:space="preserve">	2019-06-05 21:55:43</t>
  </si>
  <si>
    <t>GAVEE 简约家用电脑椅 时尚学生学习椅人体工学办公椅 休闲老板转椅 灰框蓝格</t>
  </si>
  <si>
    <t xml:space="preserve">	2019-06-02 07:31:53</t>
  </si>
  <si>
    <t>Angela：GAV-8213   灰框蓝格  检查好质量</t>
  </si>
  <si>
    <t xml:space="preserve">	2019-06-02 07:32:21</t>
  </si>
  <si>
    <t xml:space="preserve">	2019-06-08 21:11:04</t>
  </si>
  <si>
    <t>GAVEE 人体工学 电脑椅 家用办公椅 升降座椅 网布转椅 可躺老板椅 黑色网</t>
  </si>
  <si>
    <t xml:space="preserve">	2019-06-01 12:05:45</t>
  </si>
  <si>
    <t>不安分的蝎子</t>
  </si>
  <si>
    <t>邱永林</t>
  </si>
  <si>
    <t>浙江杭州市西湖区城区之江诚品11-1-402</t>
  </si>
  <si>
    <t>Angela：GAV-901网  黑框黑色  检查好质量</t>
  </si>
  <si>
    <t xml:space="preserve">	2019-06-01 12:05:59</t>
  </si>
  <si>
    <t>GAV-JNS-901</t>
  </si>
  <si>
    <t xml:space="preserve">	2019-06-03 22:05:10</t>
  </si>
  <si>
    <t xml:space="preserve">	2019-06-01 08:49:09</t>
  </si>
  <si>
    <t>自得其乐wy</t>
  </si>
  <si>
    <t>杨文</t>
  </si>
  <si>
    <t>四川成都市青羊区城区草堂北路八号</t>
  </si>
  <si>
    <t>Angela：GAV-X2  普通版黑色 检查好质量</t>
  </si>
  <si>
    <t xml:space="preserve">	2019-06-01 08:51:46</t>
  </si>
  <si>
    <t xml:space="preserve">	2019-06-07 11:20:25</t>
  </si>
  <si>
    <t>tb909087827</t>
  </si>
  <si>
    <t>梁柳燕</t>
  </si>
  <si>
    <t>山东省 聊城市 临清市    八岔路镇 路庄村</t>
  </si>
  <si>
    <t>'15224266505</t>
  </si>
  <si>
    <t>GAVEE电脑椅家用电竞游戏椅人体工学椅子靠背转椅舒适可躺办公椅</t>
  </si>
  <si>
    <t>No:8355493904</t>
  </si>
  <si>
    <t>zhuangyy830812</t>
  </si>
  <si>
    <t>庄先生</t>
  </si>
  <si>
    <t>上海 上海市 松江区    中山街道 五昆路143号（中山街道社会组织创客中心）</t>
  </si>
  <si>
    <t>'18616399681</t>
  </si>
  <si>
    <t>No:8355417738</t>
  </si>
  <si>
    <t>王一馨儿</t>
  </si>
  <si>
    <t>王一馨</t>
  </si>
  <si>
    <t>陕西省 西安市 长安区    引镇街道 火车南站引凤大楼博馨宾馆</t>
  </si>
  <si>
    <t>'18291998743</t>
  </si>
  <si>
    <t>No:8355352168</t>
  </si>
  <si>
    <t>我放弃123030</t>
  </si>
  <si>
    <t>斯嘉</t>
  </si>
  <si>
    <t>河北省 廊坊市 霸州市    霸州镇 翡翠城小区一号楼一单元304</t>
  </si>
  <si>
    <t>'17692626838</t>
  </si>
  <si>
    <t>GAVEE人体工学电脑椅家用书房护腰办公椅学生网布转椅简约电竞椅</t>
  </si>
  <si>
    <t>No:8355292087</t>
  </si>
  <si>
    <t>'Angela：GAV-8216    白框带头枕灰色    检查好质量</t>
  </si>
  <si>
    <t>dingyahua123</t>
  </si>
  <si>
    <t>丁亚华</t>
  </si>
  <si>
    <t>江苏省 南通市 通州区    金沙街道 江苏省南通市通州区福瑞嘉园1-2101</t>
  </si>
  <si>
    <t>'13814662677</t>
  </si>
  <si>
    <t>No:8355033777</t>
  </si>
  <si>
    <t>苏水水66</t>
  </si>
  <si>
    <t>苏水水</t>
  </si>
  <si>
    <t>广西壮族自治区 桂林市 临桂区    临桂镇 彰泰城市1号</t>
  </si>
  <si>
    <t>'19907739141</t>
  </si>
  <si>
    <t>No:8355033763</t>
  </si>
  <si>
    <t>江银花</t>
  </si>
  <si>
    <t>小花花</t>
  </si>
  <si>
    <t>广西壮族自治区 柳州市 柳北区    雅儒街道 北雀路18号五公司钢窗厂生活区1栋1单元4楼4-5</t>
  </si>
  <si>
    <t>'18897649821</t>
  </si>
  <si>
    <t>No:8355033483</t>
  </si>
  <si>
    <t>迷糊迷糊46037363</t>
  </si>
  <si>
    <t>邱仕琴</t>
  </si>
  <si>
    <t>湖南省 怀化市 鹤城区    坨院街道 石门学府幼儿园路口</t>
  </si>
  <si>
    <t>'18169451695</t>
  </si>
  <si>
    <t>GAVEE弓形办公会议椅学生电脑椅家用书房简约网布靠背转椅职员椅</t>
  </si>
  <si>
    <t>No:8355033346</t>
  </si>
  <si>
    <t>我的缘分水晶</t>
  </si>
  <si>
    <t>季缜</t>
  </si>
  <si>
    <t>江苏省 南通市 通州区    金新街道 江苏省通州市朝霞路水榭花都28栋203</t>
  </si>
  <si>
    <t>'15900534263</t>
  </si>
  <si>
    <t>No:8354778493</t>
  </si>
  <si>
    <t>qq何以爱情</t>
  </si>
  <si>
    <t>陈孝艳</t>
  </si>
  <si>
    <t>广东省 中山市      火炬开发区街道 中山市火炬开发区科技西路46号卡西欧电子科技（中山）有限公司</t>
  </si>
  <si>
    <t>'15800192779</t>
  </si>
  <si>
    <t>No:8354777425</t>
  </si>
  <si>
    <t>凌萱悦心</t>
  </si>
  <si>
    <t>叶子</t>
  </si>
  <si>
    <t>湖南省 怀化市 洪江市    黔城镇 双溪街步步高家具城后面</t>
  </si>
  <si>
    <t>'13317446498</t>
  </si>
  <si>
    <t>No:8354124539</t>
  </si>
  <si>
    <t>未来一定会来</t>
  </si>
  <si>
    <t>湖北省 武汉市 江岸区    二七街街道 工农兵路1号 (武汉兵站家属区院内) 15栋-1单元-201室</t>
  </si>
  <si>
    <t>'13627282531</t>
  </si>
  <si>
    <t>No:8354086831</t>
  </si>
  <si>
    <t>工安13</t>
  </si>
  <si>
    <t>范翎</t>
  </si>
  <si>
    <t>江苏省 南京市 鼓楼区    宁海路街道 北京西路74号南京艺术学院传媒学院行政楼318室</t>
  </si>
  <si>
    <t>'13382043317</t>
  </si>
  <si>
    <t>No:8354087247</t>
  </si>
  <si>
    <t>'Angela：GAV-M6  豪华版黑色  检查好质量</t>
  </si>
  <si>
    <t>静9981</t>
  </si>
  <si>
    <t>周静</t>
  </si>
  <si>
    <t>河南省 平顶山市 湛河区    轻工路街道 平顶山市沁园小区32号楼2单元2楼</t>
  </si>
  <si>
    <t>'13525398891</t>
  </si>
  <si>
    <t>GAVEE电脑椅家用简单书房网布升降椅可躺学生宿舍转椅办公职员椅</t>
  </si>
  <si>
    <t>No:8353689052</t>
  </si>
  <si>
    <t>陈建华_22</t>
  </si>
  <si>
    <t>陈喆</t>
  </si>
  <si>
    <t>江苏省 南通市 崇川区    钟秀街道 南通市德诚翠湖湾11幢701</t>
  </si>
  <si>
    <t>'18761726980</t>
  </si>
  <si>
    <t>No:8353595208</t>
  </si>
  <si>
    <t>小柒3382</t>
  </si>
  <si>
    <t>小柒</t>
  </si>
  <si>
    <t>江苏省 南通市 海门市    海门工业园区 江苏省南通市海门市海门工业管理委员会金桥加油站</t>
  </si>
  <si>
    <t>'13142677833</t>
  </si>
  <si>
    <t>No:8353594813</t>
  </si>
  <si>
    <t>guanhonghui1002</t>
  </si>
  <si>
    <t>关红会</t>
  </si>
  <si>
    <t>江苏省 淮安市 清江浦区    府前街道 健康西路51号新世界豪园3号楼2102</t>
  </si>
  <si>
    <t>'15195337667</t>
  </si>
  <si>
    <t>No:8353328536</t>
  </si>
  <si>
    <t>豪豪雨雨宝贝</t>
  </si>
  <si>
    <t>伍静</t>
  </si>
  <si>
    <t>四川省 成都市 双流区    黄甲街道 四川省成都市双流区航空港工业开发区黄甲大道双华段408号大华食品有限公司</t>
  </si>
  <si>
    <t>'18581578581</t>
  </si>
  <si>
    <t>GAVEE轻奢精灵电脑椅家用北欧休闲椅现代简约设计师创意书房椅子</t>
  </si>
  <si>
    <t>No:8353148016</t>
  </si>
  <si>
    <t>我珂真美</t>
  </si>
  <si>
    <t>汪成龙</t>
  </si>
  <si>
    <t>浙江省 杭州市 桐庐县    城南街道 中杭滨江2幢1单元</t>
  </si>
  <si>
    <t>'15267163697</t>
  </si>
  <si>
    <t>No:8353147590</t>
  </si>
  <si>
    <t>'Anthea: GAV-2018 黑框黑网弓形脚 检查好质量</t>
  </si>
  <si>
    <t>smile007xxl</t>
  </si>
  <si>
    <t>徐晓丽</t>
  </si>
  <si>
    <t>江苏省 南通市 通州区    金沙街道 金沙镇人民西路188号汇金广场南通恒生投资集团8楼财务部</t>
  </si>
  <si>
    <t>'13814653691</t>
  </si>
  <si>
    <t>No:8353145253</t>
  </si>
  <si>
    <t>一生幸福247826</t>
  </si>
  <si>
    <t>赵立权</t>
  </si>
  <si>
    <t>河北省 秦皇岛市 昌黎县    昌黎镇 二院东50米路北，依淼小吃</t>
  </si>
  <si>
    <t>'13333324276</t>
  </si>
  <si>
    <t>No:8353144364</t>
  </si>
  <si>
    <t>shen198765111</t>
  </si>
  <si>
    <t>沈冰</t>
  </si>
  <si>
    <t>吉林省 长春市 南关区    幸福乡 长春市南关区幸福街1151号送变电小区5栋3门306</t>
  </si>
  <si>
    <t>'13904334629</t>
  </si>
  <si>
    <t>No:8352306095</t>
  </si>
  <si>
    <t>'Anthea： GAV-M6   普通版黑色 检查好质量</t>
  </si>
  <si>
    <t>蔺小琴68</t>
  </si>
  <si>
    <t>蔺小琴</t>
  </si>
  <si>
    <t>河南省 三门峡市 陕州区    大营镇 温塘五彩城南侧民政局婚姻登记处隔壁左麻在辣</t>
  </si>
  <si>
    <t>'17839812560</t>
  </si>
  <si>
    <t>No:8352160335</t>
  </si>
  <si>
    <t>伊狐伊狐89</t>
  </si>
  <si>
    <t>王玮</t>
  </si>
  <si>
    <t>浙江省 杭州市 淳安县    千岛湖镇 人民路2号淳安广播电视台 千岛湖之声一楼华数机房</t>
  </si>
  <si>
    <t>'18058754589</t>
  </si>
  <si>
    <t>No:8352159039</t>
  </si>
  <si>
    <t>陈义泳</t>
  </si>
  <si>
    <t>上海 上海市 闵行区    七宝镇 华友路260弄碧林湾南苑19号楼</t>
  </si>
  <si>
    <t>'15216784020</t>
  </si>
  <si>
    <t>GAVEE凳子椅子特价塑料凳子加厚时尚餐椅创意休闲凳户外椅电脑椅，GAVEE弓形办公会议椅学生电脑椅家用书房简约网布靠背转椅职员椅</t>
  </si>
  <si>
    <t>No:8352165067</t>
  </si>
  <si>
    <t>lolitasyf</t>
  </si>
  <si>
    <t>孙娅芳</t>
  </si>
  <si>
    <t>云南省 昆明市 五华区    昆明国家高新技术产业开发区 高新区桂鑫园小区7幢3单元1603</t>
  </si>
  <si>
    <t>'18087478413</t>
  </si>
  <si>
    <t>GAVEE电脑椅家用简单书房网布升降椅可躺学生宿舍转椅办公职员椅，GAVEE凳子椅子特价塑料凳子加厚时尚餐椅创意休闲凳户外椅电脑椅</t>
  </si>
  <si>
    <t>No:8351449874</t>
  </si>
  <si>
    <t>最爱白少</t>
  </si>
  <si>
    <t>小真琴</t>
  </si>
  <si>
    <t>重庆 重庆市 南岸区    涂山镇 576号 东海长洲 b区</t>
  </si>
  <si>
    <t>'15923292400</t>
  </si>
  <si>
    <t>GAVEE电脑椅家用 现代简约办公椅人体工学椅升降转椅时尚商务椅子</t>
  </si>
  <si>
    <t>No:8351101610</t>
  </si>
  <si>
    <t>'Anthea: GAV-X2 普通版绿色  检查好质量</t>
  </si>
  <si>
    <t>虚拟天下29978</t>
  </si>
  <si>
    <t>张晓</t>
  </si>
  <si>
    <t>山西省 长治市 潞城市    潞华街道 隆泰苑小区一号</t>
  </si>
  <si>
    <t>'15835509978</t>
  </si>
  <si>
    <t>No:8351487774</t>
  </si>
  <si>
    <t>浪浪浪浪越</t>
  </si>
  <si>
    <t>王馨越</t>
  </si>
  <si>
    <t>黑龙江省 七台河市 勃利县    新起街道 东方家园c7.2单元.202</t>
  </si>
  <si>
    <t>'18249399403</t>
  </si>
  <si>
    <t>No:8351486947</t>
  </si>
  <si>
    <t>visual22</t>
  </si>
  <si>
    <t>陈智</t>
  </si>
  <si>
    <t>上海 上海市 浦东新区    唐镇 创新西路75弄金唐公寓29号202</t>
  </si>
  <si>
    <t>'18817333911</t>
  </si>
  <si>
    <t>No:8350535973</t>
  </si>
  <si>
    <t>'Anthea: GAV-M6 普通版黑色 检查好质量</t>
  </si>
  <si>
    <t>娇气十足1022</t>
  </si>
  <si>
    <t>张云娇</t>
  </si>
  <si>
    <t>云南省 玉溪市 红塔区    北城街道 高古楼附近</t>
  </si>
  <si>
    <t>'13987781754</t>
  </si>
  <si>
    <t>GAVEE凳子椅子特价塑料凳子加厚时尚餐椅创意休闲凳户外椅电脑椅，GAVEE电脑椅家用简单书房网布升降椅可躺学生宿舍转椅办公职员椅</t>
  </si>
  <si>
    <t>No:8351079231</t>
  </si>
  <si>
    <t>额尔敦150</t>
  </si>
  <si>
    <t>李塔那</t>
  </si>
  <si>
    <t>内蒙古自治区 乌海市 其它区 内蒙古自治区乌海市蒙西工业园区中谷矿业有限责任公司(000000)</t>
  </si>
  <si>
    <t>'15034754857</t>
  </si>
  <si>
    <t>GAVEE弓形办公会议椅学生电脑椅家用书房简约网布靠背转椅职员椅，GAVEE凳子椅子特价塑料凳子加厚时尚餐椅创意休闲凳户外椅电脑椅</t>
  </si>
  <si>
    <t>No:8351079207</t>
  </si>
  <si>
    <t>黄油煎饼</t>
  </si>
  <si>
    <t>江与城</t>
  </si>
  <si>
    <t>福建省 福州市 鼓楼区    温泉街道 东大路142号3座3梯606</t>
  </si>
  <si>
    <t>'13161473147</t>
  </si>
  <si>
    <t>No:8350194190</t>
  </si>
  <si>
    <t>lrr828</t>
  </si>
  <si>
    <t>李蓉蓉</t>
  </si>
  <si>
    <t>云南省 玉溪市 红塔区    北城街道 莲池小学旁</t>
  </si>
  <si>
    <t>'15987071484</t>
  </si>
  <si>
    <t>No:8350097614</t>
  </si>
  <si>
    <t>1529239369zh</t>
  </si>
  <si>
    <t>张鹤</t>
  </si>
  <si>
    <t>江苏省 盐城市 响水县    陈家港镇 ，联化人才公寓（陈港小学对面）</t>
  </si>
  <si>
    <t>'18238913102</t>
  </si>
  <si>
    <t>No:8350059554</t>
  </si>
  <si>
    <t>peggy6204</t>
  </si>
  <si>
    <t>张永豪</t>
  </si>
  <si>
    <t>河北省 邯郸市 邯山区    马头镇 西班牙风情小镇</t>
  </si>
  <si>
    <t>'13483417248</t>
  </si>
  <si>
    <t>No:8350060012</t>
  </si>
  <si>
    <t>我过的很好请不要打扰123</t>
  </si>
  <si>
    <t>李国娇</t>
  </si>
  <si>
    <t>四川省 成都市 新津县    五津街道 五津镇 西顺河街216号悠雅港湾2栋2单元3楼3号</t>
  </si>
  <si>
    <t>'18200288561</t>
  </si>
  <si>
    <t>No:8350060402</t>
  </si>
  <si>
    <t>tb11480_2013</t>
  </si>
  <si>
    <t>陈宇</t>
  </si>
  <si>
    <t>浙江省 杭州市 桐庐县    城南街道 大奇山路15号滨江中杭小区2幢1402</t>
  </si>
  <si>
    <t>'17826837996</t>
  </si>
  <si>
    <t>No:8350102635</t>
  </si>
  <si>
    <t>'Anthea: GAV-2018 黑框黑网 弓形脚 检查好质量</t>
  </si>
  <si>
    <t>tb46821003</t>
  </si>
  <si>
    <t>王翠</t>
  </si>
  <si>
    <t>广西壮族自治区 钦州市 钦南区    钦州港经济技术开发区 钦州港大华财富广场一期（到货自取）</t>
  </si>
  <si>
    <t>'13877776934</t>
  </si>
  <si>
    <t>No:8350060833</t>
  </si>
  <si>
    <t>tb53849049</t>
  </si>
  <si>
    <t>宋盼</t>
  </si>
  <si>
    <t>河南省 郑州市 其它区 河南省郑州市航空港区 新港大道与空港四路交汇处，富田兴和苑(000000)</t>
  </si>
  <si>
    <t>'15637189769</t>
  </si>
  <si>
    <t>No:8350061208</t>
  </si>
  <si>
    <t>game_btty</t>
  </si>
  <si>
    <t>沈琳</t>
  </si>
  <si>
    <t>浙江省 宁波市 海曙区    望春街道 永丰西路672号青苹果商务广场1号楼1006</t>
  </si>
  <si>
    <t>'13967800307</t>
  </si>
  <si>
    <t>No:8350061679</t>
  </si>
  <si>
    <t>栢翎钩钩</t>
  </si>
  <si>
    <t>柏正坤</t>
  </si>
  <si>
    <t>云南省 文山壮族苗族自治州 西畴县    西洒镇 玉 鼓 巷</t>
  </si>
  <si>
    <t>'18213522262</t>
  </si>
  <si>
    <t>No:8350062314</t>
  </si>
  <si>
    <t>咚咚咚咚美眉呀</t>
  </si>
  <si>
    <t>龚俞尤</t>
  </si>
  <si>
    <t>云南省 玉溪市 红塔区    大营街街道 大营街下西古城</t>
  </si>
  <si>
    <t>'18308771330</t>
  </si>
  <si>
    <t>No:8348512186</t>
  </si>
  <si>
    <t>hanmei780818</t>
  </si>
  <si>
    <t>韩菲</t>
  </si>
  <si>
    <t>山西省 太原市 杏花岭区    中涧河乡 杏花岭第十一中学后面文源小区</t>
  </si>
  <si>
    <t>'15235182167</t>
  </si>
  <si>
    <t>GAVEE电脑椅家用简单书房网布升降椅可躺学生宿舍转椅办公职员椅，GAVEE电脑椅家用简单书房网布升降椅可躺学生宿舍转椅办公职员椅</t>
  </si>
  <si>
    <t>No:7793306265</t>
  </si>
  <si>
    <t>north_js</t>
  </si>
  <si>
    <t>刘晨宇</t>
  </si>
  <si>
    <t>广东省 广州市 番禺区    小谷围街道 大学城外环西路168号广美生活区</t>
  </si>
  <si>
    <t>'13418027065</t>
  </si>
  <si>
    <t>No:7793306507</t>
  </si>
  <si>
    <t>king_taki</t>
  </si>
  <si>
    <t>广东省 深圳市 罗湖区    东晓街道 太白路松泉山庄11栋704</t>
  </si>
  <si>
    <t>'13590432422</t>
  </si>
  <si>
    <t>No:7793306261</t>
  </si>
  <si>
    <t>'Anthea: GAV-M4 黑背红座 检查好质量</t>
  </si>
  <si>
    <t>ysb6688</t>
  </si>
  <si>
    <t>叶大大</t>
  </si>
  <si>
    <t>广东省 深圳市 福田区    园岭街道 八卦三路八卦岭工业园511栋2楼202-206室</t>
  </si>
  <si>
    <t>'15919801155</t>
  </si>
  <si>
    <t>No:7793306262</t>
  </si>
  <si>
    <t>'Anthea: GAV-M6升级版黑色X2 检查好质量</t>
  </si>
  <si>
    <t>蔡苏亚嘉欣</t>
  </si>
  <si>
    <t>蔡苏亚</t>
  </si>
  <si>
    <t>江苏省 无锡市 江阴市    江阴高新技术产业开发区 澄江东路80罗宾孙礼品公司</t>
  </si>
  <si>
    <t>'15161615823</t>
  </si>
  <si>
    <t>No:7793306505</t>
  </si>
  <si>
    <t>专属猪婆520871414154</t>
  </si>
  <si>
    <t>曾运金</t>
  </si>
  <si>
    <t>广东省 梅州市 五华县    水寨镇 中心坝路口啊辉商店</t>
  </si>
  <si>
    <t>'15812949128</t>
  </si>
  <si>
    <t>No:7793306506</t>
  </si>
  <si>
    <t>懒有罪么</t>
  </si>
  <si>
    <t>史菲</t>
  </si>
  <si>
    <t>北京 北京市 朝阳区    酒仙桥街道 酒仙桥十街坊27号楼10号</t>
  </si>
  <si>
    <t>'15011587585</t>
  </si>
  <si>
    <t>No:7793306260</t>
  </si>
  <si>
    <t>tb_1134009</t>
  </si>
  <si>
    <t>孙艺菲</t>
  </si>
  <si>
    <t>北京 北京市 房山区    良乡镇 体育场路26号院3号楼1单元4层中门</t>
  </si>
  <si>
    <t>'13681134009</t>
  </si>
  <si>
    <t>No:7793306259</t>
  </si>
  <si>
    <t>时间倒退66</t>
  </si>
  <si>
    <t>郑小姐</t>
  </si>
  <si>
    <t>广东省 东莞市      茶山镇 布料市场B1栋41号</t>
  </si>
  <si>
    <t>'13802390468</t>
  </si>
  <si>
    <t>No:7793306300</t>
  </si>
  <si>
    <t>冷水江6699</t>
  </si>
  <si>
    <t>李燕兰</t>
  </si>
  <si>
    <t>广东省 东莞市      常平镇 岗梓三区177号</t>
  </si>
  <si>
    <t>'18860182980</t>
  </si>
  <si>
    <t>No:7793306299</t>
  </si>
  <si>
    <t>joisli555</t>
  </si>
  <si>
    <t>李娇</t>
  </si>
  <si>
    <t>江苏省 徐州市 云龙区    彭城街道 江苏省徐州市云龙区彭城街道淮海东路116号文化路徐州电信院内6楼</t>
  </si>
  <si>
    <t>'18005215215</t>
  </si>
  <si>
    <t>GAVEE 简约家用电脑椅学生学习椅人体工学办公椅时尚布艺休闲转椅</t>
  </si>
  <si>
    <t>No:7793306501</t>
  </si>
  <si>
    <t>xiami_xiami</t>
  </si>
  <si>
    <t>子小</t>
  </si>
  <si>
    <t>上海 上海市 宝山区    大场镇 锦秋路699弄7区2045室</t>
  </si>
  <si>
    <t>'13701818014</t>
  </si>
  <si>
    <t>No:7793306514</t>
  </si>
  <si>
    <t>你在我安1934</t>
  </si>
  <si>
    <t>潘永洁</t>
  </si>
  <si>
    <t>上海 上海市 宝山区    杨行镇 上海市宝山区杨行红林路和家欣苑b区15号401</t>
  </si>
  <si>
    <t>'18085508780</t>
  </si>
  <si>
    <t>No:7793306481</t>
  </si>
  <si>
    <t>实付款(元)</t>
  </si>
  <si>
    <t>订单付款时间</t>
  </si>
  <si>
    <t>发货方</t>
  </si>
  <si>
    <t>收货地址</t>
  </si>
  <si>
    <t>邮编</t>
  </si>
  <si>
    <t>货品标题</t>
  </si>
  <si>
    <t>单价(元)</t>
  </si>
  <si>
    <t>数量</t>
  </si>
  <si>
    <t>单位</t>
  </si>
  <si>
    <t>型号</t>
  </si>
  <si>
    <t>物料编号</t>
  </si>
  <si>
    <t>单品货号</t>
  </si>
  <si>
    <t>货品种类</t>
  </si>
  <si>
    <t>买家留言</t>
  </si>
  <si>
    <t>物流公司运单号</t>
  </si>
  <si>
    <t>505867010649421243</t>
  </si>
  <si>
    <t>sqzrlhy</t>
  </si>
  <si>
    <t>商家发货</t>
  </si>
  <si>
    <t>李红莹</t>
  </si>
  <si>
    <t>河北省 衡水市 饶阳县 饶阳镇 牛赵村牛村快递</t>
  </si>
  <si>
    <t>053900</t>
  </si>
  <si>
    <t/>
  </si>
  <si>
    <t>15373182538</t>
  </si>
  <si>
    <t>GAVEE 简约现代旋转升降办公椅电脑椅职员网布电脑椅休闲家用可躺 颜色: 黑框黑色无头枕</t>
  </si>
  <si>
    <t>把</t>
  </si>
  <si>
    <t>8216</t>
  </si>
  <si>
    <t>德邦快递:8355533876</t>
  </si>
  <si>
    <t>505127616488421333</t>
  </si>
  <si>
    <t>tb339145987</t>
  </si>
  <si>
    <t>段春英</t>
  </si>
  <si>
    <t>江西省 吉安市 万安县 百嘉镇 街中心</t>
  </si>
  <si>
    <t>18970443769</t>
  </si>
  <si>
    <t>GAVEE高档职员办公座椅旋转升降人体工学椅电脑椅家用 全铝合金架 规格: 802黑框绿色</t>
  </si>
  <si>
    <t>个</t>
  </si>
  <si>
    <t>802</t>
  </si>
  <si>
    <t>德邦快递:8355533503</t>
  </si>
  <si>
    <t>307915183126737206</t>
  </si>
  <si>
    <t>沉默的羔羊1233</t>
  </si>
  <si>
    <t>杨红</t>
  </si>
  <si>
    <t>浙江省 温州市 苍南县 灵溪镇 站南小区6-15栋一单元103</t>
  </si>
  <si>
    <t>325800</t>
  </si>
  <si>
    <t>15963900303</t>
  </si>
  <si>
    <t>德邦快递:8355533324</t>
  </si>
  <si>
    <t>504861187611084047</t>
  </si>
  <si>
    <t>tb371227717</t>
  </si>
  <si>
    <t>袁良英</t>
  </si>
  <si>
    <t>19979612375</t>
  </si>
  <si>
    <t>德邦快递:8355533273</t>
  </si>
  <si>
    <t>503116225763796882</t>
  </si>
  <si>
    <t>841022shasha</t>
  </si>
  <si>
    <t>陈沙沙</t>
  </si>
  <si>
    <t>福建省 泉州市 南安市 康美镇 雪峰经济开发区东区1509号</t>
  </si>
  <si>
    <t>000000</t>
  </si>
  <si>
    <t>15084109211</t>
  </si>
  <si>
    <t>德邦快递:8354544091</t>
  </si>
  <si>
    <t>503112065123248368</t>
  </si>
  <si>
    <t>wangruidong429</t>
  </si>
  <si>
    <t>贾鸿官</t>
  </si>
  <si>
    <t>江苏省 连云港市 海州区 洪门街道 海州区盛世豪庭17栋二单元1001</t>
  </si>
  <si>
    <t>000211</t>
  </si>
  <si>
    <t>15950784575</t>
  </si>
  <si>
    <t>德邦快递:8354544038</t>
  </si>
  <si>
    <t>307353549716611601</t>
  </si>
  <si>
    <t>可爱小猫咪489789121</t>
  </si>
  <si>
    <t>赵丹丹</t>
  </si>
  <si>
    <t>广东省 惠州市 惠城区 桥东街道 小红超市对面</t>
  </si>
  <si>
    <t>13514675350</t>
  </si>
  <si>
    <t>GAVEE 简约现代旋转升降办公椅电脑椅职员网布电脑椅休闲家用可躺 颜色: 黑框黑色带头枕</t>
  </si>
  <si>
    <t>德邦快递:8354543913</t>
  </si>
  <si>
    <t>285345895642024595</t>
  </si>
  <si>
    <t>tb900655687</t>
  </si>
  <si>
    <t>马晓兰</t>
  </si>
  <si>
    <t>福建省 龙岩市 新罗区 北城街道 金色家园9号楼1005</t>
  </si>
  <si>
    <t>18250085922</t>
  </si>
  <si>
    <t>德邦快递:8354042143</t>
  </si>
  <si>
    <t>501731777948241550</t>
  </si>
  <si>
    <t>tb58493799</t>
  </si>
  <si>
    <t>曹志刚</t>
  </si>
  <si>
    <t>河南省 商丘市 民权县 王桥镇 李庄村</t>
  </si>
  <si>
    <t>476800</t>
  </si>
  <si>
    <t>13781534094</t>
  </si>
  <si>
    <t>德邦快递:8354042062</t>
  </si>
  <si>
    <t>307345454218258301</t>
  </si>
  <si>
    <t>asd13974957232</t>
  </si>
  <si>
    <t>唐银中</t>
  </si>
  <si>
    <t>江西省 景德镇市 浮梁县 浮梁镇 民福路浮梁一中食堂奶茶店</t>
  </si>
  <si>
    <t>13974957232</t>
  </si>
  <si>
    <t>GAVEE高档职员办公座椅旋转升降人体工学椅电脑椅家用 全铝合金架 规格: 802黑框红色</t>
  </si>
  <si>
    <t>德邦快递:8354041670</t>
  </si>
  <si>
    <t>499970752065483314</t>
  </si>
  <si>
    <t>洪小玉玉</t>
  </si>
  <si>
    <t>洪晓玉</t>
  </si>
  <si>
    <t>广东省 揭阳市 揭东区 揭阳高新技术产业开发区 丰溪洪厝</t>
  </si>
  <si>
    <t>515559</t>
  </si>
  <si>
    <t>18934386578</t>
  </si>
  <si>
    <t>德邦快递:8353759089</t>
  </si>
  <si>
    <t>500944899206488625</t>
  </si>
  <si>
    <t>金153mj</t>
  </si>
  <si>
    <t>张秀峰</t>
  </si>
  <si>
    <t>广东省 深圳市 龙华区 大浪街道 三联四区三巷一号</t>
  </si>
  <si>
    <t>518105</t>
  </si>
  <si>
    <t>13923413445</t>
  </si>
  <si>
    <t>德邦快递:8353759045</t>
  </si>
  <si>
    <t>500244769829732568</t>
  </si>
  <si>
    <t>zhangxiufeng0308</t>
  </si>
  <si>
    <t>张佳莹</t>
  </si>
  <si>
    <t>广东省 深圳市 宝安区 深圳龙华三联三区二巷群兴批发部</t>
  </si>
  <si>
    <t>13670143831</t>
  </si>
  <si>
    <t>GAVEE 创意酒店椅子 简约餐厅酒吧北欧工业风钢塑椅子 办公休闲椅 规格: 蓝色带轮脚</t>
  </si>
  <si>
    <t>GAV-ELEVS CHAIR（精灵椅）</t>
  </si>
  <si>
    <t>德邦快递:8353758565</t>
  </si>
  <si>
    <t>500809091771934745</t>
  </si>
  <si>
    <t>咪萌香香</t>
  </si>
  <si>
    <t>李秀萌</t>
  </si>
  <si>
    <t>广东省 惠州市 博罗县 园洲镇 九谭福园路830号</t>
  </si>
  <si>
    <t>13528002098</t>
  </si>
  <si>
    <t>德邦快递:8353758371</t>
  </si>
  <si>
    <t>500501186949399512</t>
  </si>
  <si>
    <t>ym龙坤宝贝2014</t>
  </si>
  <si>
    <t>杨猛猛</t>
  </si>
  <si>
    <t>山东省 德州市 乐陵市 西段乡 西段中学</t>
  </si>
  <si>
    <t>13791324845</t>
  </si>
  <si>
    <t>厂家直销 GAVEE高档职员人体工学椅 现代简约升降转椅网布办公椅 颜色: 红色</t>
  </si>
  <si>
    <t>张</t>
  </si>
  <si>
    <t>GAV-JNS-802</t>
  </si>
  <si>
    <t>德邦快递:8353758247</t>
  </si>
  <si>
    <t>499040896414254949</t>
  </si>
  <si>
    <t>qfcom3873</t>
  </si>
  <si>
    <t>覃菲</t>
  </si>
  <si>
    <t>广西壮族自治区 南宁市 西乡塘区 石埠街道 石埠奶场</t>
  </si>
  <si>
    <t>17687413873</t>
  </si>
  <si>
    <t>职员办公椅子旋转网椅转椅电脑椅子office chair升降网布椅座椅 规格: 2018A黑胶橙网（尼龙脚+带头枕）</t>
  </si>
  <si>
    <t>2018</t>
  </si>
  <si>
    <t>德邦快递:8353758210</t>
  </si>
  <si>
    <t>499900227355607556</t>
  </si>
  <si>
    <t>范贰的人</t>
  </si>
  <si>
    <t>奚高杰</t>
  </si>
  <si>
    <t>陕西省 渭南市 白水县 雷牙镇 白水县雷牙镇工人新村</t>
  </si>
  <si>
    <t>715600</t>
  </si>
  <si>
    <t>13060329175</t>
  </si>
  <si>
    <t>GAVEE 办公座椅 自负重智能感应自动调节靠背承托力度电脑办公椅 规格: 带头枕灰白框橙色尼龙脚</t>
  </si>
  <si>
    <t>T05</t>
  </si>
  <si>
    <t>德邦快递:8353757950</t>
  </si>
  <si>
    <t>499273121208681252</t>
  </si>
  <si>
    <t>学会坚强xdxfp</t>
  </si>
  <si>
    <t>许芳萍</t>
  </si>
  <si>
    <t>浙江省 杭州市 余杭区 崇贤街道 佳维新苑1号丰巢柜</t>
  </si>
  <si>
    <t>311108</t>
  </si>
  <si>
    <t>15869036801</t>
  </si>
  <si>
    <t>德邦快递:8353757776</t>
  </si>
  <si>
    <t>285143207114140595</t>
  </si>
  <si>
    <t>tb316440701</t>
  </si>
  <si>
    <t>项小小</t>
  </si>
  <si>
    <t>湖南省 长沙市 天心区 暮云街道 高云路77号</t>
  </si>
  <si>
    <t>410000</t>
  </si>
  <si>
    <t>15387525719</t>
  </si>
  <si>
    <t>德邦快递:8353757490</t>
  </si>
  <si>
    <t>498881504170086436</t>
  </si>
  <si>
    <t>蒋文慧32</t>
  </si>
  <si>
    <t>蒋文慧</t>
  </si>
  <si>
    <t>广东省 东莞市 黄江镇 广东省东莞市黄江镇爱民四巷3号</t>
  </si>
  <si>
    <t>18746528588</t>
  </si>
  <si>
    <t>德邦快递:8353757453</t>
  </si>
  <si>
    <t>498702275689369678</t>
  </si>
  <si>
    <t>yueyue13364840909</t>
  </si>
  <si>
    <t>李月</t>
  </si>
  <si>
    <t>安徽省 宿州市 萧县 马井镇 萧县马井镇</t>
  </si>
  <si>
    <t>235231</t>
  </si>
  <si>
    <t>13624093901</t>
  </si>
  <si>
    <t>德邦快递:8352855210</t>
  </si>
  <si>
    <t>497681088862689276</t>
  </si>
  <si>
    <t>t_1514915512874_0935</t>
  </si>
  <si>
    <t>山东省 临沂市 河东区 郑旺镇 林家湾沟北村</t>
  </si>
  <si>
    <t>13675396728</t>
  </si>
  <si>
    <t>德邦快递:8352855079</t>
  </si>
  <si>
    <t>498646467505626988</t>
  </si>
  <si>
    <t>南京路133444</t>
  </si>
  <si>
    <t>罗方</t>
  </si>
  <si>
    <t>湖南省 长沙市 雨花区 左家塘街道 高云路77号</t>
  </si>
  <si>
    <t>13687355721</t>
  </si>
  <si>
    <t>德邦快递:8352854768</t>
  </si>
  <si>
    <t>497628768947936364</t>
  </si>
  <si>
    <t>黄老大的黄</t>
  </si>
  <si>
    <t>黄东平</t>
  </si>
  <si>
    <t>广东省 广州市 白云区 太和镇沙太北路淇骏货运市场北场中区7号仓</t>
  </si>
  <si>
    <t>525300</t>
  </si>
  <si>
    <t>13580566890</t>
  </si>
  <si>
    <t>德邦快递:8352854229</t>
  </si>
  <si>
    <t>498354050005621333</t>
  </si>
  <si>
    <t>tb434079843</t>
  </si>
  <si>
    <t>李帅</t>
  </si>
  <si>
    <t>陕西省 咸阳市 渭城区 渭阳街道 文林路咸阳师范学院</t>
  </si>
  <si>
    <t>15686162750</t>
  </si>
  <si>
    <t>德邦快递:8352853269</t>
  </si>
  <si>
    <t>496337856744754332</t>
  </si>
  <si>
    <t>我愿与你常相厮守</t>
  </si>
  <si>
    <t>余先生</t>
  </si>
  <si>
    <t>湖北省 武汉市 洪山区 狮子山街道 南湖大道12号，明泽第6区3-402</t>
  </si>
  <si>
    <t>430000</t>
  </si>
  <si>
    <t>18827342572</t>
  </si>
  <si>
    <t>GAVEE 创意酒店椅子 简约餐厅酒吧北欧工业风钢塑椅子 办公休闲椅 规格: 黄色带轮脚</t>
  </si>
  <si>
    <t>德邦快递:8352361322</t>
  </si>
  <si>
    <t>497036290632698424</t>
  </si>
  <si>
    <t>月下孤叶</t>
  </si>
  <si>
    <t>曹晓明</t>
  </si>
  <si>
    <t>湖南省 郴州市 嘉禾县 珠泉镇 人民南路水务局</t>
  </si>
  <si>
    <t>15115570203</t>
  </si>
  <si>
    <t>德邦快递:8352362010</t>
  </si>
  <si>
    <t>496660737734073253</t>
  </si>
  <si>
    <t>井冈山1111</t>
  </si>
  <si>
    <t>张艳</t>
  </si>
  <si>
    <t>河南省 郑州市 新郑市 龙湖镇 御景大药房</t>
  </si>
  <si>
    <t>15838329497</t>
  </si>
  <si>
    <t>GAVEE 创意酒店椅子 简约餐厅酒吧北欧工业风钢塑椅子 办公休闲椅 规格: 裸色带轮脚</t>
  </si>
  <si>
    <t>德邦快递:8352362209</t>
  </si>
  <si>
    <t>497262659056928437</t>
  </si>
  <si>
    <t>清风0159</t>
  </si>
  <si>
    <t>陈梅凤</t>
  </si>
  <si>
    <t>广东省 广州市 花都区 狮岭镇 芙蓉大道22号</t>
  </si>
  <si>
    <t>000100</t>
  </si>
  <si>
    <t>18824745377</t>
  </si>
  <si>
    <t>德邦快递:8352362997</t>
  </si>
  <si>
    <t>306891822958156402</t>
  </si>
  <si>
    <t>tb22634240</t>
  </si>
  <si>
    <t>安红波</t>
  </si>
  <si>
    <t>陕西省 渭南市 白水县 雷牙镇 白水工人新村</t>
  </si>
  <si>
    <t>15134692702</t>
  </si>
  <si>
    <t>德邦快递:8352363164</t>
  </si>
  <si>
    <t>496268352394980469</t>
  </si>
  <si>
    <t>tb_6523290</t>
  </si>
  <si>
    <t>梁凤</t>
  </si>
  <si>
    <t>广东省 东莞市 长安镇 锦厦一龙路长安汽配广场I区28号</t>
  </si>
  <si>
    <t>13549318922</t>
  </si>
  <si>
    <t>德邦快递:8352363396</t>
  </si>
  <si>
    <t>494717953281321644</t>
  </si>
  <si>
    <t>tb116935056</t>
  </si>
  <si>
    <t>刘海</t>
  </si>
  <si>
    <t>湖南省 湘潭市 岳塘区 岳塘街道 晴岚小区</t>
  </si>
  <si>
    <t>411110</t>
  </si>
  <si>
    <t>15388094668</t>
  </si>
  <si>
    <t>德邦快递:8351739290</t>
  </si>
  <si>
    <t>494570145477150012</t>
  </si>
  <si>
    <t>aww820808</t>
  </si>
  <si>
    <t>安春文</t>
  </si>
  <si>
    <t>山西省 大同市 平城区 北关街道 同丰小区8号楼</t>
  </si>
  <si>
    <t>037000</t>
  </si>
  <si>
    <t>13593005029</t>
  </si>
  <si>
    <t>德邦快递:8351742912</t>
  </si>
  <si>
    <t>494566561336581131</t>
  </si>
  <si>
    <t>t_1510182587581_0976</t>
  </si>
  <si>
    <t>吴炜炜</t>
  </si>
  <si>
    <t>湖北省 黄冈市 蕲春县 漕河镇 严垄村一组</t>
  </si>
  <si>
    <t>435317</t>
  </si>
  <si>
    <t>13986544071</t>
  </si>
  <si>
    <t>德邦快递:8351746237</t>
  </si>
  <si>
    <t>495180163447312129</t>
  </si>
  <si>
    <t>小木桶1234548157</t>
  </si>
  <si>
    <t>李云</t>
  </si>
  <si>
    <t>山东省 临沂市 兰山区 银雀山街道 山东，临沂，兰山解放路与临西九路交汇向北福润家园小区菜鸟驿站</t>
  </si>
  <si>
    <t>276002</t>
  </si>
  <si>
    <t>15854914902</t>
  </si>
  <si>
    <t>德邦快递:8351747603</t>
  </si>
  <si>
    <t>494426401166190558</t>
  </si>
  <si>
    <t>tb253047004</t>
  </si>
  <si>
    <t>熊丽</t>
  </si>
  <si>
    <t>重庆 重庆市 九龙坡区 陶家镇 陶家工业园</t>
  </si>
  <si>
    <t>18223052187</t>
  </si>
  <si>
    <t>德邦快递:8351749207</t>
  </si>
  <si>
    <t>494769058275561010</t>
  </si>
  <si>
    <t>萱5231</t>
  </si>
  <si>
    <t>徐正爽</t>
  </si>
  <si>
    <t>江苏省 淮安市 盱眙县 盱城街道 南苑新城37栋四单元108室</t>
  </si>
  <si>
    <t>18451255994</t>
  </si>
  <si>
    <t>德邦快递:8351786954</t>
  </si>
  <si>
    <t>284532167431457498</t>
  </si>
  <si>
    <t>光小锋</t>
  </si>
  <si>
    <t>李光锋</t>
  </si>
  <si>
    <t>江苏省 苏州市 吴江区 吴江经济技术开发区 庞北村韵达快递</t>
  </si>
  <si>
    <t>18506131464</t>
  </si>
  <si>
    <t>德邦快递:8351129042</t>
  </si>
  <si>
    <t>492644994385287655</t>
  </si>
  <si>
    <t>罗艳春铭</t>
  </si>
  <si>
    <t>罗艳春</t>
  </si>
  <si>
    <t>江西省 萍乡市 安源区 青山镇 水口富铭灯饰</t>
  </si>
  <si>
    <t>337000</t>
  </si>
  <si>
    <t>13684856194</t>
  </si>
  <si>
    <t>德邦快递:8351128890</t>
  </si>
  <si>
    <t>492638594557045718</t>
  </si>
  <si>
    <t>春天暖风吹来</t>
  </si>
  <si>
    <t>刘春茹</t>
  </si>
  <si>
    <t>山东省 威海市 环翠区 经区汽车站北时尚500皇佳丽奢</t>
  </si>
  <si>
    <t>264200</t>
  </si>
  <si>
    <t>13946935571</t>
  </si>
  <si>
    <t>德邦快递:8351128318</t>
  </si>
  <si>
    <t>284357798509619796</t>
  </si>
  <si>
    <t>lyf罗罗</t>
  </si>
  <si>
    <t>罗罗</t>
  </si>
  <si>
    <t>湖南省 长沙市 天心区 大托铺街道 理工大学</t>
  </si>
  <si>
    <t>13687355710</t>
  </si>
  <si>
    <t>德邦:8351127889</t>
  </si>
  <si>
    <t>491866080079116388</t>
  </si>
  <si>
    <t>tb973755317</t>
  </si>
  <si>
    <t>曾维清</t>
  </si>
  <si>
    <t>广东省 广州市 越秀区 矿泉街道 瑶台兴隆广场全星超市</t>
  </si>
  <si>
    <t>13928760585</t>
  </si>
  <si>
    <t>德邦快递:8351127491</t>
  </si>
  <si>
    <t>492564098317057053</t>
  </si>
  <si>
    <t>xj项静</t>
  </si>
  <si>
    <t>项静</t>
  </si>
  <si>
    <t>湖南省 长沙市 天心区 大托铺街道 高云路77号龙湾国际</t>
  </si>
  <si>
    <t>德邦快递:8351127318</t>
  </si>
  <si>
    <t>284208742585877196</t>
  </si>
  <si>
    <t>左指的记忆</t>
  </si>
  <si>
    <t>陈雅君</t>
  </si>
  <si>
    <t>浙江省 绍兴市 越城区 斗门街道 荷湖路8号</t>
  </si>
  <si>
    <t>13967529788</t>
  </si>
  <si>
    <t>德邦快递:8350561742</t>
  </si>
  <si>
    <t>490586049774665263</t>
  </si>
  <si>
    <t>zpl13146</t>
  </si>
  <si>
    <t>张培丽</t>
  </si>
  <si>
    <t>河北省 邯郸市 涉县 更乐镇 上巷村3号楼</t>
  </si>
  <si>
    <t>056404</t>
  </si>
  <si>
    <t>18633669656</t>
  </si>
  <si>
    <t>德邦快递:8350561913</t>
  </si>
  <si>
    <t>306314734642086603</t>
  </si>
  <si>
    <t>我来淘199146</t>
  </si>
  <si>
    <t>阙敏娅</t>
  </si>
  <si>
    <t>湖北省 鄂州市 鄂城区 碧石镇 金盆地</t>
  </si>
  <si>
    <t>436052</t>
  </si>
  <si>
    <t>15997164924</t>
  </si>
  <si>
    <t>德邦快递:8350562042</t>
  </si>
  <si>
    <t>283933284771851993</t>
  </si>
  <si>
    <t>李红杰meng</t>
  </si>
  <si>
    <t>李红杰</t>
  </si>
  <si>
    <t>河南省 濮阳市 濮阳县 濮阳县海通乡 两门村南街</t>
  </si>
  <si>
    <t>15365649809</t>
  </si>
  <si>
    <t>德邦快递:8350562156</t>
  </si>
  <si>
    <t>490868194033229410</t>
  </si>
  <si>
    <t>幽冥凤求凰</t>
  </si>
  <si>
    <t>崔瑞霏1</t>
  </si>
  <si>
    <t>山东省 烟台市 福山区 门楼街道 山东省烟台市福山区门楼街道兜余镇西庄村</t>
  </si>
  <si>
    <t>13625445508</t>
  </si>
  <si>
    <t>德邦快递:8350562252</t>
  </si>
  <si>
    <t>490869090493908729</t>
  </si>
  <si>
    <t>爱睡觉的猫2311849</t>
  </si>
  <si>
    <t>吴双</t>
  </si>
  <si>
    <t>北京 北京市 东城区 东华门街道 215栋</t>
  </si>
  <si>
    <t>100000</t>
  </si>
  <si>
    <t>13604122401</t>
  </si>
  <si>
    <t>德邦快递:8350562466</t>
  </si>
  <si>
    <t>490440545489770509</t>
  </si>
  <si>
    <t>tb894670077</t>
  </si>
  <si>
    <t>李玲</t>
  </si>
  <si>
    <t>广东省 深圳市 宝安区 福永街道 福桥工业一区15栋正义网络技术有限公司</t>
  </si>
  <si>
    <t>518000</t>
  </si>
  <si>
    <t>18123677686</t>
  </si>
  <si>
    <t>德邦快递:8350562564</t>
  </si>
  <si>
    <t>487969762518291369</t>
  </si>
  <si>
    <t>姐妹向前冲2933</t>
  </si>
  <si>
    <t>湖北省 武汉市 汉阳区 江汉二桥街道 芳草路十里景秀6栋103</t>
  </si>
  <si>
    <t>430051</t>
  </si>
  <si>
    <t>18271862933</t>
  </si>
  <si>
    <t>德邦快递:8350223154</t>
  </si>
  <si>
    <t>487647649439068065</t>
  </si>
  <si>
    <t>tb266643581</t>
  </si>
  <si>
    <t>叶丽华</t>
  </si>
  <si>
    <t>广东省 深圳市 龙岗区 坪地街道 龙岭南路香林世纪华府一栋</t>
  </si>
  <si>
    <t>13715168045</t>
  </si>
  <si>
    <t>德邦快递:8350223298</t>
  </si>
  <si>
    <t>488244803401021544</t>
  </si>
  <si>
    <t>远看今朝新</t>
  </si>
  <si>
    <t>张兰兰</t>
  </si>
  <si>
    <t>湖北省 武汉市 武昌区 白沙洲街街道 张家湾长征新区43号</t>
  </si>
  <si>
    <t>15807699969</t>
  </si>
  <si>
    <t>德邦快递:8350223523</t>
  </si>
  <si>
    <t>487948098437820128</t>
  </si>
  <si>
    <t>t_1492768737040_0999</t>
  </si>
  <si>
    <t>郑女士</t>
  </si>
  <si>
    <t>湖北省 恩施土家族苗族自治州 利川市 汪营镇 利川二中充电房</t>
  </si>
  <si>
    <t>163311</t>
  </si>
  <si>
    <t>13903696909</t>
  </si>
  <si>
    <t>德邦快递:8350223411</t>
  </si>
  <si>
    <t>488216867869002914</t>
  </si>
  <si>
    <t>富贵竹51382</t>
  </si>
  <si>
    <t>陈晓锋</t>
  </si>
  <si>
    <t>江苏省 苏州市 常熟市 支塘镇 湖漕花园70号</t>
  </si>
  <si>
    <t>18051829881</t>
  </si>
  <si>
    <t>德邦快递:8350223679</t>
  </si>
  <si>
    <t>487232384829827220</t>
  </si>
  <si>
    <t>陈沁绮宝贝</t>
  </si>
  <si>
    <t>周婷</t>
  </si>
  <si>
    <t>广东省 深圳市 龙岗区 横岗街道 深圳市横岗茂盛路60号瑞丽皮肤管理</t>
  </si>
  <si>
    <t>18390633572</t>
  </si>
  <si>
    <t>德邦快递:8350223904</t>
  </si>
  <si>
    <t>486752387826745889</t>
  </si>
  <si>
    <t>谷艺520</t>
  </si>
  <si>
    <t>杜佳欣1</t>
  </si>
  <si>
    <t>河北省 邯郸市 邯山区 花官营乡 南湖文苑</t>
  </si>
  <si>
    <t>15932776662</t>
  </si>
  <si>
    <t>GAVEE 电脑椅家用老板椅座椅工程学椅子舒适办公椅靠背人体工学椅 规格: T24E黑框黑网弓形</t>
  </si>
  <si>
    <t>T24</t>
  </si>
  <si>
    <t>德邦:8350101927</t>
  </si>
  <si>
    <t>486123553016111357</t>
  </si>
  <si>
    <t>淘气绵羊ls</t>
  </si>
  <si>
    <t>刘振权</t>
  </si>
  <si>
    <t>河北省 秦皇岛市 山海关区 西街街道 南海道小区14号楼4单元1楼2号</t>
  </si>
  <si>
    <t>13933560228</t>
  </si>
  <si>
    <t>GAVEE 人体工学电竞椅 护腰游戏椅旋转升降 办公可躺舒适座椅 颜色: 黑色</t>
  </si>
  <si>
    <t>GAV-A0004R</t>
  </si>
  <si>
    <t>德邦:8350101756</t>
  </si>
  <si>
    <t>486433058562109268</t>
  </si>
  <si>
    <t>人生15290760396</t>
  </si>
  <si>
    <t>周小可</t>
  </si>
  <si>
    <t>河南省 平顶山市 新华区 新新街街道 卫东小区</t>
  </si>
  <si>
    <t>467091</t>
  </si>
  <si>
    <t>15290760396</t>
  </si>
  <si>
    <t>德邦快递:8350101585</t>
  </si>
  <si>
    <t>486679651949004468</t>
  </si>
  <si>
    <t>琥珀88886955</t>
  </si>
  <si>
    <t>秦杨收</t>
  </si>
  <si>
    <t>四川省 成都市 都江堰市 幸福街道 翔凤路民主A6小区11-3</t>
  </si>
  <si>
    <t>13551296955</t>
  </si>
  <si>
    <t>德邦:8350101178</t>
  </si>
  <si>
    <t>485739328843386946</t>
  </si>
  <si>
    <t>我wang123321</t>
  </si>
  <si>
    <t>王辉</t>
  </si>
  <si>
    <t>山西省 吕梁市 汾阳市 南薰街道 昌宁宫一家人饭店后一排第四家</t>
  </si>
  <si>
    <t>18735809847</t>
  </si>
  <si>
    <t>德邦快递:8350100664</t>
  </si>
  <si>
    <t>486050657600825827</t>
  </si>
  <si>
    <t>肖芳芳0304</t>
  </si>
  <si>
    <t>萧芳</t>
  </si>
  <si>
    <t>湖南省 郴州市 苏仙区 南塔街道 湖南郴州市苏仙区江山丽城1栋</t>
  </si>
  <si>
    <t>18229398826</t>
  </si>
  <si>
    <t>德邦快递:8350100282</t>
  </si>
  <si>
    <t>485714720700143708</t>
  </si>
  <si>
    <t>smile敖影儿</t>
  </si>
  <si>
    <t>蒋凯</t>
  </si>
  <si>
    <t>河南省 郑州市 新密市 白寨镇 汽车站</t>
  </si>
  <si>
    <t>450000</t>
  </si>
  <si>
    <t>18939268859</t>
  </si>
  <si>
    <t>德邦:8350100140</t>
  </si>
  <si>
    <t>486379202826020646</t>
  </si>
  <si>
    <t>于利安000</t>
  </si>
  <si>
    <t>于利安</t>
  </si>
  <si>
    <t>江苏省 无锡市 江阴市 璜土镇 小湖新村20-203</t>
  </si>
  <si>
    <t>13999228702</t>
  </si>
  <si>
    <t>德邦:8350099798</t>
  </si>
  <si>
    <t>306148335696920802</t>
  </si>
  <si>
    <t>tb678966028</t>
  </si>
  <si>
    <t>韩娇</t>
  </si>
  <si>
    <t>上海 上海市 黄浦区 外滩街道 外滩街道</t>
  </si>
  <si>
    <t>15887911051</t>
  </si>
  <si>
    <t>德邦快递:8349222810</t>
  </si>
  <si>
    <t>283551045366355594</t>
  </si>
  <si>
    <t>ckun0322</t>
  </si>
  <si>
    <t>卢跃</t>
  </si>
  <si>
    <t>安徽省 芜湖市 无为县 无城镇 北门外大街111号</t>
  </si>
  <si>
    <t>238033</t>
  </si>
  <si>
    <t>18325317770</t>
  </si>
  <si>
    <t>德邦快递:8349211983</t>
  </si>
  <si>
    <t>484484960824832780</t>
  </si>
  <si>
    <t>tb747685361</t>
  </si>
  <si>
    <t>王宁</t>
  </si>
  <si>
    <t>河南省 郑州市 新郑市 龙湖镇 原溪里</t>
  </si>
  <si>
    <t>15515867628</t>
  </si>
  <si>
    <t>德邦快递:8349212488</t>
  </si>
  <si>
    <t>485112770521438882</t>
  </si>
  <si>
    <t>chaoliyun123</t>
  </si>
  <si>
    <t>巢丽云</t>
  </si>
  <si>
    <t>江西省 九江市 都昌县 都昌镇 幸福路牛角塘一巷39号</t>
  </si>
  <si>
    <t>332600</t>
  </si>
  <si>
    <t>15079200005</t>
  </si>
  <si>
    <t>德邦快递:8349212809</t>
  </si>
  <si>
    <t>485373251418994034</t>
  </si>
  <si>
    <t>tb909096392</t>
  </si>
  <si>
    <t>张会娟</t>
  </si>
  <si>
    <t>河南省 商丘市 夏邑县 城关镇 派出所对面恒业超市</t>
  </si>
  <si>
    <t>476400</t>
  </si>
  <si>
    <t>15660929591</t>
  </si>
  <si>
    <t>德邦快递:8349213267</t>
  </si>
  <si>
    <t>485373155093826651</t>
  </si>
  <si>
    <t>卡其色的生活320</t>
  </si>
  <si>
    <t>王玉萍</t>
  </si>
  <si>
    <t>湖北省 十堰市 张湾区 花果街道 六四厂高层24楼02号</t>
  </si>
  <si>
    <t>442000</t>
  </si>
  <si>
    <t>13636186531</t>
  </si>
  <si>
    <t>德邦快递:8349213432</t>
  </si>
  <si>
    <t>485086594907654391</t>
  </si>
  <si>
    <t>张元刘兴伟爱你</t>
  </si>
  <si>
    <t>张元宝</t>
  </si>
  <si>
    <t>河北省 唐山市 丰润区 金域名邸二区</t>
  </si>
  <si>
    <t>064000</t>
  </si>
  <si>
    <t>15233259927</t>
  </si>
  <si>
    <t>德邦快递:8350099449</t>
  </si>
  <si>
    <t>484433440291211423</t>
  </si>
  <si>
    <t>tb517607456</t>
  </si>
  <si>
    <t>李丽萍</t>
  </si>
  <si>
    <t>安徽省 滁州市 明光市 明光街道 池河大道天水湖52栋2302</t>
  </si>
  <si>
    <t>18726648791</t>
  </si>
  <si>
    <t>德邦快递:8349214011</t>
  </si>
  <si>
    <t>484220866338670917</t>
  </si>
  <si>
    <t>榴不住山竹</t>
  </si>
  <si>
    <t>黄金富</t>
  </si>
  <si>
    <t>湖北省 孝感市 孝南区 孝南区朱湖街道 金贸路后湖社区（城东烟酒商行）</t>
  </si>
  <si>
    <t>653300</t>
  </si>
  <si>
    <t>13619479525</t>
  </si>
  <si>
    <t>GAVEE 创意酒店椅子轻奢餐椅电脑椅家用学生椅北欧椅子广东休闲椅 规格: 黄色带轮脚</t>
  </si>
  <si>
    <t>德邦快递:8348796704</t>
  </si>
  <si>
    <t>484204706589910547</t>
  </si>
  <si>
    <t>ashes37</t>
  </si>
  <si>
    <t>李浩</t>
  </si>
  <si>
    <t>安徽省 阜阳市 颍泉区 中市街道 界首路颍泉区城市管理行政执法服务中心</t>
  </si>
  <si>
    <t>17775003100</t>
  </si>
  <si>
    <t>办公椅子网椅转椅旋转可躺麻将椅高背办公椅 电脑椅可躺可升降 颜色: 普通版黑色</t>
  </si>
  <si>
    <t>德邦快递:7793305495</t>
  </si>
  <si>
    <t>483878049282342223</t>
  </si>
  <si>
    <t>陈杨阳11</t>
  </si>
  <si>
    <t>陈杨阳</t>
  </si>
  <si>
    <t>广东省 河源市 龙川县 丰稔镇十二排田咀</t>
  </si>
  <si>
    <t>517300</t>
  </si>
  <si>
    <t>13052740989</t>
  </si>
  <si>
    <t>GAVEE 现代办公座椅智能护腰职员电脑办公椅 电脑椅家用旋转可躺 颜色: 黑框黑色无头枕</t>
  </si>
  <si>
    <t>德邦快递:8348796483</t>
  </si>
  <si>
    <t>483846305436094833</t>
  </si>
  <si>
    <t>tao_tao_happy1</t>
  </si>
  <si>
    <t>陶志花</t>
  </si>
  <si>
    <t>江苏省 苏州市 常熟市 虞山街道 阜湖苑1幢606</t>
  </si>
  <si>
    <t>18051826662</t>
  </si>
  <si>
    <t>GAVEE 现代办公座椅智能护腰职员电脑办公椅 电脑椅家用旋转可躺 颜色: 白框黑色带头枕</t>
  </si>
  <si>
    <t>德邦快递:8348796306</t>
  </si>
  <si>
    <t>283347332881764193</t>
  </si>
  <si>
    <t>完美宝宝</t>
  </si>
  <si>
    <t>胡冰</t>
  </si>
  <si>
    <t>湖南省 湘潭市 湘潭县 锦石乡 大荷村荷叶组女装</t>
  </si>
  <si>
    <t>17373266359</t>
  </si>
  <si>
    <t>GAVEE 创意酒店椅子轻奢餐椅电脑椅家用学生椅北欧椅子广东休闲椅 规格: 蓝色带轮脚</t>
  </si>
  <si>
    <t>德邦快递:8348796125</t>
  </si>
  <si>
    <t>483344128275869460</t>
  </si>
  <si>
    <t>tb4883964_22</t>
  </si>
  <si>
    <t>杨莉萍</t>
  </si>
  <si>
    <t>陕西省 榆林市 府谷县 老高川镇 学校旁边2号楼</t>
  </si>
  <si>
    <t>13474883964</t>
  </si>
  <si>
    <t>GAVEE 创意酒店椅子轻奢餐椅电脑椅家用学生椅北欧椅子广东休闲椅 规格: 裸色带轮脚</t>
  </si>
  <si>
    <t>德邦快递:8348795795</t>
  </si>
  <si>
    <t>305701614412425607</t>
  </si>
  <si>
    <t>江学峰823926</t>
  </si>
  <si>
    <t>杜玲</t>
  </si>
  <si>
    <t>广东省 东莞市 东坑镇 永生路百货平安公寓</t>
  </si>
  <si>
    <t>13825795219</t>
  </si>
  <si>
    <t>德邦快递:8348795078</t>
  </si>
  <si>
    <t>482113888848941450</t>
  </si>
  <si>
    <t>月亮太阳依然在</t>
  </si>
  <si>
    <t>孟娣</t>
  </si>
  <si>
    <t>河北省 廊坊市 大城县 南赵扶镇 河北省廊坊市大城县南赵扶镇大流漂村</t>
  </si>
  <si>
    <t>18531688280</t>
  </si>
  <si>
    <t>GAVEE 创意简约酒店接待椅家用电脑椅学生椅北欧时尚椅工学休闲椅 规格: 蓝色带轮脚</t>
  </si>
  <si>
    <t>德邦快递:8348283638</t>
  </si>
  <si>
    <t>483032547695311364</t>
  </si>
  <si>
    <t>简洁233</t>
  </si>
  <si>
    <t>石军林</t>
  </si>
  <si>
    <t>湖北省 襄阳市 樊城区 高新区团山镇 樊魏路红星国际香榭里</t>
  </si>
  <si>
    <t>13995733651</t>
  </si>
  <si>
    <t>GAVEE 创意简约酒店接待椅家用电脑椅学生椅北欧时尚椅工学休闲椅 规格: 黄色带轮脚</t>
  </si>
  <si>
    <t>德邦快递:8348283568</t>
  </si>
  <si>
    <t>482762594464721182</t>
  </si>
  <si>
    <t>冰冰爱你的我</t>
  </si>
  <si>
    <t>徐宝霞</t>
  </si>
  <si>
    <t>广东省 深圳市 龙岗区 布吉街道 下李朗对门岗东三巷四号</t>
  </si>
  <si>
    <t>17875363012</t>
  </si>
  <si>
    <t>GAVEE 创意简约酒店接待椅家用电脑椅学生椅北欧时尚椅工学休闲椅 规格: 裸色带轮脚</t>
  </si>
  <si>
    <t>德邦快递:8348283327</t>
  </si>
  <si>
    <t>482042528762034525</t>
  </si>
  <si>
    <t>pls567</t>
  </si>
  <si>
    <t>琴琴</t>
  </si>
  <si>
    <t>四川省 达州市 宣汉县 东乡镇 纸厂门口真烟副食店</t>
  </si>
  <si>
    <t>18081521310</t>
  </si>
  <si>
    <t>GAVEE 现代简约办公座椅 智能护腰护脊职员电脑办公椅 旋转可躺 颜色: 黑框黑色带头枕</t>
  </si>
  <si>
    <t>德邦快递:8348283097</t>
  </si>
  <si>
    <t>482040128658075687</t>
  </si>
  <si>
    <t>好美的西双版纳</t>
  </si>
  <si>
    <t>刘莉</t>
  </si>
  <si>
    <t>湖北省 荆门市 钟祥市 胡集镇 桥垱五队</t>
  </si>
  <si>
    <t>431911</t>
  </si>
  <si>
    <t>18772717138</t>
  </si>
  <si>
    <t>GAVEE 现代简约办公座椅 智能护腰护脊职员电脑办公椅 旋转可躺 颜色: 黑框黑色无头枕</t>
  </si>
  <si>
    <t>德邦快递:8348282958</t>
  </si>
  <si>
    <t>482613315303368374</t>
  </si>
  <si>
    <t>wangti777vip</t>
  </si>
  <si>
    <t>王倜</t>
  </si>
  <si>
    <t>上海 上海市 金山区 通业路128号 鼎里（上海）实业有限公司</t>
  </si>
  <si>
    <t>201506</t>
  </si>
  <si>
    <t>021-57273131</t>
  </si>
  <si>
    <t>13501897452</t>
  </si>
  <si>
    <t>GAVEE 人体工程学电脑椅家用 老板椅升降座椅网布椅书房办公椅子 颜色: 黑色</t>
  </si>
  <si>
    <t>GAV-601</t>
  </si>
  <si>
    <t>德邦快递:8348050691</t>
  </si>
  <si>
    <t>480880416770982275</t>
  </si>
  <si>
    <t>tb551751073</t>
  </si>
  <si>
    <t>郑洁</t>
  </si>
  <si>
    <t>湖北省 宜昌市 远安县 鸣凤镇 双泉村三组</t>
  </si>
  <si>
    <t>444200</t>
  </si>
  <si>
    <t>15392973740</t>
  </si>
  <si>
    <t>GAVEE 轻奢餐椅 创意酒店家用座椅电脑椅 时尚美甲椅 北欧休闲椅 规格: 黄色带轮脚</t>
  </si>
  <si>
    <t>德邦快递:8347784955</t>
  </si>
  <si>
    <t>305803887118672700</t>
  </si>
  <si>
    <t>tb50493219</t>
  </si>
  <si>
    <t>刘爱芳</t>
  </si>
  <si>
    <t>福建省 厦门市 思明区 莲前街道 西林东里38-709</t>
  </si>
  <si>
    <t>361000</t>
  </si>
  <si>
    <t>18950190148</t>
  </si>
  <si>
    <t>GAVEE 轻奢餐椅 创意酒店家用座椅电脑椅 时尚美甲椅 北欧休闲椅 规格: 裸色固定脚</t>
  </si>
  <si>
    <t>德邦快递:8347785219</t>
  </si>
  <si>
    <t>481676579085016924</t>
  </si>
  <si>
    <t>飞向未来吧52</t>
  </si>
  <si>
    <t>虞月月</t>
  </si>
  <si>
    <t>河南省 郑州市 金水区 北林路街道 河南牧业经济学院北林校区菜鸟驿站</t>
  </si>
  <si>
    <t>15515617671</t>
  </si>
  <si>
    <t>GAVEE 现代简约办公座椅 智能护腰护脊职员电脑办公椅 旋转可躺 颜色: 白框绿色带头枕</t>
  </si>
  <si>
    <t>德邦快递:8347785322</t>
  </si>
  <si>
    <t>481637667177811564</t>
  </si>
  <si>
    <t>持微笑续我骄傲</t>
  </si>
  <si>
    <t>谢文凤</t>
  </si>
  <si>
    <t>广东省 湛江市 霞山区 工农街道 工农路20号（信威手机店）</t>
  </si>
  <si>
    <t>15018551019</t>
  </si>
  <si>
    <t>GAVEE 轻奢餐椅 创意酒店家用座椅电脑椅 时尚美甲椅 北欧休闲椅 规格: 蓝色带轮脚</t>
  </si>
  <si>
    <t>德邦快递:8347786785</t>
  </si>
  <si>
    <t>481322466399164080</t>
  </si>
  <si>
    <t>醉酒后的黄昏</t>
  </si>
  <si>
    <t>刘苏皖</t>
  </si>
  <si>
    <t>江西省 南昌市 东湖区 八一桥街道 江西省南昌市东湖区阳明路386号</t>
  </si>
  <si>
    <t>18702517877</t>
  </si>
  <si>
    <t>德邦快递:8347788064</t>
  </si>
  <si>
    <t>479528544938717865</t>
  </si>
  <si>
    <t>谭谭张张1314</t>
  </si>
  <si>
    <t>谭俊美</t>
  </si>
  <si>
    <t>辽宁省 阜新市 阜新蒙古族自治县 城区街道 金贵家园13A2单元402</t>
  </si>
  <si>
    <t>110123</t>
  </si>
  <si>
    <t>18741884601</t>
  </si>
  <si>
    <t>GAVEE 工学精灵电脑椅家用北欧休闲椅轻奢餐椅酒店椅子创意美甲椅 规格: 黄色带轮脚</t>
  </si>
  <si>
    <t>德邦快递:8347788216</t>
  </si>
  <si>
    <t>479470496400396345</t>
  </si>
  <si>
    <t>张丹丹19841220</t>
  </si>
  <si>
    <t>张丹丹</t>
  </si>
  <si>
    <t>湖北省 宜昌市 伍家岗区 宝塔河街道 依山郡</t>
  </si>
  <si>
    <t>443001</t>
  </si>
  <si>
    <t>13487259842</t>
  </si>
  <si>
    <t>GAVEE 工学精灵电脑椅家用北欧休闲椅轻奢餐椅酒店椅子创意美甲椅 规格: 裸色固定脚</t>
  </si>
  <si>
    <t>德邦快递:8347788599</t>
  </si>
  <si>
    <t>480385539099351811</t>
  </si>
  <si>
    <t>贴心的双子</t>
  </si>
  <si>
    <t>车双</t>
  </si>
  <si>
    <t>辽宁省 大连市 西岗区 站北街道 沿海街68号蔚蓝公寓2单元1503</t>
  </si>
  <si>
    <t>116000</t>
  </si>
  <si>
    <t>13084102585</t>
  </si>
  <si>
    <t>GAVEE 工学精灵电脑椅家用北欧休闲椅轻奢餐椅酒店椅子创意美甲椅 规格: 蓝色带轮脚</t>
  </si>
  <si>
    <t>德邦快递:8347788706</t>
  </si>
  <si>
    <t>479786401024427470</t>
  </si>
  <si>
    <t>蓝玲玲46</t>
  </si>
  <si>
    <t>蓝阿丽</t>
  </si>
  <si>
    <t>福建省 三明市 三元区 荆西街道 众联超市</t>
  </si>
  <si>
    <t>365000</t>
  </si>
  <si>
    <t>13774537120</t>
  </si>
  <si>
    <t>GAVEE 厂家批发办公座椅 现代减压设计坐垫职员电脑办公椅 可开票 颜色: 白框绿色带头枕</t>
  </si>
  <si>
    <t>德邦快递:8347789019</t>
  </si>
  <si>
    <t>480311555635794119</t>
  </si>
  <si>
    <t>tb171143644</t>
  </si>
  <si>
    <t>万小姐</t>
  </si>
  <si>
    <t>福建省 厦门市 思明区 莲前街道 西林西里三号楼</t>
  </si>
  <si>
    <t>15080320835</t>
  </si>
  <si>
    <t>德邦快递:8347789259</t>
  </si>
  <si>
    <t>283170438745233094</t>
  </si>
  <si>
    <t>竹儿17610</t>
  </si>
  <si>
    <t>娟子</t>
  </si>
  <si>
    <t>广西壮族自治区 柳州市 柳北区 胜利街道 胜利小区六区。。</t>
  </si>
  <si>
    <t>545001</t>
  </si>
  <si>
    <t>15877238062</t>
  </si>
  <si>
    <t>德邦快递:8346958701</t>
  </si>
  <si>
    <t>478193568371232734</t>
  </si>
  <si>
    <t>何庆荣家杰</t>
  </si>
  <si>
    <t>吴妃二</t>
  </si>
  <si>
    <t>广东省 珠海市 香洲区 湾仔街道 保税区北门爱普科斯公司宿舍保安室收</t>
  </si>
  <si>
    <t>15015989947</t>
  </si>
  <si>
    <t>德邦快递:8346958641</t>
  </si>
  <si>
    <t>478196448099513808</t>
  </si>
  <si>
    <t>柚子20110101</t>
  </si>
  <si>
    <t>康康</t>
  </si>
  <si>
    <t>辽宁省 沈阳市 皇姑区 三台子街道 文大路347号保利溪湖林语三期</t>
  </si>
  <si>
    <t>13940476672</t>
  </si>
  <si>
    <t>GAVEE 厂家批发办公座椅 现代减压设计坐垫职员电脑办公椅 可开票 颜色: 黑框黑色带头枕</t>
  </si>
  <si>
    <t>德邦快递:8346957605</t>
  </si>
  <si>
    <t>479125571535869461</t>
  </si>
  <si>
    <t>ru320118</t>
  </si>
  <si>
    <t>汪琼芳</t>
  </si>
  <si>
    <t>广东省 揭阳市 揭西县 灰寨镇 老寨村西湖楼路口。。</t>
  </si>
  <si>
    <t>13528397940</t>
  </si>
  <si>
    <t>德邦:8346957526</t>
  </si>
  <si>
    <t>479076003088335167</t>
  </si>
  <si>
    <t>蜗牛宝宝i的家</t>
  </si>
  <si>
    <t>邵国琴</t>
  </si>
  <si>
    <t>浙江省 杭州市 萧山区 益农镇 红阳路98号假捻二部</t>
  </si>
  <si>
    <t>311247</t>
  </si>
  <si>
    <t>15158016548</t>
  </si>
  <si>
    <t>德邦快递:8346957297</t>
  </si>
  <si>
    <t>478124000113350787</t>
  </si>
  <si>
    <t>薰风沐雨</t>
  </si>
  <si>
    <t>韩磊</t>
  </si>
  <si>
    <t>甘肃省 庆阳市 西峰区 彭原乡 甘肃省庆阳市西峰区北高速路口峰华园小区</t>
  </si>
  <si>
    <t>744500</t>
  </si>
  <si>
    <t>18393616958</t>
  </si>
  <si>
    <t>GAVEE 可定制会议室椅子工厂直营会议室折叠椅 培训椅子带写字板 颜色: 黑框升级版（带写字板带脚轮）</t>
  </si>
  <si>
    <t>会议椅</t>
  </si>
  <si>
    <t>8636</t>
  </si>
  <si>
    <t>德邦快递:8346957006</t>
  </si>
  <si>
    <t>283096071224077294</t>
  </si>
  <si>
    <t>周妍汐淘</t>
  </si>
  <si>
    <t>刘雪梅</t>
  </si>
  <si>
    <t>陕西省 宝鸡市 金台区 西关街道 陕西省宝鸡市金台区宝福路宝工家属区</t>
  </si>
  <si>
    <t>13088929138</t>
  </si>
  <si>
    <t>德邦快递:8346611866</t>
  </si>
  <si>
    <t>475657601112018774</t>
  </si>
  <si>
    <t>smille美</t>
  </si>
  <si>
    <t>李丽</t>
  </si>
  <si>
    <t>河南省 焦作市 解放区 王褚街道 新发地建材市场4号楼21号</t>
  </si>
  <si>
    <t>13723179628</t>
  </si>
  <si>
    <t>德邦快递:8346611813</t>
  </si>
  <si>
    <t>476226627255816816</t>
  </si>
  <si>
    <t>wupeiyi28</t>
  </si>
  <si>
    <t>吴小姐</t>
  </si>
  <si>
    <t>广东省 佛山市 南海区 丹灶镇 丹灶国家生态工业园生态路15号 华凯</t>
  </si>
  <si>
    <t>18676565741</t>
  </si>
  <si>
    <t>德邦快递:8346611632</t>
  </si>
  <si>
    <t>475194816210461928</t>
  </si>
  <si>
    <t>lh雨薇356</t>
  </si>
  <si>
    <t>赖远珍</t>
  </si>
  <si>
    <t>广东省 梅州市 梅江区 嘉应师范学院分院对面新众鑫</t>
  </si>
  <si>
    <t>514000</t>
  </si>
  <si>
    <t>18211547656</t>
  </si>
  <si>
    <t>德邦快递:8346611554</t>
  </si>
  <si>
    <t>475176672557445584</t>
  </si>
  <si>
    <t>阳光城天使</t>
  </si>
  <si>
    <t>王浪</t>
  </si>
  <si>
    <t>四川省 凉山彝族自治州 西昌市 西城街道 春城中路农行门口报亭</t>
  </si>
  <si>
    <t>15884033569</t>
  </si>
  <si>
    <t>GAVEE 可定制会议室椅子工厂直营会议室折叠椅 培训椅子带写字板 颜色: 黑框标配（无写字板脚垫款）</t>
  </si>
  <si>
    <t>德邦快递:8346611524</t>
  </si>
  <si>
    <t>282920966070740994</t>
  </si>
  <si>
    <t>lp641652340</t>
  </si>
  <si>
    <t>李培</t>
  </si>
  <si>
    <t>安徽省 滁州市 定远县 西卅店镇 西卅店向阳村</t>
  </si>
  <si>
    <t>233200</t>
  </si>
  <si>
    <t>15255568974</t>
  </si>
  <si>
    <t>GAVEE 厂家批发办公座椅 现代减压设计坐垫职员电脑办公椅 可开票 颜色: 黑框绿色无头枕</t>
  </si>
  <si>
    <t>德邦快递:8346411548</t>
  </si>
  <si>
    <t>476059075153651572</t>
  </si>
  <si>
    <t>ta04243241</t>
  </si>
  <si>
    <t>陶贵花</t>
  </si>
  <si>
    <t>重庆 重庆市 合川区 土场镇 三口村环境房</t>
  </si>
  <si>
    <t>15213091230</t>
  </si>
  <si>
    <t>德邦快递:8346411391</t>
  </si>
  <si>
    <t>472536864528781949</t>
  </si>
  <si>
    <t>dyh火苗</t>
  </si>
  <si>
    <t>丁艺华</t>
  </si>
  <si>
    <t>河南省 周口市 淮阳县 城关回族镇 淮阳县元亨华庭AAAAA</t>
  </si>
  <si>
    <t>466700</t>
  </si>
  <si>
    <t>15565846991</t>
  </si>
  <si>
    <t>德邦快递:8345662667</t>
  </si>
  <si>
    <t>473140162423216664</t>
  </si>
  <si>
    <t>妙妙猫妙</t>
  </si>
  <si>
    <t>檀莉</t>
  </si>
  <si>
    <t>湖南省 益阳市 赫山区 桃花仑街道 沃尔玛三楼服务台</t>
  </si>
  <si>
    <t>413000</t>
  </si>
  <si>
    <t>15007372702</t>
  </si>
  <si>
    <t>GAVEE 工学精灵电脑椅家用北欧休闲椅轻奢餐椅酒店椅子创意美甲椅 规格: 黄色固定脚</t>
  </si>
  <si>
    <t>德邦快递:8345656830</t>
  </si>
  <si>
    <t>282499557411260795</t>
  </si>
  <si>
    <t>love2684711311</t>
  </si>
  <si>
    <t>赵元元</t>
  </si>
  <si>
    <t>湖南省 常德市 汉寿县 太子庙镇 商业广场B栋1 2=3童装店</t>
  </si>
  <si>
    <t>722403</t>
  </si>
  <si>
    <t>13355197520</t>
  </si>
  <si>
    <t>GAVEE 办公座椅 自负重智能感应自动调节靠背承托力度电脑办公椅 规格: 无头枕黑框黑色尼龙脚</t>
  </si>
  <si>
    <t>德邦快递:8345658080</t>
  </si>
  <si>
    <t>472763106970357489</t>
  </si>
  <si>
    <t>小提琴手1988</t>
  </si>
  <si>
    <t>张秀娟</t>
  </si>
  <si>
    <t>江苏省 徐州市 沛县 大屯镇 江苏省徐州市沛县大屯镇夏官屯村</t>
  </si>
  <si>
    <t>277607</t>
  </si>
  <si>
    <t>15205378262</t>
  </si>
  <si>
    <t>德邦快递:8345658736</t>
  </si>
  <si>
    <t>471866306958154525</t>
  </si>
  <si>
    <t>699281ge</t>
  </si>
  <si>
    <t>王宛丘</t>
  </si>
  <si>
    <t>北京 北京市 通州区 梨园镇 群芳一园1007号5-3-1</t>
  </si>
  <si>
    <t>13944228785</t>
  </si>
  <si>
    <t>德邦快递:8345659729</t>
  </si>
  <si>
    <t>472156419529422070</t>
  </si>
  <si>
    <t>tb11298908</t>
  </si>
  <si>
    <t>周春华</t>
  </si>
  <si>
    <t>江苏省 苏州市 昆山市 江苏省苏州市昆山市陆家镇陆丰西路22号</t>
  </si>
  <si>
    <t>18915527427</t>
  </si>
  <si>
    <t>德邦快递:8345660951</t>
  </si>
  <si>
    <t>471828034291697287</t>
  </si>
  <si>
    <t>tb523742268</t>
  </si>
  <si>
    <t>陈欣欣</t>
  </si>
  <si>
    <t>河北省 唐山市 滦南县 倴城镇 姜泡村</t>
  </si>
  <si>
    <t>063501</t>
  </si>
  <si>
    <t>15031566186</t>
  </si>
  <si>
    <t>德邦快递:8345661839</t>
  </si>
</sst>
</file>

<file path=xl/styles.xml><?xml version="1.0" encoding="utf-8"?>
<styleSheet xmlns="http://schemas.openxmlformats.org/spreadsheetml/2006/main">
  <numFmts count="6">
    <numFmt numFmtId="176" formatCode="yyyy\-mm\-dd\ hh:mm:ss"/>
    <numFmt numFmtId="43" formatCode="_ * #,##0.00_ ;_ * \-#,##0.00_ ;_ * &quot;-&quot;??_ ;_ @_ "/>
    <numFmt numFmtId="177" formatCode="###,##0.00"/>
    <numFmt numFmtId="41" formatCode="_ * #,##0_ ;_ * \-#,##0_ ;_ * &quot;-&quot;_ ;_ @_ "/>
    <numFmt numFmtId="42" formatCode="_ &quot;￥&quot;* #,##0_ ;_ &quot;￥&quot;* \-#,##0_ ;_ &quot;￥&quot;* &quot;-&quot;_ ;_ @_ "/>
    <numFmt numFmtId="44" formatCode="_ &quot;￥&quot;* #,##0.00_ ;_ &quot;￥&quot;* \-#,##0.00_ ;_ &quot;￥&quot;* &quot;-&quot;??_ ;_ @_ "/>
  </numFmts>
  <fonts count="28">
    <font>
      <sz val="11"/>
      <color theme="1"/>
      <name val="宋体"/>
      <charset val="134"/>
      <scheme val="minor"/>
    </font>
    <font>
      <b/>
      <sz val="11"/>
      <color rgb="FFFF0000"/>
      <name val="宋体"/>
      <charset val="134"/>
      <scheme val="minor"/>
    </font>
    <font>
      <b/>
      <sz val="11"/>
      <name val="宋体"/>
      <charset val="134"/>
      <scheme val="minor"/>
    </font>
    <font>
      <sz val="8"/>
      <color theme="1"/>
      <name val="宋体"/>
      <charset val="134"/>
      <scheme val="minor"/>
    </font>
    <font>
      <sz val="11"/>
      <color rgb="FFFF0000"/>
      <name val="宋体"/>
      <charset val="134"/>
      <scheme val="minor"/>
    </font>
    <font>
      <b/>
      <sz val="11"/>
      <color theme="1"/>
      <name val="宋体"/>
      <charset val="134"/>
      <scheme val="minor"/>
    </font>
    <font>
      <b/>
      <sz val="8"/>
      <color theme="1"/>
      <name val="宋体"/>
      <charset val="134"/>
      <scheme val="minor"/>
    </font>
    <font>
      <b/>
      <sz val="11"/>
      <name val="宋体"/>
      <charset val="0"/>
    </font>
    <font>
      <sz val="11"/>
      <name val="宋体"/>
      <charset val="0"/>
    </font>
    <font>
      <u/>
      <sz val="11"/>
      <color rgb="FF800080"/>
      <name val="宋体"/>
      <charset val="0"/>
      <scheme val="minor"/>
    </font>
    <font>
      <u/>
      <sz val="11"/>
      <color rgb="FF0000FF"/>
      <name val="宋体"/>
      <charset val="0"/>
      <scheme val="minor"/>
    </font>
    <font>
      <sz val="11"/>
      <color rgb="FFFF0000"/>
      <name val="宋体"/>
      <charset val="0"/>
      <scheme val="minor"/>
    </font>
    <font>
      <sz val="11"/>
      <color rgb="FFFA7D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sz val="11"/>
      <color rgb="FF3F3F76"/>
      <name val="宋体"/>
      <charset val="0"/>
      <scheme val="minor"/>
    </font>
    <font>
      <i/>
      <sz val="11"/>
      <color rgb="FF7F7F7F"/>
      <name val="宋体"/>
      <charset val="0"/>
      <scheme val="minor"/>
    </font>
    <font>
      <sz val="11"/>
      <color rgb="FF9C6500"/>
      <name val="宋体"/>
      <charset val="0"/>
      <scheme val="minor"/>
    </font>
    <font>
      <sz val="11"/>
      <color rgb="FF0061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b/>
      <sz val="13"/>
      <color theme="3"/>
      <name val="宋体"/>
      <charset val="134"/>
      <scheme val="minor"/>
    </font>
    <font>
      <b/>
      <sz val="11"/>
      <color rgb="FFFA7D0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s>
  <fills count="40">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rgb="FFF02C2C"/>
        <bgColor indexed="64"/>
      </patternFill>
    </fill>
    <fill>
      <patternFill patternType="solid">
        <fgColor theme="3" tint="0.6"/>
        <bgColor indexed="64"/>
      </patternFill>
    </fill>
    <fill>
      <patternFill patternType="solid">
        <fgColor theme="5" tint="0.4"/>
        <bgColor indexed="64"/>
      </patternFill>
    </fill>
    <fill>
      <patternFill patternType="solid">
        <fgColor theme="9"/>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A5A5A5"/>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2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style="medium">
        <color auto="1"/>
      </top>
      <bottom style="medium">
        <color auto="1"/>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4" borderId="0" applyNumberFormat="0" applyBorder="0" applyAlignment="0" applyProtection="0">
      <alignment vertical="center"/>
    </xf>
    <xf numFmtId="0" fontId="16" fillId="15"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43" fontId="0" fillId="0" borderId="0" applyFont="0" applyFill="0" applyBorder="0" applyAlignment="0" applyProtection="0">
      <alignment vertical="center"/>
    </xf>
    <xf numFmtId="0" fontId="15" fillId="16"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0" borderId="15" applyNumberFormat="0" applyFont="0" applyAlignment="0" applyProtection="0">
      <alignment vertical="center"/>
    </xf>
    <xf numFmtId="0" fontId="15" fillId="19" borderId="0" applyNumberFormat="0" applyBorder="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18" applyNumberFormat="0" applyFill="0" applyAlignment="0" applyProtection="0">
      <alignment vertical="center"/>
    </xf>
    <xf numFmtId="0" fontId="23" fillId="0" borderId="18" applyNumberFormat="0" applyFill="0" applyAlignment="0" applyProtection="0">
      <alignment vertical="center"/>
    </xf>
    <xf numFmtId="0" fontId="15" fillId="13" borderId="0" applyNumberFormat="0" applyBorder="0" applyAlignment="0" applyProtection="0">
      <alignment vertical="center"/>
    </xf>
    <xf numFmtId="0" fontId="21" fillId="0" borderId="20" applyNumberFormat="0" applyFill="0" applyAlignment="0" applyProtection="0">
      <alignment vertical="center"/>
    </xf>
    <xf numFmtId="0" fontId="15" fillId="27" borderId="0" applyNumberFormat="0" applyBorder="0" applyAlignment="0" applyProtection="0">
      <alignment vertical="center"/>
    </xf>
    <xf numFmtId="0" fontId="25" fillId="25" borderId="19" applyNumberFormat="0" applyAlignment="0" applyProtection="0">
      <alignment vertical="center"/>
    </xf>
    <xf numFmtId="0" fontId="24" fillId="25" borderId="17" applyNumberFormat="0" applyAlignment="0" applyProtection="0">
      <alignment vertical="center"/>
    </xf>
    <xf numFmtId="0" fontId="26" fillId="30" borderId="21" applyNumberFormat="0" applyAlignment="0" applyProtection="0">
      <alignment vertical="center"/>
    </xf>
    <xf numFmtId="0" fontId="13" fillId="26" borderId="0" applyNumberFormat="0" applyBorder="0" applyAlignment="0" applyProtection="0">
      <alignment vertical="center"/>
    </xf>
    <xf numFmtId="0" fontId="15" fillId="24" borderId="0" applyNumberFormat="0" applyBorder="0" applyAlignment="0" applyProtection="0">
      <alignment vertical="center"/>
    </xf>
    <xf numFmtId="0" fontId="12" fillId="0" borderId="16" applyNumberFormat="0" applyFill="0" applyAlignment="0" applyProtection="0">
      <alignment vertical="center"/>
    </xf>
    <xf numFmtId="0" fontId="27" fillId="0" borderId="22" applyNumberFormat="0" applyFill="0" applyAlignment="0" applyProtection="0">
      <alignment vertical="center"/>
    </xf>
    <xf numFmtId="0" fontId="19" fillId="21" borderId="0" applyNumberFormat="0" applyBorder="0" applyAlignment="0" applyProtection="0">
      <alignment vertical="center"/>
    </xf>
    <xf numFmtId="0" fontId="18" fillId="18" borderId="0" applyNumberFormat="0" applyBorder="0" applyAlignment="0" applyProtection="0">
      <alignment vertical="center"/>
    </xf>
    <xf numFmtId="0" fontId="13" fillId="33" borderId="0" applyNumberFormat="0" applyBorder="0" applyAlignment="0" applyProtection="0">
      <alignment vertical="center"/>
    </xf>
    <xf numFmtId="0" fontId="15" fillId="29" borderId="0" applyNumberFormat="0" applyBorder="0" applyAlignment="0" applyProtection="0">
      <alignment vertical="center"/>
    </xf>
    <xf numFmtId="0" fontId="13" fillId="17" borderId="0" applyNumberFormat="0" applyBorder="0" applyAlignment="0" applyProtection="0">
      <alignment vertical="center"/>
    </xf>
    <xf numFmtId="0" fontId="13" fillId="32" borderId="0" applyNumberFormat="0" applyBorder="0" applyAlignment="0" applyProtection="0">
      <alignment vertical="center"/>
    </xf>
    <xf numFmtId="0" fontId="13" fillId="28" borderId="0" applyNumberFormat="0" applyBorder="0" applyAlignment="0" applyProtection="0">
      <alignment vertical="center"/>
    </xf>
    <xf numFmtId="0" fontId="13" fillId="23" borderId="0" applyNumberFormat="0" applyBorder="0" applyAlignment="0" applyProtection="0">
      <alignment vertical="center"/>
    </xf>
    <xf numFmtId="0" fontId="15" fillId="31" borderId="0" applyNumberFormat="0" applyBorder="0" applyAlignment="0" applyProtection="0">
      <alignment vertical="center"/>
    </xf>
    <xf numFmtId="0" fontId="15" fillId="34"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5" fillId="38" borderId="0" applyNumberFormat="0" applyBorder="0" applyAlignment="0" applyProtection="0">
      <alignment vertical="center"/>
    </xf>
    <xf numFmtId="0" fontId="13" fillId="39" borderId="0" applyNumberFormat="0" applyBorder="0" applyAlignment="0" applyProtection="0">
      <alignment vertical="center"/>
    </xf>
    <xf numFmtId="0" fontId="15" fillId="22" borderId="0" applyNumberFormat="0" applyBorder="0" applyAlignment="0" applyProtection="0">
      <alignment vertical="center"/>
    </xf>
    <xf numFmtId="0" fontId="15" fillId="9" borderId="0" applyNumberFormat="0" applyBorder="0" applyAlignment="0" applyProtection="0">
      <alignment vertical="center"/>
    </xf>
    <xf numFmtId="0" fontId="13" fillId="20" borderId="0" applyNumberFormat="0" applyBorder="0" applyAlignment="0" applyProtection="0">
      <alignment vertical="center"/>
    </xf>
    <xf numFmtId="0" fontId="15" fillId="36" borderId="0" applyNumberFormat="0" applyBorder="0" applyAlignment="0" applyProtection="0">
      <alignment vertical="center"/>
    </xf>
  </cellStyleXfs>
  <cellXfs count="83">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2" fillId="2" borderId="3" xfId="0" applyFont="1" applyFill="1" applyBorder="1" applyAlignment="1">
      <alignment horizontal="right" vertical="center"/>
    </xf>
    <xf numFmtId="0" fontId="0" fillId="0" borderId="4" xfId="0" applyFont="1" applyFill="1" applyBorder="1" applyAlignment="1">
      <alignment vertical="center"/>
    </xf>
    <xf numFmtId="0" fontId="0" fillId="3" borderId="3" xfId="0" applyFont="1" applyFill="1" applyBorder="1" applyAlignment="1">
      <alignment horizontal="right" vertical="center"/>
    </xf>
    <xf numFmtId="0" fontId="0" fillId="4" borderId="3" xfId="0" applyFont="1" applyFill="1" applyBorder="1" applyAlignment="1">
      <alignment horizontal="right" vertical="center"/>
    </xf>
    <xf numFmtId="0" fontId="3" fillId="0" borderId="3" xfId="0" applyFont="1" applyFill="1" applyBorder="1" applyAlignment="1">
      <alignment horizontal="right" vertical="center"/>
    </xf>
    <xf numFmtId="0" fontId="0" fillId="0" borderId="5" xfId="0" applyFont="1" applyFill="1" applyBorder="1" applyAlignment="1">
      <alignment horizontal="center" vertical="center"/>
    </xf>
    <xf numFmtId="0" fontId="2" fillId="2" borderId="5" xfId="0" applyFont="1" applyFill="1" applyBorder="1" applyAlignment="1">
      <alignment horizontal="right" vertical="center"/>
    </xf>
    <xf numFmtId="0" fontId="4" fillId="0" borderId="6" xfId="0" applyFont="1" applyFill="1" applyBorder="1" applyAlignment="1">
      <alignment vertical="center"/>
    </xf>
    <xf numFmtId="0" fontId="0" fillId="3" borderId="5" xfId="0" applyFont="1" applyFill="1" applyBorder="1" applyAlignment="1">
      <alignment horizontal="right" vertical="center"/>
    </xf>
    <xf numFmtId="0" fontId="0" fillId="0" borderId="6" xfId="0" applyFont="1" applyFill="1" applyBorder="1" applyAlignment="1">
      <alignment vertical="center"/>
    </xf>
    <xf numFmtId="0" fontId="0" fillId="4" borderId="5" xfId="0" applyFont="1" applyFill="1" applyBorder="1" applyAlignment="1">
      <alignment horizontal="right" vertical="center"/>
    </xf>
    <xf numFmtId="0" fontId="0" fillId="0" borderId="5" xfId="0" applyFont="1" applyFill="1" applyBorder="1" applyAlignment="1">
      <alignment horizontal="right" vertical="center"/>
    </xf>
    <xf numFmtId="0" fontId="1" fillId="0" borderId="1" xfId="0" applyFont="1" applyFill="1" applyBorder="1" applyAlignment="1">
      <alignment vertical="center"/>
    </xf>
    <xf numFmtId="0" fontId="2" fillId="2" borderId="1" xfId="0" applyFont="1" applyFill="1" applyBorder="1" applyAlignment="1">
      <alignment horizontal="right" vertical="center"/>
    </xf>
    <xf numFmtId="0" fontId="1" fillId="0" borderId="7" xfId="0" applyFont="1" applyFill="1" applyBorder="1" applyAlignment="1">
      <alignment vertical="center"/>
    </xf>
    <xf numFmtId="0" fontId="5" fillId="3" borderId="1" xfId="0" applyFont="1" applyFill="1" applyBorder="1" applyAlignment="1">
      <alignment horizontal="right" vertical="center"/>
    </xf>
    <xf numFmtId="0" fontId="5" fillId="4" borderId="1" xfId="0" applyFont="1" applyFill="1" applyBorder="1" applyAlignment="1">
      <alignment horizontal="right" vertical="center"/>
    </xf>
    <xf numFmtId="0" fontId="6" fillId="0" borderId="1" xfId="0" applyFont="1" applyFill="1" applyBorder="1" applyAlignment="1">
      <alignment horizontal="right" vertical="center"/>
    </xf>
    <xf numFmtId="0" fontId="0" fillId="0" borderId="7" xfId="0" applyFont="1" applyFill="1" applyBorder="1" applyAlignment="1">
      <alignment horizontal="center" vertical="center"/>
    </xf>
    <xf numFmtId="0" fontId="0" fillId="0" borderId="0" xfId="0" applyFont="1" applyFill="1" applyBorder="1" applyAlignment="1">
      <alignment vertical="center"/>
    </xf>
    <xf numFmtId="0" fontId="0" fillId="5" borderId="0" xfId="0" applyFill="1">
      <alignment vertical="center"/>
    </xf>
    <xf numFmtId="0" fontId="0" fillId="3" borderId="0" xfId="0" applyFill="1">
      <alignment vertical="center"/>
    </xf>
    <xf numFmtId="0" fontId="0" fillId="2" borderId="0" xfId="0" applyFill="1">
      <alignment vertical="center"/>
    </xf>
    <xf numFmtId="0" fontId="7" fillId="0" borderId="0" xfId="0" applyFont="1" applyFill="1" applyBorder="1" applyAlignment="1">
      <alignment horizontal="left" vertical="top"/>
    </xf>
    <xf numFmtId="49" fontId="8" fillId="5" borderId="0" xfId="0" applyNumberFormat="1" applyFont="1" applyFill="1" applyBorder="1" applyAlignment="1">
      <alignment horizontal="right" vertical="top"/>
    </xf>
    <xf numFmtId="0" fontId="8" fillId="5" borderId="0" xfId="0" applyFont="1" applyFill="1" applyBorder="1" applyAlignment="1">
      <alignment horizontal="left" vertical="top"/>
    </xf>
    <xf numFmtId="177" fontId="8" fillId="5" borderId="0" xfId="0" applyNumberFormat="1" applyFont="1" applyFill="1" applyBorder="1" applyAlignment="1">
      <alignment horizontal="right" vertical="top"/>
    </xf>
    <xf numFmtId="176" fontId="8" fillId="5" borderId="0" xfId="0" applyNumberFormat="1" applyFont="1" applyFill="1" applyBorder="1" applyAlignment="1">
      <alignment horizontal="right" vertical="top"/>
    </xf>
    <xf numFmtId="0" fontId="8" fillId="5" borderId="0" xfId="0" applyFont="1" applyFill="1" applyBorder="1" applyAlignment="1">
      <alignment horizontal="left" vertical="top" wrapText="1"/>
    </xf>
    <xf numFmtId="0" fontId="8" fillId="5" borderId="0" xfId="0" applyFont="1" applyFill="1" applyBorder="1" applyAlignment="1">
      <alignment horizontal="right" vertical="top"/>
    </xf>
    <xf numFmtId="49" fontId="8" fillId="3" borderId="0" xfId="0" applyNumberFormat="1" applyFont="1" applyFill="1" applyBorder="1" applyAlignment="1">
      <alignment horizontal="right" vertical="top"/>
    </xf>
    <xf numFmtId="0" fontId="8" fillId="3" borderId="0" xfId="0" applyFont="1" applyFill="1" applyBorder="1" applyAlignment="1">
      <alignment horizontal="left" vertical="top"/>
    </xf>
    <xf numFmtId="177" fontId="8" fillId="3" borderId="0" xfId="0" applyNumberFormat="1" applyFont="1" applyFill="1" applyBorder="1" applyAlignment="1">
      <alignment horizontal="right" vertical="top"/>
    </xf>
    <xf numFmtId="176" fontId="8" fillId="3" borderId="0" xfId="0" applyNumberFormat="1" applyFont="1" applyFill="1" applyBorder="1" applyAlignment="1">
      <alignment horizontal="right" vertical="top"/>
    </xf>
    <xf numFmtId="49" fontId="8" fillId="2" borderId="0" xfId="0" applyNumberFormat="1" applyFont="1" applyFill="1" applyBorder="1" applyAlignment="1">
      <alignment horizontal="right" vertical="top"/>
    </xf>
    <xf numFmtId="0" fontId="8" fillId="2" borderId="0" xfId="0" applyFont="1" applyFill="1" applyBorder="1" applyAlignment="1">
      <alignment horizontal="left" vertical="top"/>
    </xf>
    <xf numFmtId="177" fontId="8" fillId="2" borderId="0" xfId="0" applyNumberFormat="1" applyFont="1" applyFill="1" applyBorder="1" applyAlignment="1">
      <alignment horizontal="right" vertical="top"/>
    </xf>
    <xf numFmtId="176" fontId="8" fillId="2" borderId="0" xfId="0" applyNumberFormat="1" applyFont="1" applyFill="1" applyBorder="1" applyAlignment="1">
      <alignment horizontal="right" vertical="top"/>
    </xf>
    <xf numFmtId="0" fontId="8" fillId="3" borderId="0" xfId="0" applyFont="1" applyFill="1" applyBorder="1" applyAlignment="1">
      <alignment horizontal="left" vertical="top" wrapText="1"/>
    </xf>
    <xf numFmtId="0" fontId="8" fillId="3" borderId="0" xfId="0" applyFont="1" applyFill="1" applyBorder="1" applyAlignment="1">
      <alignment horizontal="right" vertical="top"/>
    </xf>
    <xf numFmtId="0" fontId="8" fillId="2" borderId="0" xfId="0" applyFont="1" applyFill="1" applyBorder="1" applyAlignment="1">
      <alignment horizontal="left" vertical="top" wrapText="1"/>
    </xf>
    <xf numFmtId="0" fontId="8" fillId="2" borderId="0" xfId="0" applyFont="1" applyFill="1" applyBorder="1" applyAlignment="1">
      <alignment horizontal="right" vertical="top"/>
    </xf>
    <xf numFmtId="0" fontId="0" fillId="5" borderId="0" xfId="0" applyFont="1" applyFill="1" applyAlignment="1">
      <alignment vertical="center"/>
    </xf>
    <xf numFmtId="0" fontId="0" fillId="2" borderId="0" xfId="0" applyFont="1" applyFill="1" applyAlignment="1">
      <alignment vertical="center"/>
    </xf>
    <xf numFmtId="0" fontId="0" fillId="3" borderId="0" xfId="0" applyFont="1" applyFill="1" applyAlignment="1">
      <alignment vertical="center"/>
    </xf>
    <xf numFmtId="22" fontId="0" fillId="5" borderId="0" xfId="0" applyNumberFormat="1" applyFont="1" applyFill="1" applyAlignment="1">
      <alignment vertical="center"/>
    </xf>
    <xf numFmtId="22" fontId="0" fillId="2" borderId="0" xfId="0" applyNumberFormat="1" applyFont="1" applyFill="1" applyAlignment="1">
      <alignment vertical="center"/>
    </xf>
    <xf numFmtId="22" fontId="0" fillId="3" borderId="0" xfId="0" applyNumberFormat="1" applyFont="1" applyFill="1" applyAlignment="1">
      <alignment vertical="center"/>
    </xf>
    <xf numFmtId="0" fontId="0" fillId="2" borderId="0" xfId="0" applyFont="1" applyFill="1" applyAlignment="1">
      <alignment vertical="center" wrapText="1"/>
    </xf>
    <xf numFmtId="0" fontId="0" fillId="6" borderId="0" xfId="0" applyFont="1" applyFill="1" applyAlignment="1">
      <alignment vertical="center"/>
    </xf>
    <xf numFmtId="0" fontId="0" fillId="7" borderId="0" xfId="0" applyFont="1" applyFill="1" applyAlignment="1">
      <alignment vertical="center"/>
    </xf>
    <xf numFmtId="0" fontId="0" fillId="8" borderId="0" xfId="0" applyFont="1" applyFill="1" applyAlignment="1">
      <alignment vertical="center"/>
    </xf>
    <xf numFmtId="22" fontId="0" fillId="6" borderId="0" xfId="0" applyNumberFormat="1" applyFont="1" applyFill="1" applyAlignment="1">
      <alignment vertical="center"/>
    </xf>
    <xf numFmtId="22" fontId="0" fillId="7" borderId="0" xfId="0" applyNumberFormat="1" applyFont="1" applyFill="1" applyAlignment="1">
      <alignment vertical="center"/>
    </xf>
    <xf numFmtId="22" fontId="0" fillId="8" borderId="0" xfId="0" applyNumberFormat="1" applyFont="1" applyFill="1" applyAlignment="1">
      <alignment vertical="center"/>
    </xf>
    <xf numFmtId="0" fontId="0" fillId="5" borderId="3" xfId="0" applyFont="1" applyFill="1" applyBorder="1" applyAlignment="1">
      <alignment horizontal="center" vertical="center"/>
    </xf>
    <xf numFmtId="0" fontId="0" fillId="5" borderId="8" xfId="0" applyFont="1" applyFill="1" applyBorder="1" applyAlignment="1">
      <alignment horizontal="center" vertical="center"/>
    </xf>
    <xf numFmtId="0" fontId="0" fillId="5" borderId="4" xfId="0" applyFont="1" applyFill="1" applyBorder="1" applyAlignment="1">
      <alignment horizontal="center" vertical="center"/>
    </xf>
    <xf numFmtId="0" fontId="0" fillId="9" borderId="3"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4" xfId="0" applyFont="1" applyFill="1" applyBorder="1" applyAlignment="1">
      <alignment horizontal="center" vertical="center"/>
    </xf>
    <xf numFmtId="0" fontId="0" fillId="5" borderId="9" xfId="0" applyFont="1" applyFill="1" applyBorder="1" applyAlignment="1">
      <alignment horizontal="center" vertical="center"/>
    </xf>
    <xf numFmtId="0" fontId="0" fillId="5" borderId="10" xfId="0" applyFont="1" applyFill="1" applyBorder="1" applyAlignment="1">
      <alignment horizontal="center" vertical="center"/>
    </xf>
    <xf numFmtId="0" fontId="0" fillId="5" borderId="11" xfId="0" applyFont="1" applyFill="1" applyBorder="1" applyAlignment="1">
      <alignment horizontal="center" vertical="center"/>
    </xf>
    <xf numFmtId="0" fontId="0" fillId="9" borderId="9" xfId="0" applyFont="1" applyFill="1" applyBorder="1" applyAlignment="1">
      <alignment horizontal="center" vertical="center"/>
    </xf>
    <xf numFmtId="0" fontId="0" fillId="9" borderId="10" xfId="0" applyFont="1" applyFill="1" applyBorder="1" applyAlignment="1">
      <alignment horizontal="center" vertical="center"/>
    </xf>
    <xf numFmtId="0" fontId="0" fillId="9" borderId="11" xfId="0" applyFont="1" applyFill="1" applyBorder="1" applyAlignment="1">
      <alignment horizontal="center" vertical="center"/>
    </xf>
    <xf numFmtId="0" fontId="0" fillId="0" borderId="3" xfId="0" applyFont="1" applyFill="1" applyBorder="1" applyAlignment="1">
      <alignment vertical="center"/>
    </xf>
    <xf numFmtId="0" fontId="0" fillId="0" borderId="12" xfId="0" applyFont="1" applyFill="1" applyBorder="1" applyAlignment="1">
      <alignment vertical="center"/>
    </xf>
    <xf numFmtId="0" fontId="9" fillId="0" borderId="5" xfId="10" applyFont="1" applyBorder="1" applyAlignment="1">
      <alignment horizontal="center" vertical="center" wrapText="1"/>
    </xf>
    <xf numFmtId="0" fontId="0" fillId="0" borderId="13" xfId="0" applyFont="1" applyFill="1" applyBorder="1" applyAlignment="1">
      <alignment vertical="center"/>
    </xf>
    <xf numFmtId="0" fontId="10" fillId="0" borderId="5" xfId="10" applyBorder="1" applyAlignment="1">
      <alignment horizontal="center" vertical="center" wrapText="1"/>
    </xf>
    <xf numFmtId="0" fontId="0" fillId="0" borderId="5" xfId="0" applyFont="1" applyFill="1" applyBorder="1" applyAlignment="1">
      <alignment vertical="center"/>
    </xf>
    <xf numFmtId="0" fontId="0" fillId="0" borderId="9" xfId="0" applyFont="1" applyFill="1" applyBorder="1" applyAlignment="1">
      <alignment horizontal="right" vertical="center"/>
    </xf>
    <xf numFmtId="0" fontId="1" fillId="0" borderId="14" xfId="0" applyFont="1" applyFill="1" applyBorder="1" applyAlignment="1">
      <alignment vertical="center"/>
    </xf>
    <xf numFmtId="0" fontId="0" fillId="0" borderId="11" xfId="0" applyFont="1" applyFill="1" applyBorder="1" applyAlignment="1">
      <alignment vertical="center"/>
    </xf>
    <xf numFmtId="0" fontId="0" fillId="0" borderId="14" xfId="0" applyFont="1" applyFill="1" applyBorder="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none"/>
      </fill>
    </dxf>
  </dxfs>
  <tableStyles count="0" defaultTableStyle="TableStyleMedium2" defaultPivotStyle="PivotStyleLight16"/>
  <colors>
    <mruColors>
      <color rgb="00F02C2C"/>
      <color rgb="00EF61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20225;&#19994;qq\2853526355\filerecv\&#21047;&#21333;&#27719;&#24635;&#26126;&#32454;&#34920;(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汇总"/>
      <sheetName val="天猫"/>
      <sheetName val="GAVEE企业店"/>
      <sheetName val="阿里巴巴诚信通"/>
      <sheetName val="Sheet1"/>
      <sheetName val="Sheet2"/>
    </sheetNames>
    <sheetDataSet>
      <sheetData sheetId="0"/>
      <sheetData sheetId="1">
        <row r="3">
          <cell r="B3" t="str">
            <v>466716128970639981</v>
          </cell>
          <cell r="C3" t="str">
            <v>G12V</v>
          </cell>
          <cell r="D3" t="str">
            <v>sennyting</v>
          </cell>
          <cell r="E3">
            <v>1755</v>
          </cell>
          <cell r="F3">
            <v>20</v>
          </cell>
          <cell r="G3">
            <v>20000</v>
          </cell>
        </row>
        <row r="4">
          <cell r="B4" t="str">
            <v>466929154696210549</v>
          </cell>
          <cell r="C4" t="str">
            <v>G12V</v>
          </cell>
          <cell r="D4" t="str">
            <v>tb1438001_2012</v>
          </cell>
          <cell r="E4">
            <v>1765</v>
          </cell>
          <cell r="F4">
            <v>20</v>
          </cell>
        </row>
        <row r="5">
          <cell r="B5" t="str">
            <v>467435203478046618</v>
          </cell>
          <cell r="C5" t="str">
            <v>Q6</v>
          </cell>
          <cell r="D5" t="str">
            <v>罗广威0615</v>
          </cell>
          <cell r="E5">
            <v>3172</v>
          </cell>
          <cell r="F5">
            <v>25</v>
          </cell>
        </row>
        <row r="6">
          <cell r="B6" t="str">
            <v>467355875986226439</v>
          </cell>
          <cell r="C6" t="str">
            <v>8216*5</v>
          </cell>
          <cell r="D6" t="str">
            <v>carolwasc</v>
          </cell>
          <cell r="E6">
            <v>2350</v>
          </cell>
          <cell r="F6">
            <v>20</v>
          </cell>
        </row>
        <row r="7">
          <cell r="B7" t="str">
            <v>466393152262509231</v>
          </cell>
          <cell r="C7" t="str">
            <v>8216*4</v>
          </cell>
          <cell r="D7" t="str">
            <v>我是宝宝qq</v>
          </cell>
          <cell r="E7">
            <v>1706</v>
          </cell>
          <cell r="F7">
            <v>20</v>
          </cell>
        </row>
        <row r="8">
          <cell r="C8" t="str">
            <v>8216*1</v>
          </cell>
        </row>
        <row r="9">
          <cell r="B9" t="str">
            <v>303957068693622208</v>
          </cell>
          <cell r="C9" t="str">
            <v>精灵椅</v>
          </cell>
          <cell r="D9" t="str">
            <v>娃娃_19</v>
          </cell>
          <cell r="E9">
            <v>771.68</v>
          </cell>
          <cell r="F9">
            <v>16</v>
          </cell>
        </row>
        <row r="10">
          <cell r="B10" t="str">
            <v>467575171921785178</v>
          </cell>
          <cell r="C10">
            <v>8216</v>
          </cell>
          <cell r="D10" t="str">
            <v>xiami_xiami</v>
          </cell>
          <cell r="E10">
            <v>641</v>
          </cell>
          <cell r="F10">
            <v>16</v>
          </cell>
        </row>
        <row r="10">
          <cell r="H10" t="str">
            <v>企业店</v>
          </cell>
        </row>
        <row r="11">
          <cell r="B11" t="str">
            <v>467769251095219212</v>
          </cell>
          <cell r="C11">
            <v>8213</v>
          </cell>
          <cell r="D11" t="str">
            <v>joisli555</v>
          </cell>
          <cell r="E11">
            <v>438.3</v>
          </cell>
          <cell r="F11">
            <v>16</v>
          </cell>
        </row>
        <row r="11">
          <cell r="H11" t="str">
            <v>企业店</v>
          </cell>
        </row>
        <row r="14">
          <cell r="B14" t="str">
            <v>469592770078941146</v>
          </cell>
          <cell r="C14" t="str">
            <v>G12V</v>
          </cell>
          <cell r="D14" t="str">
            <v>欧阳节米</v>
          </cell>
          <cell r="E14">
            <v>1765</v>
          </cell>
          <cell r="F14">
            <v>20</v>
          </cell>
          <cell r="G14">
            <v>6000</v>
          </cell>
        </row>
        <row r="15">
          <cell r="B15" t="str">
            <v>304261101816267905</v>
          </cell>
          <cell r="C15" t="str">
            <v>G12V</v>
          </cell>
          <cell r="D15" t="str">
            <v>dayong13818703895</v>
          </cell>
          <cell r="E15">
            <v>1585</v>
          </cell>
          <cell r="F15">
            <v>20</v>
          </cell>
          <cell r="G15">
            <v>4000</v>
          </cell>
        </row>
        <row r="16">
          <cell r="B16" t="str">
            <v>469802979804263656</v>
          </cell>
          <cell r="C16" t="str">
            <v>Q6</v>
          </cell>
          <cell r="D16" t="str">
            <v>随便老婆</v>
          </cell>
          <cell r="E16">
            <v>3172</v>
          </cell>
          <cell r="F16">
            <v>25</v>
          </cell>
        </row>
        <row r="17">
          <cell r="B17" t="str">
            <v>470125699386450185</v>
          </cell>
          <cell r="C17" t="str">
            <v>8216*2</v>
          </cell>
          <cell r="D17" t="str">
            <v>sj802065125</v>
          </cell>
          <cell r="E17">
            <v>1026</v>
          </cell>
          <cell r="F17">
            <v>20</v>
          </cell>
        </row>
        <row r="18">
          <cell r="B18" t="str">
            <v>469466722700978914</v>
          </cell>
          <cell r="C18" t="str">
            <v>8216*5</v>
          </cell>
          <cell r="D18" t="str">
            <v>ccsshh4</v>
          </cell>
          <cell r="E18">
            <v>2190</v>
          </cell>
          <cell r="F18">
            <v>20</v>
          </cell>
        </row>
        <row r="19">
          <cell r="B19" t="str">
            <v>304408142389906507</v>
          </cell>
          <cell r="C19" t="str">
            <v>精灵椅</v>
          </cell>
          <cell r="D19" t="str">
            <v>杜灿灿622</v>
          </cell>
          <cell r="E19">
            <v>861</v>
          </cell>
          <cell r="F19">
            <v>16</v>
          </cell>
        </row>
        <row r="22">
          <cell r="B22" t="str">
            <v>471483619418408830</v>
          </cell>
          <cell r="C22" t="str">
            <v>G12V</v>
          </cell>
          <cell r="D22" t="str">
            <v>魏巍2015</v>
          </cell>
          <cell r="E22">
            <v>1888</v>
          </cell>
          <cell r="F22">
            <v>20</v>
          </cell>
          <cell r="G22">
            <v>20000</v>
          </cell>
        </row>
        <row r="23">
          <cell r="B23" t="str">
            <v>470849953349812484</v>
          </cell>
          <cell r="C23" t="str">
            <v>G12V</v>
          </cell>
          <cell r="D23" t="str">
            <v>萱丫头162420869</v>
          </cell>
          <cell r="E23">
            <v>1799</v>
          </cell>
          <cell r="F23">
            <v>20</v>
          </cell>
        </row>
        <row r="24">
          <cell r="B24" t="str">
            <v>471297121412228252</v>
          </cell>
          <cell r="C24" t="str">
            <v>Q6</v>
          </cell>
          <cell r="D24" t="str">
            <v>美丽在线7758521</v>
          </cell>
          <cell r="E24">
            <v>3166</v>
          </cell>
          <cell r="F24">
            <v>25</v>
          </cell>
        </row>
        <row r="25">
          <cell r="B25" t="str">
            <v>471595394766716191</v>
          </cell>
          <cell r="C25" t="str">
            <v>8216*4</v>
          </cell>
          <cell r="D25" t="str">
            <v>hsiu720124</v>
          </cell>
          <cell r="E25">
            <v>1675.36</v>
          </cell>
          <cell r="F25">
            <v>20</v>
          </cell>
        </row>
        <row r="26">
          <cell r="B26" t="str">
            <v>471032257749516812</v>
          </cell>
          <cell r="C26" t="str">
            <v>8216*6</v>
          </cell>
          <cell r="D26" t="str">
            <v>tb82751002</v>
          </cell>
          <cell r="E26">
            <v>2499</v>
          </cell>
          <cell r="F26">
            <v>20</v>
          </cell>
        </row>
        <row r="27">
          <cell r="B27" t="str">
            <v>471364961553691164</v>
          </cell>
          <cell r="C27" t="str">
            <v>精灵椅*2</v>
          </cell>
          <cell r="D27" t="str">
            <v>欲问君</v>
          </cell>
          <cell r="E27">
            <v>811.68</v>
          </cell>
          <cell r="F27">
            <v>20</v>
          </cell>
        </row>
        <row r="30">
          <cell r="B30" t="str">
            <v>472956483430060146</v>
          </cell>
          <cell r="C30" t="str">
            <v>G12V</v>
          </cell>
          <cell r="D30" t="str">
            <v>yjm_m</v>
          </cell>
          <cell r="E30">
            <v>1799</v>
          </cell>
          <cell r="F30">
            <v>20</v>
          </cell>
          <cell r="G30">
            <v>13000</v>
          </cell>
        </row>
        <row r="31">
          <cell r="B31" t="str">
            <v>471885632169275238</v>
          </cell>
          <cell r="C31" t="str">
            <v>G12V</v>
          </cell>
          <cell r="D31" t="str">
            <v>缘定今生1154</v>
          </cell>
          <cell r="E31">
            <v>1799</v>
          </cell>
          <cell r="F31">
            <v>20</v>
          </cell>
        </row>
        <row r="32">
          <cell r="B32" t="str">
            <v>473180387849621579</v>
          </cell>
          <cell r="C32" t="str">
            <v>Q6</v>
          </cell>
          <cell r="D32" t="str">
            <v>幸福昂恩</v>
          </cell>
          <cell r="E32">
            <v>3166</v>
          </cell>
          <cell r="F32">
            <v>25</v>
          </cell>
        </row>
        <row r="33">
          <cell r="B33" t="str">
            <v>472347553914715050</v>
          </cell>
          <cell r="C33" t="str">
            <v>8216*5</v>
          </cell>
          <cell r="D33" t="str">
            <v>zhangning13641087818</v>
          </cell>
          <cell r="E33">
            <v>2527</v>
          </cell>
          <cell r="F33">
            <v>20</v>
          </cell>
        </row>
        <row r="34">
          <cell r="B34" t="str">
            <v>472560321203864216</v>
          </cell>
          <cell r="C34" t="str">
            <v>8216*5</v>
          </cell>
          <cell r="D34" t="str">
            <v>my樱花飘落的季节198510</v>
          </cell>
          <cell r="E34">
            <v>1999</v>
          </cell>
          <cell r="F34">
            <v>20</v>
          </cell>
        </row>
        <row r="35">
          <cell r="B35" t="str">
            <v>472657185279421181</v>
          </cell>
          <cell r="C35" t="str">
            <v>精灵椅*6</v>
          </cell>
          <cell r="D35" t="str">
            <v>callme蟹老板</v>
          </cell>
          <cell r="E35">
            <v>2235</v>
          </cell>
          <cell r="F35">
            <v>20</v>
          </cell>
        </row>
        <row r="37">
          <cell r="B37" t="str">
            <v>304683821238213300</v>
          </cell>
          <cell r="C37" t="str">
            <v>G12V</v>
          </cell>
          <cell r="D37" t="str">
            <v>tiao8988</v>
          </cell>
          <cell r="E37">
            <v>1799</v>
          </cell>
          <cell r="F37">
            <v>20</v>
          </cell>
        </row>
        <row r="38">
          <cell r="B38" t="str">
            <v>473739233168673482</v>
          </cell>
          <cell r="C38" t="str">
            <v>G12V</v>
          </cell>
          <cell r="D38" t="str">
            <v>夏小沫代购店</v>
          </cell>
          <cell r="E38">
            <v>1799</v>
          </cell>
          <cell r="F38">
            <v>20</v>
          </cell>
        </row>
        <row r="39">
          <cell r="B39" t="str">
            <v>474391458703956623</v>
          </cell>
          <cell r="C39" t="str">
            <v>Q6</v>
          </cell>
          <cell r="D39" t="str">
            <v>love李家小玉儿</v>
          </cell>
          <cell r="E39">
            <v>3166</v>
          </cell>
          <cell r="F39">
            <v>25</v>
          </cell>
        </row>
        <row r="40">
          <cell r="B40" t="str">
            <v>473928673499018758</v>
          </cell>
          <cell r="C40" t="str">
            <v>8216*5</v>
          </cell>
          <cell r="D40" t="str">
            <v>tb20056065</v>
          </cell>
          <cell r="E40">
            <v>1999</v>
          </cell>
          <cell r="F40">
            <v>20</v>
          </cell>
        </row>
        <row r="41">
          <cell r="B41" t="str">
            <v>474591971298166815</v>
          </cell>
          <cell r="C41" t="str">
            <v>8216*6</v>
          </cell>
          <cell r="D41" t="str">
            <v>董彦贞</v>
          </cell>
          <cell r="E41">
            <v>2763</v>
          </cell>
          <cell r="F41">
            <v>20</v>
          </cell>
        </row>
        <row r="42">
          <cell r="B42" t="str">
            <v>474369762752195057</v>
          </cell>
          <cell r="C42" t="str">
            <v>精灵椅*6</v>
          </cell>
          <cell r="D42" t="str">
            <v>白利芳90</v>
          </cell>
          <cell r="E42">
            <v>2235</v>
          </cell>
          <cell r="F42">
            <v>20</v>
          </cell>
        </row>
        <row r="44">
          <cell r="B44" t="str">
            <v>476019747721158729</v>
          </cell>
          <cell r="C44" t="str">
            <v>G12V</v>
          </cell>
          <cell r="D44" t="str">
            <v>可可高原</v>
          </cell>
          <cell r="E44">
            <v>1799</v>
          </cell>
          <cell r="F44">
            <v>20</v>
          </cell>
          <cell r="G44">
            <v>20000</v>
          </cell>
        </row>
        <row r="45">
          <cell r="B45" t="str">
            <v>476093699462342762</v>
          </cell>
          <cell r="C45" t="str">
            <v>G12V</v>
          </cell>
          <cell r="D45" t="str">
            <v>招财猫200808</v>
          </cell>
          <cell r="E45">
            <v>1799</v>
          </cell>
          <cell r="F45">
            <v>20</v>
          </cell>
        </row>
        <row r="46">
          <cell r="B46" t="str">
            <v>475997699524423272</v>
          </cell>
          <cell r="C46" t="str">
            <v>Q6</v>
          </cell>
          <cell r="D46" t="str">
            <v>likexincaoli</v>
          </cell>
          <cell r="E46">
            <v>3166</v>
          </cell>
          <cell r="F46">
            <v>25</v>
          </cell>
        </row>
        <row r="47">
          <cell r="B47" t="str">
            <v>475455905258118638</v>
          </cell>
          <cell r="C47" t="str">
            <v>8216*2</v>
          </cell>
          <cell r="D47" t="str">
            <v>tb044130552</v>
          </cell>
          <cell r="E47">
            <v>1087</v>
          </cell>
          <cell r="F47">
            <v>20</v>
          </cell>
        </row>
        <row r="48">
          <cell r="B48" t="str">
            <v>282660100668769397</v>
          </cell>
          <cell r="C48" t="str">
            <v>精灵椅*4</v>
          </cell>
          <cell r="D48" t="str">
            <v>asdmeili</v>
          </cell>
          <cell r="E48">
            <v>1323.36</v>
          </cell>
          <cell r="F48">
            <v>20</v>
          </cell>
        </row>
        <row r="50">
          <cell r="B50" t="str">
            <v>476605729627912038</v>
          </cell>
          <cell r="C50" t="str">
            <v>G12V</v>
          </cell>
          <cell r="D50" t="str">
            <v>一样儿儿</v>
          </cell>
          <cell r="E50">
            <v>1799</v>
          </cell>
          <cell r="F50">
            <v>20</v>
          </cell>
          <cell r="G50">
            <v>2000</v>
          </cell>
        </row>
        <row r="51">
          <cell r="B51" t="str">
            <v>476129824021252528</v>
          </cell>
          <cell r="C51" t="str">
            <v>G12V</v>
          </cell>
          <cell r="D51" t="str">
            <v>tb98863989</v>
          </cell>
          <cell r="E51">
            <v>1799</v>
          </cell>
          <cell r="F51">
            <v>20</v>
          </cell>
        </row>
        <row r="52">
          <cell r="B52" t="str">
            <v>476969602911943449</v>
          </cell>
          <cell r="C52" t="str">
            <v>8216*2</v>
          </cell>
          <cell r="D52" t="str">
            <v>1352127698lichenyang</v>
          </cell>
          <cell r="E52">
            <v>1210</v>
          </cell>
          <cell r="F52">
            <v>20</v>
          </cell>
        </row>
        <row r="53">
          <cell r="B53" t="str">
            <v>477487106232106217</v>
          </cell>
          <cell r="C53" t="str">
            <v>精灵椅*4</v>
          </cell>
          <cell r="D53" t="str">
            <v>幸福专卖店200803</v>
          </cell>
          <cell r="E53">
            <v>1323.36</v>
          </cell>
          <cell r="F53">
            <v>20</v>
          </cell>
        </row>
        <row r="56">
          <cell r="B56" t="str">
            <v>478490530913615060</v>
          </cell>
          <cell r="C56" t="str">
            <v>G12V</v>
          </cell>
          <cell r="D56" t="str">
            <v>松丹怡8100</v>
          </cell>
          <cell r="E56">
            <v>1799</v>
          </cell>
          <cell r="F56">
            <v>20</v>
          </cell>
          <cell r="G56">
            <v>16000</v>
          </cell>
        </row>
        <row r="57">
          <cell r="B57" t="str">
            <v>478140643028797128</v>
          </cell>
          <cell r="C57" t="str">
            <v>G12V</v>
          </cell>
          <cell r="D57" t="str">
            <v>qq嫣然qq</v>
          </cell>
          <cell r="E57">
            <v>1799</v>
          </cell>
          <cell r="F57">
            <v>20</v>
          </cell>
        </row>
        <row r="58">
          <cell r="B58" t="str">
            <v>478330371131935250</v>
          </cell>
          <cell r="C58" t="str">
            <v>8216*2</v>
          </cell>
          <cell r="D58" t="str">
            <v>蘑菇xiia</v>
          </cell>
          <cell r="E58">
            <v>1210.88</v>
          </cell>
          <cell r="F58">
            <v>20</v>
          </cell>
        </row>
        <row r="59">
          <cell r="B59" t="str">
            <v>477797728889136142</v>
          </cell>
          <cell r="C59" t="str">
            <v>Q6</v>
          </cell>
          <cell r="D59" t="str">
            <v>我的糖果是忧伤</v>
          </cell>
          <cell r="E59">
            <v>3166</v>
          </cell>
          <cell r="F59">
            <v>25</v>
          </cell>
        </row>
        <row r="61">
          <cell r="B61" t="str">
            <v>478542305149281948</v>
          </cell>
          <cell r="C61" t="str">
            <v>精灵椅*2</v>
          </cell>
          <cell r="D61" t="str">
            <v>冷水江6699</v>
          </cell>
          <cell r="E61">
            <v>1036</v>
          </cell>
          <cell r="F61">
            <v>20</v>
          </cell>
        </row>
        <row r="61">
          <cell r="H61" t="str">
            <v>企业店</v>
          </cell>
        </row>
        <row r="62">
          <cell r="B62" t="str">
            <v>478895298026756456</v>
          </cell>
          <cell r="C62" t="str">
            <v>电竟椅</v>
          </cell>
          <cell r="D62" t="str">
            <v>时间倒退66</v>
          </cell>
          <cell r="E62">
            <v>1899</v>
          </cell>
          <cell r="F62">
            <v>20</v>
          </cell>
        </row>
        <row r="62">
          <cell r="H62" t="str">
            <v>企业店</v>
          </cell>
        </row>
        <row r="64">
          <cell r="B64" t="str">
            <v>479308962018037038</v>
          </cell>
          <cell r="C64" t="str">
            <v>G12V</v>
          </cell>
          <cell r="D64" t="str">
            <v>残心叶</v>
          </cell>
          <cell r="E64">
            <v>1799</v>
          </cell>
          <cell r="F64">
            <v>20</v>
          </cell>
          <cell r="G64">
            <v>16000</v>
          </cell>
        </row>
        <row r="65">
          <cell r="B65" t="str">
            <v>283359943898419897</v>
          </cell>
          <cell r="C65" t="str">
            <v>G12V</v>
          </cell>
          <cell r="D65" t="str">
            <v>罗玉770880</v>
          </cell>
          <cell r="E65">
            <v>1799</v>
          </cell>
          <cell r="F65">
            <v>20</v>
          </cell>
        </row>
        <row r="66">
          <cell r="B66" t="str">
            <v>480003969094022526</v>
          </cell>
          <cell r="C66" t="str">
            <v>8216*2</v>
          </cell>
          <cell r="D66" t="str">
            <v>yanhui870707</v>
          </cell>
          <cell r="E66">
            <v>1087.68</v>
          </cell>
          <cell r="F66">
            <v>20</v>
          </cell>
        </row>
        <row r="67">
          <cell r="B67" t="str">
            <v>305292046062405201</v>
          </cell>
          <cell r="C67" t="str">
            <v>Q6</v>
          </cell>
          <cell r="D67" t="str">
            <v>静静的等o</v>
          </cell>
          <cell r="E67">
            <v>2788</v>
          </cell>
          <cell r="F67">
            <v>20</v>
          </cell>
        </row>
        <row r="68">
          <cell r="B68" t="str">
            <v>479467200697869958</v>
          </cell>
          <cell r="C68" t="str">
            <v>电竟椅</v>
          </cell>
          <cell r="D68" t="str">
            <v>jiaxinga7</v>
          </cell>
          <cell r="E68">
            <v>1663</v>
          </cell>
          <cell r="F68">
            <v>20</v>
          </cell>
        </row>
        <row r="70">
          <cell r="B70" t="str">
            <v>479757251135185329</v>
          </cell>
          <cell r="C70" t="str">
            <v>精灵椅*3</v>
          </cell>
          <cell r="D70" t="str">
            <v>tb_1134009</v>
          </cell>
          <cell r="E70">
            <v>1554</v>
          </cell>
          <cell r="F70">
            <v>20</v>
          </cell>
        </row>
        <row r="70">
          <cell r="H70" t="str">
            <v>企业店</v>
          </cell>
        </row>
        <row r="71">
          <cell r="B71" t="str">
            <v>479533537321335477</v>
          </cell>
          <cell r="C71" t="str">
            <v>电竟椅</v>
          </cell>
          <cell r="D71" t="str">
            <v>懒有罪么</v>
          </cell>
          <cell r="E71">
            <v>1899</v>
          </cell>
          <cell r="F71">
            <v>20</v>
          </cell>
        </row>
        <row r="71">
          <cell r="H71" t="str">
            <v>企业店</v>
          </cell>
        </row>
        <row r="74">
          <cell r="B74" t="str">
            <v>305736271970636002</v>
          </cell>
          <cell r="C74" t="str">
            <v>G12V</v>
          </cell>
          <cell r="D74" t="str">
            <v>常胜将军1997</v>
          </cell>
          <cell r="E74">
            <v>1799</v>
          </cell>
          <cell r="F74">
            <v>20</v>
          </cell>
          <cell r="G74">
            <v>18500</v>
          </cell>
        </row>
        <row r="75">
          <cell r="B75" t="str">
            <v>480851523317533773</v>
          </cell>
          <cell r="C75" t="str">
            <v>G12V</v>
          </cell>
          <cell r="D75" t="str">
            <v>pan861342148</v>
          </cell>
          <cell r="E75">
            <v>1799</v>
          </cell>
          <cell r="F75">
            <v>20</v>
          </cell>
        </row>
        <row r="76">
          <cell r="B76" t="str">
            <v>305761039493519800</v>
          </cell>
          <cell r="C76" t="str">
            <v>8216*2</v>
          </cell>
          <cell r="D76" t="str">
            <v>100蓝色心情100</v>
          </cell>
          <cell r="E76">
            <v>987.68</v>
          </cell>
          <cell r="F76">
            <v>16</v>
          </cell>
        </row>
        <row r="77">
          <cell r="B77" t="str">
            <v>480564802424931738</v>
          </cell>
          <cell r="C77" t="str">
            <v>Q6</v>
          </cell>
          <cell r="D77" t="str">
            <v>气派猎鹰</v>
          </cell>
          <cell r="E77">
            <v>2788</v>
          </cell>
          <cell r="F77">
            <v>20</v>
          </cell>
        </row>
        <row r="78">
          <cell r="B78" t="str">
            <v>480931905414627843</v>
          </cell>
          <cell r="C78" t="str">
            <v>电竟椅</v>
          </cell>
          <cell r="D78" t="str">
            <v>买七个对讲机</v>
          </cell>
          <cell r="E78">
            <v>1571.12</v>
          </cell>
          <cell r="F78">
            <v>20</v>
          </cell>
        </row>
        <row r="79">
          <cell r="B79" t="str">
            <v>305442798586379402</v>
          </cell>
          <cell r="C79" t="str">
            <v>电竟椅</v>
          </cell>
          <cell r="D79" t="str">
            <v>朱迪zd</v>
          </cell>
          <cell r="E79">
            <v>1571.12</v>
          </cell>
          <cell r="F79">
            <v>20</v>
          </cell>
        </row>
        <row r="80">
          <cell r="B80" t="str">
            <v>480844192611647850</v>
          </cell>
          <cell r="C80" t="str">
            <v>精灵椅*3</v>
          </cell>
          <cell r="D80" t="str">
            <v>蔡苏亚嘉欣</v>
          </cell>
          <cell r="E80">
            <v>1554</v>
          </cell>
          <cell r="F80">
            <v>20</v>
          </cell>
        </row>
        <row r="80">
          <cell r="H80" t="str">
            <v>企业店</v>
          </cell>
        </row>
        <row r="81">
          <cell r="B81" t="str">
            <v>283235141866957397</v>
          </cell>
          <cell r="C81" t="str">
            <v>电竟椅</v>
          </cell>
          <cell r="D81" t="str">
            <v>专属猪婆520871414154</v>
          </cell>
          <cell r="E81">
            <v>1899</v>
          </cell>
          <cell r="F81">
            <v>20</v>
          </cell>
        </row>
        <row r="81">
          <cell r="H81" t="str">
            <v>企业店</v>
          </cell>
        </row>
        <row r="82">
          <cell r="B82" t="str">
            <v>481000032203088781</v>
          </cell>
          <cell r="C82" t="str">
            <v>M6*2</v>
          </cell>
          <cell r="D82" t="str">
            <v>king_taki</v>
          </cell>
          <cell r="E82">
            <v>698.6</v>
          </cell>
          <cell r="F82">
            <v>16</v>
          </cell>
        </row>
        <row r="82">
          <cell r="H82" t="str">
            <v>企业店</v>
          </cell>
        </row>
        <row r="85">
          <cell r="B85" t="str">
            <v>481591072230483584</v>
          </cell>
          <cell r="C85" t="str">
            <v>G12V</v>
          </cell>
          <cell r="D85" t="str">
            <v>zhangxinying899</v>
          </cell>
          <cell r="E85">
            <v>1799</v>
          </cell>
          <cell r="F85">
            <v>20</v>
          </cell>
        </row>
        <row r="86">
          <cell r="B86" t="str">
            <v>481957314487977879</v>
          </cell>
          <cell r="C86" t="str">
            <v>G12V</v>
          </cell>
          <cell r="D86" t="str">
            <v>小企的拉拉</v>
          </cell>
          <cell r="E86">
            <v>1799</v>
          </cell>
          <cell r="F86">
            <v>20</v>
          </cell>
        </row>
        <row r="87">
          <cell r="B87" t="str">
            <v>481758624797488738</v>
          </cell>
          <cell r="C87" t="str">
            <v>8216*2</v>
          </cell>
          <cell r="D87" t="str">
            <v>123刘国华</v>
          </cell>
          <cell r="E87">
            <v>1054.24</v>
          </cell>
          <cell r="F87">
            <v>20</v>
          </cell>
        </row>
        <row r="88">
          <cell r="B88" t="str">
            <v>305426381762482004</v>
          </cell>
          <cell r="C88" t="str">
            <v>Q6</v>
          </cell>
          <cell r="D88" t="str">
            <v>金牌啊秀</v>
          </cell>
          <cell r="E88">
            <v>2788</v>
          </cell>
          <cell r="F88">
            <v>20</v>
          </cell>
        </row>
        <row r="89">
          <cell r="B89" t="str">
            <v>481842016825921264</v>
          </cell>
          <cell r="C89" t="str">
            <v>电竟椅</v>
          </cell>
          <cell r="D89" t="str">
            <v>我爱我家人clx</v>
          </cell>
          <cell r="E89">
            <v>1899</v>
          </cell>
          <cell r="F89">
            <v>20</v>
          </cell>
        </row>
        <row r="90">
          <cell r="B90" t="str">
            <v>482310402702300351</v>
          </cell>
          <cell r="C90" t="str">
            <v>电竟椅*2</v>
          </cell>
          <cell r="D90" t="str">
            <v>烟梅子50222</v>
          </cell>
          <cell r="E90">
            <v>2842.24</v>
          </cell>
          <cell r="F90">
            <v>20</v>
          </cell>
        </row>
        <row r="91">
          <cell r="B91" t="str">
            <v>482925603234293871</v>
          </cell>
          <cell r="C91" t="str">
            <v>M6*2</v>
          </cell>
          <cell r="D91" t="str">
            <v>hanmei780818</v>
          </cell>
          <cell r="E91">
            <v>1198</v>
          </cell>
          <cell r="F91">
            <v>20</v>
          </cell>
        </row>
        <row r="91">
          <cell r="H91" t="str">
            <v>企业店</v>
          </cell>
        </row>
        <row r="92">
          <cell r="B92" t="str">
            <v>481000032203088781</v>
          </cell>
          <cell r="C92" t="str">
            <v>M6*2</v>
          </cell>
          <cell r="D92" t="str">
            <v>north_js</v>
          </cell>
          <cell r="E92">
            <v>1198</v>
          </cell>
          <cell r="F92">
            <v>20</v>
          </cell>
        </row>
        <row r="92">
          <cell r="H92" t="str">
            <v>企业店</v>
          </cell>
        </row>
        <row r="93">
          <cell r="B93" t="str">
            <v>305876015045285901</v>
          </cell>
          <cell r="C93" t="str">
            <v>2018*2</v>
          </cell>
          <cell r="D93" t="str">
            <v>qwenya000</v>
          </cell>
          <cell r="E93">
            <v>578</v>
          </cell>
          <cell r="F93">
            <v>16</v>
          </cell>
        </row>
        <row r="93">
          <cell r="H93" t="str">
            <v>企业店</v>
          </cell>
        </row>
        <row r="95">
          <cell r="B95" t="str">
            <v>484026563342956219</v>
          </cell>
          <cell r="C95" t="str">
            <v>G12V</v>
          </cell>
          <cell r="D95" t="str">
            <v>恰逢花开cp</v>
          </cell>
          <cell r="E95">
            <v>1799</v>
          </cell>
          <cell r="F95">
            <v>20</v>
          </cell>
          <cell r="G95">
            <v>6500</v>
          </cell>
        </row>
        <row r="96">
          <cell r="B96" t="str">
            <v>484199682680666175</v>
          </cell>
          <cell r="C96" t="str">
            <v>G12V</v>
          </cell>
          <cell r="D96" t="str">
            <v>一旦兑现留住11</v>
          </cell>
          <cell r="E96">
            <v>1799</v>
          </cell>
          <cell r="F96">
            <v>20</v>
          </cell>
          <cell r="G96">
            <v>10000</v>
          </cell>
        </row>
        <row r="97">
          <cell r="B97" t="str">
            <v>483980963974228450</v>
          </cell>
          <cell r="C97" t="str">
            <v>8216*2</v>
          </cell>
          <cell r="D97" t="str">
            <v>love韩舒婷</v>
          </cell>
          <cell r="E97">
            <v>1332</v>
          </cell>
          <cell r="F97">
            <v>20</v>
          </cell>
        </row>
        <row r="98">
          <cell r="B98" t="str">
            <v>483855843067401969</v>
          </cell>
          <cell r="C98" t="str">
            <v>Q6</v>
          </cell>
          <cell r="D98" t="str">
            <v>fengmiaohong888</v>
          </cell>
          <cell r="E98">
            <v>2788</v>
          </cell>
          <cell r="F98">
            <v>20</v>
          </cell>
        </row>
        <row r="99">
          <cell r="B99" t="str">
            <v>483913571409751034</v>
          </cell>
          <cell r="C99" t="str">
            <v>电竟椅</v>
          </cell>
          <cell r="D99" t="str">
            <v>爱尚一半青橙的忧伤</v>
          </cell>
          <cell r="E99">
            <v>1671.12</v>
          </cell>
          <cell r="F99">
            <v>20</v>
          </cell>
        </row>
        <row r="100">
          <cell r="B100" t="str">
            <v>484524419603260255</v>
          </cell>
          <cell r="C100" t="str">
            <v>电竟椅</v>
          </cell>
          <cell r="D100" t="str">
            <v>zha12345639441441</v>
          </cell>
          <cell r="E100">
            <v>1671.12</v>
          </cell>
          <cell r="F100">
            <v>20</v>
          </cell>
        </row>
        <row r="102">
          <cell r="B102" t="str">
            <v>484096963458400523</v>
          </cell>
          <cell r="C102" t="str">
            <v>M6*2</v>
          </cell>
          <cell r="D102" t="str">
            <v>栢翎钩钩</v>
          </cell>
          <cell r="E102">
            <v>838.6</v>
          </cell>
          <cell r="F102">
            <v>16</v>
          </cell>
        </row>
        <row r="102">
          <cell r="H102" t="str">
            <v>企业店</v>
          </cell>
        </row>
        <row r="103">
          <cell r="B103" t="str">
            <v>483919011102852313</v>
          </cell>
          <cell r="C103" t="str">
            <v>2018*2</v>
          </cell>
          <cell r="D103" t="str">
            <v>咚咚咚咚美眉呀</v>
          </cell>
          <cell r="E103">
            <v>597.6</v>
          </cell>
          <cell r="F103">
            <v>16</v>
          </cell>
        </row>
        <row r="103">
          <cell r="H103" t="str">
            <v>企业店</v>
          </cell>
        </row>
        <row r="105">
          <cell r="B105" t="str">
            <v>484107712382629369</v>
          </cell>
          <cell r="C105" t="str">
            <v>G12V</v>
          </cell>
          <cell r="D105" t="str">
            <v>王守燕92</v>
          </cell>
          <cell r="E105">
            <v>1799</v>
          </cell>
          <cell r="F105">
            <v>20</v>
          </cell>
          <cell r="G105">
            <v>17000</v>
          </cell>
        </row>
        <row r="106">
          <cell r="B106" t="str">
            <v>484775522858574844</v>
          </cell>
          <cell r="C106" t="str">
            <v>G12V</v>
          </cell>
          <cell r="D106" t="str">
            <v>lj20lj</v>
          </cell>
          <cell r="E106">
            <v>1799</v>
          </cell>
          <cell r="F106">
            <v>20</v>
          </cell>
        </row>
        <row r="107">
          <cell r="B107" t="str">
            <v>485183843719141383</v>
          </cell>
          <cell r="C107" t="str">
            <v>8216*2</v>
          </cell>
          <cell r="D107" t="str">
            <v>qqing0728</v>
          </cell>
          <cell r="E107">
            <v>1063.68</v>
          </cell>
          <cell r="F107">
            <v>20</v>
          </cell>
        </row>
        <row r="108">
          <cell r="B108" t="str">
            <v>485166979750657622</v>
          </cell>
          <cell r="C108" t="str">
            <v>Q6</v>
          </cell>
          <cell r="D108" t="str">
            <v>skylily倾</v>
          </cell>
          <cell r="E108">
            <v>2788</v>
          </cell>
          <cell r="F108">
            <v>20</v>
          </cell>
        </row>
        <row r="109">
          <cell r="B109" t="str">
            <v>485178627114436155</v>
          </cell>
          <cell r="C109" t="str">
            <v>电竟椅*2</v>
          </cell>
          <cell r="D109" t="str">
            <v>不可的可</v>
          </cell>
          <cell r="E109">
            <v>2842.24</v>
          </cell>
          <cell r="F109">
            <v>20</v>
          </cell>
        </row>
        <row r="110">
          <cell r="B110" t="str">
            <v>484759456982157071</v>
          </cell>
          <cell r="C110" t="str">
            <v>电竟椅</v>
          </cell>
          <cell r="D110" t="str">
            <v>rorl哈</v>
          </cell>
          <cell r="E110">
            <v>1571.12</v>
          </cell>
          <cell r="F110">
            <v>20</v>
          </cell>
        </row>
        <row r="112">
          <cell r="B112" t="str">
            <v>485739139211840572</v>
          </cell>
          <cell r="C112" t="str">
            <v>M6*2</v>
          </cell>
          <cell r="D112" t="str">
            <v>tb46821003</v>
          </cell>
          <cell r="E112">
            <v>1005.2</v>
          </cell>
          <cell r="F112">
            <v>20</v>
          </cell>
        </row>
        <row r="112">
          <cell r="H112" t="str">
            <v>企业店</v>
          </cell>
        </row>
        <row r="113">
          <cell r="B113" t="str">
            <v>305534412719562506</v>
          </cell>
          <cell r="C113" t="str">
            <v>M6*2</v>
          </cell>
          <cell r="D113" t="str">
            <v>game_btty</v>
          </cell>
          <cell r="E113">
            <v>838.6</v>
          </cell>
          <cell r="F113">
            <v>16</v>
          </cell>
        </row>
        <row r="113">
          <cell r="H113" t="str">
            <v>企业店</v>
          </cell>
        </row>
        <row r="114">
          <cell r="B114" t="str">
            <v>485091489463000881</v>
          </cell>
          <cell r="C114" t="str">
            <v>2018*2</v>
          </cell>
          <cell r="D114" t="str">
            <v>tb53849049</v>
          </cell>
          <cell r="E114">
            <v>597.6</v>
          </cell>
          <cell r="F114">
            <v>16</v>
          </cell>
        </row>
        <row r="114">
          <cell r="H114" t="str">
            <v>企业店</v>
          </cell>
        </row>
        <row r="116">
          <cell r="B116" t="str">
            <v>305618188243636001</v>
          </cell>
          <cell r="C116" t="str">
            <v>G12V</v>
          </cell>
          <cell r="D116" t="str">
            <v>momo201472</v>
          </cell>
          <cell r="E116">
            <v>1799</v>
          </cell>
          <cell r="F116">
            <v>20</v>
          </cell>
          <cell r="G116">
            <v>20000</v>
          </cell>
        </row>
        <row r="117">
          <cell r="B117" t="str">
            <v>485254176609520246</v>
          </cell>
          <cell r="C117" t="str">
            <v>G12V</v>
          </cell>
          <cell r="D117" t="str">
            <v>金金jjtb</v>
          </cell>
          <cell r="E117">
            <v>1799</v>
          </cell>
          <cell r="F117">
            <v>20</v>
          </cell>
        </row>
        <row r="118">
          <cell r="B118" t="str">
            <v>485633921985914739</v>
          </cell>
          <cell r="C118" t="str">
            <v>8216*2</v>
          </cell>
          <cell r="D118" t="str">
            <v>曦晨逐味8</v>
          </cell>
          <cell r="E118">
            <v>1199</v>
          </cell>
          <cell r="F118">
            <v>20</v>
          </cell>
        </row>
        <row r="119">
          <cell r="B119" t="str">
            <v>305916398113767700</v>
          </cell>
          <cell r="C119" t="str">
            <v>Q6</v>
          </cell>
          <cell r="D119" t="str">
            <v>我和你5947</v>
          </cell>
          <cell r="E119">
            <v>2788</v>
          </cell>
          <cell r="F119">
            <v>20</v>
          </cell>
        </row>
        <row r="120">
          <cell r="B120" t="str">
            <v>486262690560949648</v>
          </cell>
          <cell r="C120" t="str">
            <v>电竟椅</v>
          </cell>
          <cell r="D120" t="str">
            <v>yi1550137046</v>
          </cell>
          <cell r="E120">
            <v>1671</v>
          </cell>
          <cell r="F120">
            <v>20</v>
          </cell>
        </row>
        <row r="121">
          <cell r="B121" t="str">
            <v>486243681678850874</v>
          </cell>
          <cell r="C121" t="str">
            <v>电竟椅</v>
          </cell>
          <cell r="D121" t="str">
            <v>diaoekg54</v>
          </cell>
          <cell r="E121">
            <v>1671</v>
          </cell>
          <cell r="F121">
            <v>20</v>
          </cell>
        </row>
        <row r="122">
          <cell r="B122" t="str">
            <v>486972611892735459</v>
          </cell>
          <cell r="C122" t="str">
            <v>M6*2</v>
          </cell>
          <cell r="D122" t="str">
            <v>peggy6204</v>
          </cell>
          <cell r="E122">
            <v>1005</v>
          </cell>
          <cell r="F122">
            <v>20</v>
          </cell>
        </row>
        <row r="122">
          <cell r="H122" t="str">
            <v>企业店</v>
          </cell>
        </row>
        <row r="123">
          <cell r="B123" t="str">
            <v>486936931445797447</v>
          </cell>
          <cell r="C123" t="str">
            <v>2018*2</v>
          </cell>
          <cell r="D123" t="str">
            <v>我过的很好请不要打扰123</v>
          </cell>
          <cell r="E123">
            <v>597</v>
          </cell>
          <cell r="F123">
            <v>16</v>
          </cell>
        </row>
        <row r="123">
          <cell r="H123" t="str">
            <v>企业店</v>
          </cell>
        </row>
        <row r="126">
          <cell r="B126" t="str">
            <v>486669345902620079</v>
          </cell>
          <cell r="C126" t="str">
            <v>G12V</v>
          </cell>
          <cell r="D126" t="str">
            <v>鑫524</v>
          </cell>
          <cell r="E126">
            <v>1799</v>
          </cell>
          <cell r="F126">
            <v>20</v>
          </cell>
          <cell r="G126">
            <v>7500</v>
          </cell>
        </row>
        <row r="127">
          <cell r="B127" t="str">
            <v>486695329336792684</v>
          </cell>
          <cell r="C127" t="str">
            <v>G12V</v>
          </cell>
          <cell r="D127" t="str">
            <v>天使的爱恋星</v>
          </cell>
          <cell r="E127">
            <v>1799</v>
          </cell>
          <cell r="F127">
            <v>20</v>
          </cell>
        </row>
        <row r="128">
          <cell r="B128" t="str">
            <v>487631395383963963</v>
          </cell>
          <cell r="C128" t="str">
            <v>8216*2</v>
          </cell>
          <cell r="D128" t="str">
            <v>洪大大的世界</v>
          </cell>
          <cell r="E128">
            <v>1236</v>
          </cell>
          <cell r="F128">
            <v>20</v>
          </cell>
        </row>
        <row r="129">
          <cell r="B129" t="str">
            <v>283641988106585297</v>
          </cell>
          <cell r="C129" t="str">
            <v>Q6</v>
          </cell>
          <cell r="D129" t="str">
            <v>willam林敏</v>
          </cell>
          <cell r="E129">
            <v>2788</v>
          </cell>
          <cell r="F129">
            <v>20</v>
          </cell>
        </row>
        <row r="130">
          <cell r="B130" t="str">
            <v>487029153036160590</v>
          </cell>
          <cell r="C130" t="str">
            <v>电竟椅</v>
          </cell>
          <cell r="D130" t="str">
            <v>林寒佛珠批发</v>
          </cell>
          <cell r="E130">
            <v>1899</v>
          </cell>
          <cell r="F130">
            <v>20</v>
          </cell>
        </row>
        <row r="132">
          <cell r="B132" t="str">
            <v>486787009219383746</v>
          </cell>
          <cell r="C132" t="str">
            <v>2018*2</v>
          </cell>
          <cell r="D132" t="str">
            <v>1529239369zh</v>
          </cell>
          <cell r="E132">
            <v>597</v>
          </cell>
          <cell r="F132">
            <v>16</v>
          </cell>
        </row>
        <row r="132">
          <cell r="H132" t="str">
            <v>企业店</v>
          </cell>
        </row>
        <row r="133">
          <cell r="B133" t="str">
            <v>487736483090103240</v>
          </cell>
          <cell r="C133" t="str">
            <v>M6*2</v>
          </cell>
          <cell r="D133" t="str">
            <v>lrr828</v>
          </cell>
          <cell r="E133">
            <v>1282</v>
          </cell>
          <cell r="F133">
            <v>20</v>
          </cell>
        </row>
        <row r="133">
          <cell r="H133" t="str">
            <v>企业店</v>
          </cell>
        </row>
        <row r="134">
          <cell r="C134" t="str">
            <v>时尚凳*4</v>
          </cell>
        </row>
        <row r="136">
          <cell r="B136" t="str">
            <v>489544994869861449</v>
          </cell>
          <cell r="C136" t="str">
            <v>G12V</v>
          </cell>
          <cell r="D136" t="str">
            <v>黄金子芯</v>
          </cell>
          <cell r="E136">
            <v>1763</v>
          </cell>
          <cell r="F136">
            <v>20</v>
          </cell>
          <cell r="G136">
            <v>13000</v>
          </cell>
        </row>
        <row r="137">
          <cell r="B137" t="str">
            <v>306079661999545506</v>
          </cell>
          <cell r="C137" t="str">
            <v>G12V</v>
          </cell>
          <cell r="D137" t="str">
            <v>lh哥不在低调</v>
          </cell>
          <cell r="E137">
            <v>1763</v>
          </cell>
          <cell r="F137">
            <v>20</v>
          </cell>
        </row>
        <row r="138">
          <cell r="B138" t="str">
            <v>490210819009396782</v>
          </cell>
          <cell r="C138" t="str">
            <v>8216*2</v>
          </cell>
          <cell r="D138" t="str">
            <v>赵志宏0301</v>
          </cell>
          <cell r="E138">
            <v>908</v>
          </cell>
          <cell r="F138">
            <v>16</v>
          </cell>
        </row>
        <row r="139">
          <cell r="B139" t="str">
            <v>489606306862995915</v>
          </cell>
          <cell r="C139" t="str">
            <v>Q6</v>
          </cell>
          <cell r="D139" t="str">
            <v>我是961370</v>
          </cell>
          <cell r="E139">
            <v>2859</v>
          </cell>
          <cell r="F139">
            <v>20</v>
          </cell>
        </row>
        <row r="141">
          <cell r="B141" t="str">
            <v>489802146495735925</v>
          </cell>
          <cell r="C141" t="str">
            <v>2018*2</v>
          </cell>
          <cell r="D141" t="str">
            <v>额尔敦150</v>
          </cell>
          <cell r="E141">
            <v>1033</v>
          </cell>
          <cell r="F141">
            <v>20</v>
          </cell>
        </row>
        <row r="141">
          <cell r="H141" t="str">
            <v>企业店</v>
          </cell>
        </row>
        <row r="142">
          <cell r="C142" t="str">
            <v>时尚凳*4</v>
          </cell>
        </row>
        <row r="143">
          <cell r="B143" t="str">
            <v>306105485943289605</v>
          </cell>
          <cell r="C143" t="str">
            <v>M6*2</v>
          </cell>
          <cell r="D143" t="str">
            <v>娇气十足1022</v>
          </cell>
          <cell r="E143">
            <v>1002</v>
          </cell>
          <cell r="F143">
            <v>20</v>
          </cell>
        </row>
        <row r="143">
          <cell r="H143" t="str">
            <v>企业店</v>
          </cell>
        </row>
        <row r="144">
          <cell r="C144" t="str">
            <v>时尚凳*4</v>
          </cell>
        </row>
        <row r="146">
          <cell r="B146" t="str">
            <v>491274945415699943</v>
          </cell>
          <cell r="C146" t="str">
            <v>G12V</v>
          </cell>
          <cell r="D146" t="str">
            <v>525344998ju</v>
          </cell>
          <cell r="E146">
            <v>1755</v>
          </cell>
          <cell r="F146">
            <v>20</v>
          </cell>
          <cell r="G146">
            <v>12500</v>
          </cell>
        </row>
        <row r="147">
          <cell r="B147" t="str">
            <v>491778627541655109</v>
          </cell>
          <cell r="C147" t="str">
            <v>G12V</v>
          </cell>
          <cell r="D147" t="str">
            <v>bt小星星</v>
          </cell>
          <cell r="E147">
            <v>1793</v>
          </cell>
          <cell r="F147">
            <v>20</v>
          </cell>
        </row>
        <row r="148">
          <cell r="B148" t="str">
            <v>491619970109495880</v>
          </cell>
          <cell r="C148" t="str">
            <v>8216*2</v>
          </cell>
          <cell r="D148" t="str">
            <v>郑飞鹰</v>
          </cell>
          <cell r="E148">
            <v>976</v>
          </cell>
          <cell r="F148">
            <v>16</v>
          </cell>
        </row>
        <row r="149">
          <cell r="B149" t="str">
            <v>490936352443448625</v>
          </cell>
          <cell r="C149" t="str">
            <v>Q6</v>
          </cell>
          <cell r="D149" t="str">
            <v>蜘蛛鸡</v>
          </cell>
          <cell r="E149">
            <v>2829</v>
          </cell>
          <cell r="F149">
            <v>20</v>
          </cell>
        </row>
        <row r="150">
          <cell r="B150" t="str">
            <v>491686561598226720</v>
          </cell>
          <cell r="C150">
            <v>801</v>
          </cell>
          <cell r="D150" t="str">
            <v>刘茜刘茜加油</v>
          </cell>
          <cell r="E150">
            <v>2386</v>
          </cell>
          <cell r="F150">
            <v>20</v>
          </cell>
        </row>
        <row r="151">
          <cell r="B151" t="str">
            <v>491488640389915318</v>
          </cell>
          <cell r="C151" t="str">
            <v>901网</v>
          </cell>
          <cell r="D151" t="str">
            <v>woaidoudoujiang</v>
          </cell>
          <cell r="E151">
            <v>3999</v>
          </cell>
          <cell r="F151">
            <v>25</v>
          </cell>
        </row>
        <row r="153">
          <cell r="B153" t="str">
            <v>491929696869240648</v>
          </cell>
          <cell r="C153" t="str">
            <v>2018*2</v>
          </cell>
          <cell r="D153" t="str">
            <v>虚拟天下29978</v>
          </cell>
          <cell r="E153">
            <v>861.72</v>
          </cell>
          <cell r="F153">
            <v>16</v>
          </cell>
        </row>
        <row r="153">
          <cell r="H153" t="str">
            <v>企业店</v>
          </cell>
        </row>
        <row r="154">
          <cell r="C154" t="str">
            <v>时尚凳*4</v>
          </cell>
        </row>
        <row r="155">
          <cell r="B155" t="str">
            <v>491839680183505737</v>
          </cell>
          <cell r="C155" t="str">
            <v>M6*2</v>
          </cell>
          <cell r="D155" t="str">
            <v>浪浪浪浪越</v>
          </cell>
          <cell r="E155">
            <v>1106.6</v>
          </cell>
          <cell r="F155">
            <v>20</v>
          </cell>
        </row>
        <row r="155">
          <cell r="H155" t="str">
            <v>企业店</v>
          </cell>
        </row>
        <row r="156">
          <cell r="C156" t="str">
            <v>时尚凳*4</v>
          </cell>
        </row>
        <row r="158">
          <cell r="B158" t="str">
            <v>493602626347746671</v>
          </cell>
          <cell r="C158" t="str">
            <v>G12V</v>
          </cell>
          <cell r="D158" t="str">
            <v>meiqi0191</v>
          </cell>
          <cell r="E158">
            <v>1763.12</v>
          </cell>
          <cell r="F158">
            <v>20</v>
          </cell>
        </row>
        <row r="159">
          <cell r="B159" t="str">
            <v>493605506191744537</v>
          </cell>
          <cell r="C159" t="str">
            <v>G12V</v>
          </cell>
          <cell r="D159" t="str">
            <v>黑马的天空qq</v>
          </cell>
          <cell r="E159">
            <v>1755.2</v>
          </cell>
          <cell r="F159">
            <v>20</v>
          </cell>
        </row>
        <row r="160">
          <cell r="B160" t="str">
            <v>494437027398743950</v>
          </cell>
          <cell r="C160" t="str">
            <v>8216*2</v>
          </cell>
          <cell r="D160" t="str">
            <v>tb63793739</v>
          </cell>
          <cell r="E160">
            <v>866</v>
          </cell>
          <cell r="F160">
            <v>16</v>
          </cell>
        </row>
        <row r="161">
          <cell r="B161" t="str">
            <v>494375811042623442</v>
          </cell>
          <cell r="C161" t="str">
            <v>Q6</v>
          </cell>
          <cell r="D161" t="str">
            <v>chen448700156</v>
          </cell>
          <cell r="E161">
            <v>2689.2</v>
          </cell>
          <cell r="F161">
            <v>20</v>
          </cell>
        </row>
        <row r="162">
          <cell r="B162" t="str">
            <v>494316610700071545</v>
          </cell>
          <cell r="C162" t="str">
            <v>F03H</v>
          </cell>
          <cell r="D162" t="str">
            <v>一起吹过晚风</v>
          </cell>
          <cell r="E162">
            <v>1008.6</v>
          </cell>
          <cell r="F162">
            <v>20</v>
          </cell>
        </row>
        <row r="163">
          <cell r="B163" t="str">
            <v> 494302209389730522</v>
          </cell>
          <cell r="C163" t="str">
            <v>2018*2</v>
          </cell>
          <cell r="D163" t="str">
            <v>陈义泳</v>
          </cell>
          <cell r="E163">
            <v>861.72</v>
          </cell>
          <cell r="F163">
            <v>20</v>
          </cell>
        </row>
        <row r="163">
          <cell r="H163" t="str">
            <v>企业店</v>
          </cell>
        </row>
        <row r="164">
          <cell r="C164" t="str">
            <v>时尚凳*4</v>
          </cell>
        </row>
        <row r="165">
          <cell r="B165" t="str">
            <v>493952066103531653</v>
          </cell>
          <cell r="C165" t="str">
            <v>M6*2</v>
          </cell>
          <cell r="D165" t="str">
            <v>lolitasyf</v>
          </cell>
          <cell r="E165">
            <v>1002.6</v>
          </cell>
          <cell r="F165">
            <v>20</v>
          </cell>
        </row>
        <row r="165">
          <cell r="H165" t="str">
            <v>企业店</v>
          </cell>
        </row>
        <row r="166">
          <cell r="C166" t="str">
            <v>时尚凳*4</v>
          </cell>
        </row>
        <row r="168">
          <cell r="B168" t="str">
            <v>307170383357135303</v>
          </cell>
          <cell r="C168" t="str">
            <v>G12V</v>
          </cell>
          <cell r="D168" t="str">
            <v>xiaolinfengg</v>
          </cell>
          <cell r="E168">
            <v>1973</v>
          </cell>
          <cell r="F168">
            <v>20</v>
          </cell>
          <cell r="G168">
            <v>15500</v>
          </cell>
        </row>
        <row r="169">
          <cell r="B169" t="str">
            <v>284854471415805599</v>
          </cell>
          <cell r="C169" t="str">
            <v>G12V</v>
          </cell>
          <cell r="D169" t="str">
            <v>心中思恋着她旧梦好似飞花</v>
          </cell>
          <cell r="E169">
            <v>1973</v>
          </cell>
          <cell r="F169">
            <v>20</v>
          </cell>
        </row>
        <row r="170">
          <cell r="B170" t="str">
            <v>496003553401185817</v>
          </cell>
          <cell r="C170" t="str">
            <v>8216*2</v>
          </cell>
          <cell r="D170" t="str">
            <v>tb15903273</v>
          </cell>
          <cell r="E170">
            <v>936</v>
          </cell>
          <cell r="F170">
            <v>16</v>
          </cell>
        </row>
        <row r="171">
          <cell r="B171" t="str">
            <v>496333633148609685</v>
          </cell>
          <cell r="C171" t="str">
            <v>Q6</v>
          </cell>
          <cell r="D171" t="str">
            <v>廖冬梅19915</v>
          </cell>
          <cell r="E171">
            <v>2659</v>
          </cell>
          <cell r="F171">
            <v>20</v>
          </cell>
        </row>
        <row r="172">
          <cell r="B172" t="str">
            <v>496603618882208016</v>
          </cell>
          <cell r="C172">
            <v>801</v>
          </cell>
          <cell r="D172" t="str">
            <v>星陈大</v>
          </cell>
          <cell r="E172">
            <v>2386</v>
          </cell>
          <cell r="F172">
            <v>20</v>
          </cell>
        </row>
        <row r="173">
          <cell r="B173" t="str">
            <v>496902019274930051</v>
          </cell>
          <cell r="C173" t="str">
            <v>901网</v>
          </cell>
          <cell r="D173" t="str">
            <v>anny农2012</v>
          </cell>
          <cell r="E173">
            <v>3659</v>
          </cell>
          <cell r="F173">
            <v>25</v>
          </cell>
        </row>
        <row r="174">
          <cell r="B174" t="str">
            <v>495976481778817521</v>
          </cell>
          <cell r="C174" t="str">
            <v>Q6</v>
          </cell>
          <cell r="D174" t="str">
            <v>执晨绿炫</v>
          </cell>
          <cell r="E174">
            <v>2559.2</v>
          </cell>
          <cell r="F174">
            <v>20</v>
          </cell>
        </row>
        <row r="175">
          <cell r="B175" t="str">
            <v>496599362014147746</v>
          </cell>
          <cell r="C175" t="str">
            <v>2018*2</v>
          </cell>
          <cell r="D175" t="str">
            <v>蔺小琴68</v>
          </cell>
          <cell r="E175">
            <v>597</v>
          </cell>
          <cell r="F175">
            <v>16</v>
          </cell>
        </row>
        <row r="175">
          <cell r="H175" t="str">
            <v>企业店</v>
          </cell>
        </row>
        <row r="176">
          <cell r="B176" t="str">
            <v>495730912181294875</v>
          </cell>
          <cell r="C176" t="str">
            <v>M6*2</v>
          </cell>
          <cell r="D176" t="str">
            <v>伊狐伊狐89</v>
          </cell>
          <cell r="E176">
            <v>838</v>
          </cell>
          <cell r="F176">
            <v>16</v>
          </cell>
        </row>
        <row r="176">
          <cell r="H176" t="str">
            <v>企业店</v>
          </cell>
        </row>
        <row r="178">
          <cell r="B178" t="str">
            <v>497882755697809909</v>
          </cell>
          <cell r="C178" t="str">
            <v>G12V</v>
          </cell>
          <cell r="D178" t="str">
            <v>艳娜1210</v>
          </cell>
          <cell r="E178">
            <v>1893.12</v>
          </cell>
          <cell r="F178">
            <v>20</v>
          </cell>
          <cell r="G178">
            <v>10000</v>
          </cell>
        </row>
        <row r="179">
          <cell r="B179" t="str">
            <v>496928576946111126</v>
          </cell>
          <cell r="C179" t="str">
            <v>G12V</v>
          </cell>
          <cell r="D179" t="str">
            <v>飞哥霍</v>
          </cell>
          <cell r="E179">
            <v>1763.12</v>
          </cell>
          <cell r="F179">
            <v>20</v>
          </cell>
        </row>
        <row r="180">
          <cell r="B180" t="str">
            <v>497503137827761371</v>
          </cell>
          <cell r="C180" t="str">
            <v>8216*2</v>
          </cell>
          <cell r="D180" t="str">
            <v>zxjwhl1314520</v>
          </cell>
          <cell r="E180">
            <v>846</v>
          </cell>
          <cell r="F180">
            <v>16</v>
          </cell>
        </row>
        <row r="181">
          <cell r="B181" t="str">
            <v>497939618290137238</v>
          </cell>
          <cell r="C181" t="str">
            <v>Q6</v>
          </cell>
          <cell r="D181" t="str">
            <v>小果妈0308</v>
          </cell>
          <cell r="E181">
            <v>2559.2</v>
          </cell>
          <cell r="F181">
            <v>20</v>
          </cell>
        </row>
        <row r="182">
          <cell r="B182" t="str">
            <v>497991330342705581</v>
          </cell>
          <cell r="C182" t="str">
            <v>F03H</v>
          </cell>
          <cell r="D182" t="str">
            <v>韩琼丽</v>
          </cell>
          <cell r="E182">
            <v>931.6</v>
          </cell>
          <cell r="F182">
            <v>16</v>
          </cell>
        </row>
        <row r="184">
          <cell r="B184" t="str">
            <v>498161283188589660</v>
          </cell>
          <cell r="C184" t="str">
            <v>2018*3</v>
          </cell>
          <cell r="D184" t="str">
            <v>smile007xxl</v>
          </cell>
          <cell r="E184">
            <v>896.4</v>
          </cell>
          <cell r="F184">
            <v>16</v>
          </cell>
        </row>
        <row r="184">
          <cell r="H184" t="str">
            <v>企业店</v>
          </cell>
        </row>
        <row r="185">
          <cell r="B185" t="str">
            <v>284841670291797493</v>
          </cell>
          <cell r="C185" t="str">
            <v>M6*1</v>
          </cell>
          <cell r="D185" t="str">
            <v>一生幸福247826</v>
          </cell>
          <cell r="E185">
            <v>572.6</v>
          </cell>
          <cell r="F185">
            <v>16</v>
          </cell>
        </row>
        <row r="185">
          <cell r="H185" t="str">
            <v>企业店</v>
          </cell>
        </row>
        <row r="187">
          <cell r="B187" t="str">
            <v>498224512898080245</v>
          </cell>
          <cell r="C187" t="str">
            <v>G12V</v>
          </cell>
          <cell r="D187" t="str">
            <v>触碰95</v>
          </cell>
          <cell r="E187">
            <v>1999</v>
          </cell>
          <cell r="F187">
            <v>20</v>
          </cell>
          <cell r="G187">
            <v>18000</v>
          </cell>
        </row>
        <row r="188">
          <cell r="B188" t="str">
            <v>306831404138508304</v>
          </cell>
          <cell r="C188" t="str">
            <v>G12V</v>
          </cell>
          <cell r="D188" t="str">
            <v>金瀚照明</v>
          </cell>
          <cell r="E188">
            <v>2139</v>
          </cell>
          <cell r="F188">
            <v>20</v>
          </cell>
        </row>
        <row r="189">
          <cell r="B189" t="str">
            <v>499040898607344362</v>
          </cell>
          <cell r="C189" t="str">
            <v>8216*2</v>
          </cell>
          <cell r="D189" t="str">
            <v>聂万馨</v>
          </cell>
          <cell r="E189">
            <v>2232</v>
          </cell>
          <cell r="F189">
            <v>20</v>
          </cell>
        </row>
        <row r="190">
          <cell r="B190" t="str">
            <v>498176768285612754</v>
          </cell>
          <cell r="C190" t="str">
            <v>Q6</v>
          </cell>
          <cell r="D190" t="str">
            <v>索雪芹</v>
          </cell>
          <cell r="E190">
            <v>2988</v>
          </cell>
          <cell r="F190">
            <v>20</v>
          </cell>
        </row>
        <row r="191">
          <cell r="B191" t="str">
            <v>498885697593613238</v>
          </cell>
          <cell r="C191">
            <v>801</v>
          </cell>
          <cell r="D191" t="str">
            <v>郭亚萍110</v>
          </cell>
          <cell r="E191">
            <v>2228</v>
          </cell>
          <cell r="F191">
            <v>20</v>
          </cell>
        </row>
        <row r="192">
          <cell r="B192" t="str">
            <v>499624451364288349</v>
          </cell>
          <cell r="C192" t="str">
            <v>901网</v>
          </cell>
          <cell r="D192" t="str">
            <v>tudouya87</v>
          </cell>
          <cell r="E192">
            <v>3899</v>
          </cell>
          <cell r="F192">
            <v>25</v>
          </cell>
        </row>
        <row r="193">
          <cell r="B193" t="str">
            <v>307109038328721307</v>
          </cell>
          <cell r="C193" t="str">
            <v>精灵椅</v>
          </cell>
          <cell r="D193" t="str">
            <v>我的宝贝小高婧</v>
          </cell>
          <cell r="E193">
            <v>832</v>
          </cell>
          <cell r="F193">
            <v>16</v>
          </cell>
        </row>
        <row r="195">
          <cell r="B195" t="str">
            <v>498981217137171569</v>
          </cell>
          <cell r="C195" t="str">
            <v>M6*2</v>
          </cell>
          <cell r="D195" t="str">
            <v>guanhonghui1002</v>
          </cell>
          <cell r="E195">
            <v>838</v>
          </cell>
          <cell r="F195">
            <v>16</v>
          </cell>
        </row>
        <row r="195">
          <cell r="H195" t="str">
            <v>企业店</v>
          </cell>
        </row>
        <row r="196">
          <cell r="B196" t="str">
            <v>498835713649874626</v>
          </cell>
          <cell r="C196" t="str">
            <v>精灵椅*2</v>
          </cell>
          <cell r="D196" t="str">
            <v>豪豪雨雨宝贝</v>
          </cell>
          <cell r="E196">
            <v>1036</v>
          </cell>
          <cell r="F196">
            <v>20</v>
          </cell>
        </row>
        <row r="196">
          <cell r="H196" t="str">
            <v>企业店</v>
          </cell>
        </row>
        <row r="198">
          <cell r="B198" t="str">
            <v>500476003405441287</v>
          </cell>
          <cell r="C198" t="str">
            <v>G12V</v>
          </cell>
          <cell r="D198" t="str">
            <v>彬彬爱李梦</v>
          </cell>
          <cell r="E198">
            <v>1799</v>
          </cell>
          <cell r="F198">
            <v>20</v>
          </cell>
          <cell r="G198">
            <v>15000</v>
          </cell>
        </row>
        <row r="199">
          <cell r="B199" t="str">
            <v>285040742037827996</v>
          </cell>
          <cell r="C199" t="str">
            <v>G12V</v>
          </cell>
          <cell r="D199" t="str">
            <v>王玉辉我草你妈</v>
          </cell>
          <cell r="E199">
            <v>1799</v>
          </cell>
          <cell r="F199">
            <v>20</v>
          </cell>
        </row>
        <row r="200">
          <cell r="B200" t="str">
            <v>500070177481462267</v>
          </cell>
          <cell r="C200" t="str">
            <v>8216*2</v>
          </cell>
          <cell r="D200" t="str">
            <v>t_1497953973244_0949</v>
          </cell>
          <cell r="E200">
            <v>2532</v>
          </cell>
          <cell r="F200">
            <v>20</v>
          </cell>
        </row>
        <row r="201">
          <cell r="B201" t="str">
            <v>499621696479835537</v>
          </cell>
          <cell r="C201" t="str">
            <v>Q6</v>
          </cell>
          <cell r="D201" t="str">
            <v>紫色儿童</v>
          </cell>
          <cell r="E201">
            <v>2980</v>
          </cell>
          <cell r="F201">
            <v>20</v>
          </cell>
        </row>
        <row r="202">
          <cell r="B202" t="str">
            <v>500785251943550849</v>
          </cell>
          <cell r="C202">
            <v>801</v>
          </cell>
          <cell r="D202" t="str">
            <v>tb772528040</v>
          </cell>
          <cell r="E202">
            <v>2232.8</v>
          </cell>
          <cell r="F202">
            <v>20</v>
          </cell>
        </row>
        <row r="203">
          <cell r="B203" t="str">
            <v>500898115747287166</v>
          </cell>
          <cell r="C203" t="str">
            <v>F03H</v>
          </cell>
          <cell r="D203" t="str">
            <v>无语0801</v>
          </cell>
          <cell r="E203">
            <v>2384</v>
          </cell>
          <cell r="F203">
            <v>20</v>
          </cell>
        </row>
        <row r="205">
          <cell r="B205" t="str">
            <v>500597283208271824</v>
          </cell>
          <cell r="C205" t="str">
            <v>M6*2</v>
          </cell>
          <cell r="D205" t="str">
            <v>小柒3382</v>
          </cell>
          <cell r="E205">
            <v>698.6</v>
          </cell>
          <cell r="F205">
            <v>16</v>
          </cell>
        </row>
        <row r="205">
          <cell r="H205" t="str">
            <v>企业店</v>
          </cell>
        </row>
        <row r="206">
          <cell r="B206" t="str">
            <v>500044385063158861</v>
          </cell>
          <cell r="C206" t="str">
            <v>2018*2</v>
          </cell>
          <cell r="D206" t="str">
            <v>陈建华_22</v>
          </cell>
          <cell r="E206">
            <v>597.6</v>
          </cell>
          <cell r="F206">
            <v>16</v>
          </cell>
        </row>
        <row r="206">
          <cell r="H206" t="str">
            <v>企业店</v>
          </cell>
        </row>
        <row r="207">
          <cell r="B207" t="str">
            <v>285224391975712792</v>
          </cell>
          <cell r="C207" t="str">
            <v>M6*2</v>
          </cell>
          <cell r="D207" t="str">
            <v>静9981</v>
          </cell>
          <cell r="E207">
            <v>1198</v>
          </cell>
          <cell r="F207">
            <v>20</v>
          </cell>
        </row>
        <row r="207">
          <cell r="H207" t="str">
            <v>企业店</v>
          </cell>
        </row>
        <row r="209">
          <cell r="B209" t="str">
            <v>500898115747287166</v>
          </cell>
          <cell r="C209" t="str">
            <v>G12V</v>
          </cell>
          <cell r="D209" t="str">
            <v>无语0801</v>
          </cell>
          <cell r="E209">
            <v>1999</v>
          </cell>
          <cell r="F209">
            <v>20</v>
          </cell>
          <cell r="G209">
            <v>18000</v>
          </cell>
        </row>
        <row r="210">
          <cell r="B210" t="str">
            <v>500969089875585425</v>
          </cell>
          <cell r="C210" t="str">
            <v>G12V</v>
          </cell>
          <cell r="D210" t="str">
            <v>wang13904741942</v>
          </cell>
          <cell r="E210">
            <v>1999</v>
          </cell>
          <cell r="F210">
            <v>20</v>
          </cell>
        </row>
        <row r="211">
          <cell r="B211" t="str">
            <v>501876450429794791</v>
          </cell>
          <cell r="C211" t="str">
            <v>Q6</v>
          </cell>
          <cell r="D211" t="str">
            <v>杨双凤1985</v>
          </cell>
          <cell r="E211">
            <v>2988</v>
          </cell>
          <cell r="F211">
            <v>20</v>
          </cell>
        </row>
        <row r="212">
          <cell r="H212">
            <v>7481</v>
          </cell>
        </row>
        <row r="213">
          <cell r="B213" t="str">
            <v>501371456987358944</v>
          </cell>
          <cell r="C213" t="str">
            <v>M6</v>
          </cell>
          <cell r="D213" t="str">
            <v>凌萱悦心</v>
          </cell>
          <cell r="E213">
            <v>419.3</v>
          </cell>
          <cell r="F213">
            <v>16</v>
          </cell>
        </row>
        <row r="213">
          <cell r="H213" t="str">
            <v>企业店</v>
          </cell>
        </row>
        <row r="215">
          <cell r="B215" t="str">
            <v>502627650647163829</v>
          </cell>
          <cell r="C215" t="str">
            <v>G12V</v>
          </cell>
          <cell r="D215" t="str">
            <v>182159com</v>
          </cell>
          <cell r="E215">
            <v>1999</v>
          </cell>
          <cell r="F215">
            <v>20</v>
          </cell>
        </row>
        <row r="215">
          <cell r="H215">
            <v>9949</v>
          </cell>
        </row>
        <row r="216">
          <cell r="B216" t="str">
            <v>307290605052844300</v>
          </cell>
          <cell r="C216" t="str">
            <v>G12V</v>
          </cell>
          <cell r="D216" t="str">
            <v>00999ww</v>
          </cell>
          <cell r="E216">
            <v>1990</v>
          </cell>
          <cell r="F216">
            <v>20</v>
          </cell>
        </row>
        <row r="217">
          <cell r="B217" t="str">
            <v>502264224072279570</v>
          </cell>
          <cell r="C217" t="str">
            <v>Q6</v>
          </cell>
          <cell r="D217" t="str">
            <v>jianpeng夫人</v>
          </cell>
          <cell r="E217">
            <v>3366</v>
          </cell>
          <cell r="F217">
            <v>25</v>
          </cell>
        </row>
        <row r="218">
          <cell r="B218" t="str">
            <v>285249638776598099</v>
          </cell>
          <cell r="C218" t="str">
            <v>M6</v>
          </cell>
          <cell r="D218" t="str">
            <v>tb25424431</v>
          </cell>
          <cell r="E218">
            <v>1136</v>
          </cell>
          <cell r="F218">
            <v>20</v>
          </cell>
        </row>
        <row r="220">
          <cell r="B220" t="str">
            <v>503146979287092888</v>
          </cell>
          <cell r="C220" t="str">
            <v>M6</v>
          </cell>
          <cell r="D220" t="str">
            <v>我的缘分水晶</v>
          </cell>
          <cell r="E220">
            <v>502.6</v>
          </cell>
          <cell r="F220">
            <v>16</v>
          </cell>
        </row>
        <row r="220">
          <cell r="H220" t="str">
            <v>企业店</v>
          </cell>
        </row>
        <row r="221">
          <cell r="B221" t="str">
            <v>307282861006203306</v>
          </cell>
          <cell r="C221" t="str">
            <v>M6*2</v>
          </cell>
          <cell r="D221" t="str">
            <v>qq何以爱情</v>
          </cell>
          <cell r="E221">
            <v>838.6</v>
          </cell>
          <cell r="F221">
            <v>16</v>
          </cell>
        </row>
        <row r="221">
          <cell r="H221" t="str">
            <v>企业店</v>
          </cell>
        </row>
        <row r="223">
          <cell r="B223" t="str">
            <v>504806882194532982</v>
          </cell>
          <cell r="C223" t="str">
            <v>G12V</v>
          </cell>
          <cell r="D223" t="str">
            <v>菲儿2577</v>
          </cell>
          <cell r="E223">
            <v>1999</v>
          </cell>
          <cell r="F223">
            <v>20</v>
          </cell>
          <cell r="G223">
            <v>12000</v>
          </cell>
          <cell r="H223">
            <v>14520</v>
          </cell>
        </row>
        <row r="224">
          <cell r="B224" t="str">
            <v>503922242054617048</v>
          </cell>
          <cell r="C224" t="str">
            <v>G12V</v>
          </cell>
          <cell r="D224" t="str">
            <v>mg康金河</v>
          </cell>
          <cell r="E224">
            <v>1999</v>
          </cell>
          <cell r="F224">
            <v>20</v>
          </cell>
        </row>
        <row r="225">
          <cell r="B225" t="str">
            <v>503696961075112859</v>
          </cell>
          <cell r="C225" t="str">
            <v>Q6</v>
          </cell>
          <cell r="D225" t="str">
            <v>橙七菇凉</v>
          </cell>
          <cell r="E225">
            <v>2988</v>
          </cell>
          <cell r="F225">
            <v>20</v>
          </cell>
        </row>
        <row r="226">
          <cell r="B226" t="str">
            <v>503947777113307668</v>
          </cell>
          <cell r="C226">
            <v>801</v>
          </cell>
          <cell r="D226" t="str">
            <v>t_1495721021117_035</v>
          </cell>
          <cell r="E226">
            <v>2232.8</v>
          </cell>
          <cell r="F226">
            <v>20</v>
          </cell>
        </row>
        <row r="227">
          <cell r="B227" t="str">
            <v>504722563196194023</v>
          </cell>
          <cell r="C227" t="str">
            <v>精灵椅*4</v>
          </cell>
          <cell r="D227" t="str">
            <v>1987528丫头</v>
          </cell>
          <cell r="E227">
            <v>1714</v>
          </cell>
          <cell r="F227">
            <v>20</v>
          </cell>
        </row>
        <row r="229">
          <cell r="B229" t="str">
            <v>504774306456668749</v>
          </cell>
          <cell r="C229" t="str">
            <v>M6</v>
          </cell>
          <cell r="D229" t="str">
            <v>dingyahua123</v>
          </cell>
          <cell r="E229">
            <v>838.6</v>
          </cell>
          <cell r="F229">
            <v>16</v>
          </cell>
        </row>
        <row r="229">
          <cell r="H229" t="str">
            <v>企业店</v>
          </cell>
        </row>
        <row r="230">
          <cell r="B230" t="str">
            <v>503709728511798420</v>
          </cell>
          <cell r="C230" t="str">
            <v>M6</v>
          </cell>
          <cell r="D230" t="str">
            <v>苏水水66</v>
          </cell>
          <cell r="E230">
            <v>1145</v>
          </cell>
          <cell r="F230">
            <v>20</v>
          </cell>
        </row>
        <row r="230">
          <cell r="H230" t="str">
            <v>企业店</v>
          </cell>
        </row>
        <row r="231">
          <cell r="B231" t="str">
            <v>503993889872452069</v>
          </cell>
          <cell r="C231" t="str">
            <v>M6</v>
          </cell>
          <cell r="D231" t="str">
            <v>江银花</v>
          </cell>
          <cell r="E231">
            <v>838.6</v>
          </cell>
          <cell r="F231">
            <v>16</v>
          </cell>
        </row>
        <row r="231">
          <cell r="H231" t="str">
            <v>企业店</v>
          </cell>
        </row>
        <row r="232">
          <cell r="B232" t="str">
            <v>504563747982822982</v>
          </cell>
          <cell r="C232">
            <v>2018</v>
          </cell>
          <cell r="D232" t="str">
            <v>迷糊迷糊46037363</v>
          </cell>
          <cell r="E232">
            <v>597.6</v>
          </cell>
          <cell r="F232">
            <v>16</v>
          </cell>
        </row>
        <row r="235">
          <cell r="B235" t="str">
            <v>285335493851034187</v>
          </cell>
          <cell r="C235" t="str">
            <v>G12V</v>
          </cell>
          <cell r="D235" t="str">
            <v>ff313543451</v>
          </cell>
          <cell r="E235">
            <v>1799</v>
          </cell>
          <cell r="F235">
            <v>20</v>
          </cell>
          <cell r="G235">
            <v>20000</v>
          </cell>
          <cell r="H235">
            <v>15158</v>
          </cell>
        </row>
        <row r="236">
          <cell r="B236" t="str">
            <v>505176097525825847</v>
          </cell>
          <cell r="C236" t="str">
            <v>G12V</v>
          </cell>
          <cell r="D236" t="str">
            <v>tb_1637951</v>
          </cell>
          <cell r="E236">
            <v>1990</v>
          </cell>
          <cell r="F236">
            <v>20</v>
          </cell>
        </row>
        <row r="237">
          <cell r="B237" t="str">
            <v>505553730168085715</v>
          </cell>
          <cell r="C237" t="str">
            <v>Q6</v>
          </cell>
          <cell r="D237" t="str">
            <v>豪清斌</v>
          </cell>
          <cell r="E237">
            <v>2988</v>
          </cell>
          <cell r="F237">
            <v>20</v>
          </cell>
        </row>
        <row r="238">
          <cell r="B238" t="str">
            <v>505199969689695021</v>
          </cell>
          <cell r="C238">
            <v>801</v>
          </cell>
          <cell r="D238" t="str">
            <v>luaitfankey</v>
          </cell>
          <cell r="E238">
            <v>2232.8</v>
          </cell>
          <cell r="F238">
            <v>20</v>
          </cell>
        </row>
        <row r="239">
          <cell r="B239" t="str">
            <v>505017568182218669</v>
          </cell>
          <cell r="C239" t="str">
            <v>901网</v>
          </cell>
          <cell r="D239" t="str">
            <v>baby思淇</v>
          </cell>
          <cell r="E239">
            <v>3899</v>
          </cell>
          <cell r="F239">
            <v>25</v>
          </cell>
        </row>
        <row r="241">
          <cell r="B241" t="str">
            <v>506073667286011342</v>
          </cell>
          <cell r="C241" t="str">
            <v>M6</v>
          </cell>
          <cell r="D241" t="str">
            <v>tb909087827</v>
          </cell>
          <cell r="E241">
            <v>838.6</v>
          </cell>
          <cell r="F241">
            <v>16</v>
          </cell>
        </row>
        <row r="242">
          <cell r="B242" t="str">
            <v>285429029844778490</v>
          </cell>
          <cell r="C242" t="str">
            <v>M6</v>
          </cell>
          <cell r="D242" t="str">
            <v>zhuangyy830812</v>
          </cell>
          <cell r="E242">
            <v>838.6</v>
          </cell>
          <cell r="F242">
            <v>16</v>
          </cell>
        </row>
        <row r="243">
          <cell r="B243" t="str">
            <v>505245601464986074</v>
          </cell>
          <cell r="C243" t="str">
            <v>M6</v>
          </cell>
          <cell r="D243" t="str">
            <v>王一馨儿</v>
          </cell>
          <cell r="E243">
            <v>419.3</v>
          </cell>
          <cell r="F243">
            <v>16</v>
          </cell>
        </row>
        <row r="244">
          <cell r="H244" t="str">
            <v>企业店</v>
          </cell>
        </row>
        <row r="246">
          <cell r="B246" t="str">
            <v>506396449574536530</v>
          </cell>
          <cell r="C246" t="str">
            <v>G12V</v>
          </cell>
          <cell r="D246" t="str">
            <v>sumiaoyoucai</v>
          </cell>
          <cell r="E246">
            <v>1999</v>
          </cell>
          <cell r="F246">
            <v>20</v>
          </cell>
        </row>
        <row r="247">
          <cell r="B247" t="str">
            <v>506044865334758376</v>
          </cell>
          <cell r="C247" t="str">
            <v>G12V</v>
          </cell>
          <cell r="D247" t="str">
            <v>lh灰姑娘54</v>
          </cell>
          <cell r="E247">
            <v>1999</v>
          </cell>
          <cell r="F247">
            <v>20</v>
          </cell>
        </row>
        <row r="248">
          <cell r="B248" t="str">
            <v>506935233103875371</v>
          </cell>
          <cell r="C248" t="str">
            <v>Q6</v>
          </cell>
          <cell r="D248" t="str">
            <v>ninth琳</v>
          </cell>
          <cell r="E248">
            <v>3104</v>
          </cell>
          <cell r="F248">
            <v>25</v>
          </cell>
          <cell r="G248">
            <v>12000</v>
          </cell>
          <cell r="H248">
            <v>7167</v>
          </cell>
        </row>
        <row r="252">
          <cell r="B252" t="str">
            <v>507256609661112603</v>
          </cell>
          <cell r="C252" t="str">
            <v>G12V</v>
          </cell>
          <cell r="D252" t="str">
            <v>瑛琦霜霜</v>
          </cell>
          <cell r="E252">
            <v>1790</v>
          </cell>
          <cell r="F252">
            <v>20</v>
          </cell>
        </row>
        <row r="253">
          <cell r="B253" t="str">
            <v>507691522296303767</v>
          </cell>
          <cell r="C253" t="str">
            <v>G12V</v>
          </cell>
          <cell r="D253" t="str">
            <v>怡默儿</v>
          </cell>
          <cell r="E253">
            <v>1999</v>
          </cell>
          <cell r="F253">
            <v>20</v>
          </cell>
        </row>
        <row r="254">
          <cell r="B254" t="str">
            <v>507440448426065976</v>
          </cell>
          <cell r="C254" t="str">
            <v>Q6</v>
          </cell>
          <cell r="D254" t="str">
            <v>郑丽琴女士</v>
          </cell>
          <cell r="E254">
            <v>2999</v>
          </cell>
          <cell r="F254">
            <v>20</v>
          </cell>
        </row>
        <row r="255">
          <cell r="B255" t="str">
            <v>507326880421845044</v>
          </cell>
          <cell r="C255">
            <v>801</v>
          </cell>
          <cell r="D255" t="str">
            <v>ych20fiona</v>
          </cell>
          <cell r="E255">
            <v>2032.8</v>
          </cell>
          <cell r="F255">
            <v>20</v>
          </cell>
        </row>
        <row r="256">
          <cell r="B256" t="str">
            <v>tb8459974_2012</v>
          </cell>
          <cell r="C256" t="str">
            <v>F03H</v>
          </cell>
          <cell r="D256" t="str">
            <v>tb8459974_2012</v>
          </cell>
          <cell r="E256">
            <v>1120</v>
          </cell>
          <cell r="F256">
            <v>20</v>
          </cell>
          <cell r="G256">
            <v>8000</v>
          </cell>
          <cell r="H256">
            <v>10040</v>
          </cell>
        </row>
        <row r="259">
          <cell r="B259" t="str">
            <v>508203648302034047</v>
          </cell>
          <cell r="C259" t="str">
            <v>G12V</v>
          </cell>
          <cell r="D259" t="str">
            <v>缘定今生2011218</v>
          </cell>
          <cell r="E259">
            <v>1990</v>
          </cell>
          <cell r="F259">
            <v>20</v>
          </cell>
        </row>
      </sheetData>
      <sheetData sheetId="2"/>
      <sheetData sheetId="3"/>
      <sheetData sheetId="4"/>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tabSelected="1" workbookViewId="0">
      <selection activeCell="E16" sqref="E16"/>
    </sheetView>
  </sheetViews>
  <sheetFormatPr defaultColWidth="9" defaultRowHeight="13.5"/>
  <cols>
    <col min="2" max="2" width="17" customWidth="1"/>
    <col min="3" max="4" width="12.875" customWidth="1"/>
    <col min="6" max="6" width="8.875" customWidth="1"/>
    <col min="7" max="7" width="11.625" customWidth="1"/>
    <col min="8" max="8" width="10.375" customWidth="1"/>
  </cols>
  <sheetData>
    <row r="1" ht="14.25" spans="1:9">
      <c r="A1" s="1"/>
      <c r="B1" s="1"/>
      <c r="C1" s="1"/>
      <c r="D1" s="1"/>
      <c r="E1" s="1"/>
      <c r="F1" s="1"/>
      <c r="G1" s="1"/>
      <c r="H1" s="1"/>
      <c r="I1" s="1"/>
    </row>
    <row r="2" spans="1:9">
      <c r="A2" s="1"/>
      <c r="B2" s="61" t="s">
        <v>0</v>
      </c>
      <c r="C2" s="62"/>
      <c r="D2" s="63"/>
      <c r="E2" s="1"/>
      <c r="F2" s="64" t="s">
        <v>1</v>
      </c>
      <c r="G2" s="65"/>
      <c r="H2" s="66"/>
      <c r="I2" s="1"/>
    </row>
    <row r="3" ht="14.25" spans="1:9">
      <c r="A3" s="1"/>
      <c r="B3" s="67"/>
      <c r="C3" s="68"/>
      <c r="D3" s="69"/>
      <c r="E3" s="1"/>
      <c r="F3" s="70"/>
      <c r="G3" s="71"/>
      <c r="H3" s="72"/>
      <c r="I3" s="1"/>
    </row>
    <row r="4" spans="1:8">
      <c r="A4" s="1"/>
      <c r="B4" s="73"/>
      <c r="C4" s="74" t="s">
        <v>2</v>
      </c>
      <c r="D4" s="7" t="s">
        <v>3</v>
      </c>
      <c r="E4" s="1"/>
      <c r="F4" s="74"/>
      <c r="G4" s="74" t="s">
        <v>4</v>
      </c>
      <c r="H4" s="74" t="s">
        <v>5</v>
      </c>
    </row>
    <row r="5" ht="27" spans="1:8">
      <c r="A5" s="1"/>
      <c r="B5" s="75" t="s">
        <v>6</v>
      </c>
      <c r="C5" s="76">
        <f>SUM(G5:H5)</f>
        <v>430139</v>
      </c>
      <c r="D5" s="76">
        <f>天猫!H4</f>
        <v>319796.12</v>
      </c>
      <c r="E5" s="1"/>
      <c r="F5" s="76" t="s">
        <v>7</v>
      </c>
      <c r="G5" s="76">
        <f>天猫!D4</f>
        <v>227569.63</v>
      </c>
      <c r="H5" s="76">
        <f>天猫!F4</f>
        <v>202569.37</v>
      </c>
    </row>
    <row r="6" ht="27" spans="1:8">
      <c r="A6" s="1"/>
      <c r="B6" s="77" t="s">
        <v>8</v>
      </c>
      <c r="C6" s="76">
        <f>SUM(G6:H6)</f>
        <v>37707.4</v>
      </c>
      <c r="D6" s="76">
        <f>京东!G4</f>
        <v>20370.3</v>
      </c>
      <c r="E6" s="1"/>
      <c r="F6" s="76" t="s">
        <v>9</v>
      </c>
      <c r="G6" s="76">
        <f>京东!C4</f>
        <v>24589.4</v>
      </c>
      <c r="H6" s="76">
        <f>京东!E4</f>
        <v>13118</v>
      </c>
    </row>
    <row r="7" ht="27" spans="1:8">
      <c r="A7" s="1"/>
      <c r="B7" s="75" t="s">
        <v>10</v>
      </c>
      <c r="C7" s="76">
        <f>SUM(G7:H7)</f>
        <v>5110.77</v>
      </c>
      <c r="D7" s="76">
        <f>企业!H4</f>
        <v>41489.76</v>
      </c>
      <c r="E7" s="1"/>
      <c r="F7" s="76" t="s">
        <v>11</v>
      </c>
      <c r="G7" s="76">
        <f>企业!D4</f>
        <v>1677.9</v>
      </c>
      <c r="H7" s="76">
        <f>企业!F4</f>
        <v>3432.87</v>
      </c>
    </row>
    <row r="8" ht="27" spans="1:8">
      <c r="A8" s="1"/>
      <c r="B8" s="75" t="s">
        <v>12</v>
      </c>
      <c r="C8" s="76">
        <f>SUM(G8:H8)</f>
        <v>1783</v>
      </c>
      <c r="D8" s="76">
        <f>阿里!G4</f>
        <v>100080.98</v>
      </c>
      <c r="E8" s="1"/>
      <c r="F8" s="76" t="s">
        <v>13</v>
      </c>
      <c r="G8" s="76">
        <f>阿里!C4</f>
        <v>1280</v>
      </c>
      <c r="H8" s="76">
        <f>阿里!E4</f>
        <v>503</v>
      </c>
    </row>
    <row r="9" ht="27" spans="1:8">
      <c r="A9" s="1"/>
      <c r="B9" s="77" t="s">
        <v>14</v>
      </c>
      <c r="C9" s="76">
        <f>SUM(G9:H9)</f>
        <v>0</v>
      </c>
      <c r="D9" s="76">
        <f>线下!G4</f>
        <v>0</v>
      </c>
      <c r="E9" s="1"/>
      <c r="F9" s="76" t="s">
        <v>15</v>
      </c>
      <c r="G9" s="76">
        <f>线下!C4</f>
        <v>0</v>
      </c>
      <c r="H9" s="76">
        <f>线下!E4</f>
        <v>0</v>
      </c>
    </row>
    <row r="10" spans="1:8">
      <c r="A10" s="1"/>
      <c r="B10" s="78"/>
      <c r="C10" s="76"/>
      <c r="D10" s="15"/>
      <c r="E10" s="1"/>
      <c r="F10" s="76"/>
      <c r="G10" s="76"/>
      <c r="H10" s="76"/>
    </row>
    <row r="11" ht="14.25" spans="1:8">
      <c r="A11" s="1"/>
      <c r="B11" s="79" t="s">
        <v>16</v>
      </c>
      <c r="C11" s="80">
        <f>SUM(C5:C9)</f>
        <v>474740.17</v>
      </c>
      <c r="D11" s="81">
        <f>SUM(D5:D9)</f>
        <v>481737.16</v>
      </c>
      <c r="E11" s="1"/>
      <c r="F11" s="82" t="s">
        <v>16</v>
      </c>
      <c r="G11" s="80">
        <f>SUM(G5:G9)</f>
        <v>255116.93</v>
      </c>
      <c r="H11" s="80">
        <f>SUM(H5:H9)</f>
        <v>219623.24</v>
      </c>
    </row>
    <row r="12" spans="1:8">
      <c r="A12" s="1"/>
      <c r="B12" s="1"/>
      <c r="C12" s="1"/>
      <c r="D12" s="1"/>
      <c r="E12" s="1"/>
      <c r="F12" s="1"/>
      <c r="G12" s="1"/>
      <c r="H12" s="1"/>
    </row>
    <row r="13" spans="1:9">
      <c r="A13" s="1"/>
      <c r="B13" s="1"/>
      <c r="C13" s="1"/>
      <c r="D13" s="1"/>
      <c r="E13" s="1"/>
      <c r="F13" s="1"/>
      <c r="G13" s="1"/>
      <c r="H13" s="1"/>
      <c r="I13" s="1"/>
    </row>
    <row r="14" spans="1:9">
      <c r="A14" s="1"/>
      <c r="B14" s="1"/>
      <c r="C14" s="1"/>
      <c r="D14" s="1"/>
      <c r="E14" s="1"/>
      <c r="F14" s="1"/>
      <c r="G14" s="1"/>
      <c r="H14" s="1"/>
      <c r="I14" s="1"/>
    </row>
    <row r="15" spans="1:9">
      <c r="A15" s="1"/>
      <c r="B15" s="1"/>
      <c r="C15" s="1"/>
      <c r="D15" s="1"/>
      <c r="E15" s="1"/>
      <c r="F15" s="1"/>
      <c r="G15" s="1"/>
      <c r="H15" s="1"/>
      <c r="I15" s="1"/>
    </row>
    <row r="16" spans="1:9">
      <c r="A16" s="1"/>
      <c r="B16" s="1"/>
      <c r="C16" s="1"/>
      <c r="D16" s="1"/>
      <c r="E16" s="1"/>
      <c r="F16" s="1"/>
      <c r="G16" s="1"/>
      <c r="H16" s="1"/>
      <c r="I16" s="1"/>
    </row>
    <row r="17" spans="1:9">
      <c r="A17" s="1"/>
      <c r="B17" s="1"/>
      <c r="C17" s="1"/>
      <c r="D17" s="1"/>
      <c r="E17" s="1"/>
      <c r="F17" s="1"/>
      <c r="G17" s="1"/>
      <c r="H17" s="1"/>
      <c r="I17" s="1"/>
    </row>
    <row r="18" spans="1:9">
      <c r="A18" s="1"/>
      <c r="B18" s="1"/>
      <c r="C18" s="1"/>
      <c r="D18" s="1"/>
      <c r="E18" s="1"/>
      <c r="F18" s="1"/>
      <c r="G18" s="1"/>
      <c r="H18" s="1"/>
      <c r="I18" s="1"/>
    </row>
    <row r="19" spans="1:9">
      <c r="A19" s="1"/>
      <c r="B19" s="1"/>
      <c r="C19" s="1"/>
      <c r="D19" s="1"/>
      <c r="E19" s="1"/>
      <c r="F19" s="1"/>
      <c r="G19" s="1"/>
      <c r="H19" s="1"/>
      <c r="I19" s="1"/>
    </row>
    <row r="20" spans="1:9">
      <c r="A20" s="1"/>
      <c r="B20" s="1"/>
      <c r="C20" s="1"/>
      <c r="D20" s="1"/>
      <c r="E20" s="1"/>
      <c r="F20" s="1"/>
      <c r="G20" s="1"/>
      <c r="H20" s="1"/>
      <c r="I20" s="1"/>
    </row>
    <row r="21" spans="1:9">
      <c r="A21" s="1"/>
      <c r="B21" s="1"/>
      <c r="C21" s="1"/>
      <c r="D21" s="1"/>
      <c r="E21" s="1"/>
      <c r="F21" s="1"/>
      <c r="G21" s="1"/>
      <c r="H21" s="1"/>
      <c r="I21" s="1"/>
    </row>
  </sheetData>
  <mergeCells count="2">
    <mergeCell ref="B2:D3"/>
    <mergeCell ref="F2:H3"/>
  </mergeCells>
  <hyperlinks>
    <hyperlink ref="B5" location="天猫!A1" display="天猫业绩&#10;（点击查看明细）"/>
    <hyperlink ref="B6" location="京东!A1" display="京东&#10;（点击查看明细）"/>
    <hyperlink ref="B7" location="企业!A1" display="企业&#10;（点击查看明细）"/>
    <hyperlink ref="B8" location="阿里!A1" display="阿里&#10;（点击查看明细）"/>
    <hyperlink ref="B9" location="线下!A1" display="线下&#10;（点击查看明细）"/>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535"/>
  <sheetViews>
    <sheetView workbookViewId="0">
      <pane ySplit="5" topLeftCell="A6" activePane="bottomLeft" state="frozen"/>
      <selection/>
      <selection pane="bottomLeft" activeCell="N4" sqref="N4"/>
    </sheetView>
  </sheetViews>
  <sheetFormatPr defaultColWidth="9" defaultRowHeight="13.5"/>
  <cols>
    <col min="1" max="1" width="9" hidden="1" customWidth="1"/>
    <col min="2" max="2" width="20.375" style="1" customWidth="1"/>
    <col min="3" max="3" width="9" style="1"/>
    <col min="4" max="4" width="11.625" style="1"/>
    <col min="5" max="5" width="9" style="1"/>
    <col min="6" max="6" width="12" style="1" customWidth="1"/>
    <col min="7" max="7" width="9" style="1"/>
    <col min="8" max="8" width="11.625" style="1"/>
    <col min="9" max="9" width="17.125" style="1"/>
    <col min="10" max="10" width="17.125" style="1" customWidth="1"/>
    <col min="11" max="11" width="15" style="1" customWidth="1"/>
    <col min="12" max="13" width="9" style="1"/>
    <col min="14" max="14" width="18.375" style="1" customWidth="1"/>
    <col min="15" max="17" width="9" style="1"/>
    <col min="18" max="18" width="17.125" style="1"/>
    <col min="19" max="16340" width="9" style="1"/>
  </cols>
  <sheetData>
    <row r="1" s="1" customFormat="1" ht="34" customHeight="1" spans="2:14">
      <c r="B1" s="3" t="s">
        <v>17</v>
      </c>
      <c r="C1" s="4"/>
      <c r="D1" s="4"/>
      <c r="E1" s="4"/>
      <c r="F1" s="4"/>
      <c r="G1" s="4"/>
      <c r="H1" s="4"/>
      <c r="I1" s="4"/>
      <c r="J1" s="24"/>
      <c r="K1" s="25"/>
      <c r="L1" s="25"/>
      <c r="M1" s="25"/>
      <c r="N1" s="1" t="s">
        <v>18</v>
      </c>
    </row>
    <row r="2" s="1" customFormat="1" ht="21" customHeight="1" spans="2:13">
      <c r="B2" s="5" t="s">
        <v>19</v>
      </c>
      <c r="C2" s="6" t="s">
        <v>20</v>
      </c>
      <c r="D2" s="7">
        <v>229005.16</v>
      </c>
      <c r="E2" s="8" t="s">
        <v>21</v>
      </c>
      <c r="F2" s="7">
        <v>203354.77</v>
      </c>
      <c r="G2" s="9" t="s">
        <v>22</v>
      </c>
      <c r="H2" s="7">
        <v>319796.12</v>
      </c>
      <c r="I2" s="10" t="s">
        <v>23</v>
      </c>
      <c r="J2" s="7">
        <v>1767.14</v>
      </c>
      <c r="K2" s="25"/>
      <c r="L2" s="25"/>
      <c r="M2" s="25"/>
    </row>
    <row r="3" s="1" customFormat="1" ht="21" customHeight="1" spans="2:13">
      <c r="B3" s="11"/>
      <c r="C3" s="12" t="s">
        <v>24</v>
      </c>
      <c r="D3" s="13">
        <f>-84.8-200-260.73-317-206-367</f>
        <v>-1435.53</v>
      </c>
      <c r="E3" s="14"/>
      <c r="F3" s="15">
        <f>-140-76.6-309-259.8</f>
        <v>-785.4</v>
      </c>
      <c r="G3" s="16"/>
      <c r="H3" s="15"/>
      <c r="I3" s="17"/>
      <c r="J3" s="15"/>
      <c r="L3" s="25"/>
      <c r="M3" s="25"/>
    </row>
    <row r="4" s="2" customFormat="1" ht="21" customHeight="1" spans="2:10">
      <c r="B4" s="18" t="s">
        <v>16</v>
      </c>
      <c r="C4" s="19" t="s">
        <v>4</v>
      </c>
      <c r="D4" s="20">
        <f t="shared" ref="D4:H4" si="0">D3+D2</f>
        <v>227569.63</v>
      </c>
      <c r="E4" s="21" t="s">
        <v>5</v>
      </c>
      <c r="F4" s="20">
        <f t="shared" si="0"/>
        <v>202569.37</v>
      </c>
      <c r="G4" s="22" t="s">
        <v>22</v>
      </c>
      <c r="H4" s="20">
        <f t="shared" si="0"/>
        <v>319796.12</v>
      </c>
      <c r="I4" s="23" t="s">
        <v>23</v>
      </c>
      <c r="J4" s="20">
        <f>J3+J2</f>
        <v>1767.14</v>
      </c>
    </row>
    <row r="5" s="1" customFormat="1" spans="1:18">
      <c r="A5" s="1">
        <v>111</v>
      </c>
      <c r="B5" s="1" t="s">
        <v>25</v>
      </c>
      <c r="C5" s="1" t="s">
        <v>26</v>
      </c>
      <c r="D5" s="1" t="s">
        <v>27</v>
      </c>
      <c r="E5" s="1" t="s">
        <v>28</v>
      </c>
      <c r="F5" s="1" t="s">
        <v>29</v>
      </c>
      <c r="G5" s="1" t="s">
        <v>30</v>
      </c>
      <c r="H5" s="1" t="s">
        <v>31</v>
      </c>
      <c r="I5" s="1" t="s">
        <v>32</v>
      </c>
      <c r="J5" s="1" t="s">
        <v>33</v>
      </c>
      <c r="K5" s="1" t="s">
        <v>34</v>
      </c>
      <c r="L5" s="1" t="s">
        <v>35</v>
      </c>
      <c r="M5" s="1" t="s">
        <v>36</v>
      </c>
      <c r="N5" s="1" t="s">
        <v>37</v>
      </c>
      <c r="O5" s="1" t="s">
        <v>38</v>
      </c>
      <c r="P5" s="1" t="s">
        <v>39</v>
      </c>
      <c r="Q5" s="1" t="s">
        <v>40</v>
      </c>
      <c r="R5" s="1" t="s">
        <v>41</v>
      </c>
    </row>
    <row r="6" s="55" customFormat="1" spans="1:17">
      <c r="A6" s="55" t="e">
        <f>VLOOKUP(B6,[1]天猫!$B$3:$H$258,1,FALSE)</f>
        <v>#N/A</v>
      </c>
      <c r="B6" s="55" t="str">
        <f>"510238304931844139"</f>
        <v>510238304931844139</v>
      </c>
      <c r="C6" s="55" t="s">
        <v>42</v>
      </c>
      <c r="D6" s="55">
        <v>916</v>
      </c>
      <c r="E6" s="55" t="s">
        <v>43</v>
      </c>
      <c r="F6" s="55" t="s">
        <v>44</v>
      </c>
      <c r="G6" s="55" t="s">
        <v>45</v>
      </c>
      <c r="H6" s="55" t="s">
        <v>46</v>
      </c>
      <c r="I6" s="58">
        <v>43646.7880092593</v>
      </c>
      <c r="J6" s="58">
        <v>43646.7907638889</v>
      </c>
      <c r="K6" s="55" t="s">
        <v>47</v>
      </c>
      <c r="L6" s="55" t="s">
        <v>48</v>
      </c>
      <c r="M6" s="55" t="s">
        <v>49</v>
      </c>
      <c r="N6" s="55" t="s">
        <v>50</v>
      </c>
      <c r="O6" s="55">
        <v>2</v>
      </c>
      <c r="P6" s="55">
        <v>0</v>
      </c>
      <c r="Q6" s="55" t="s">
        <v>51</v>
      </c>
    </row>
    <row r="7" s="48" customFormat="1" spans="1:18">
      <c r="A7" s="55" t="e">
        <f>VLOOKUP(B7,[1]天猫!$B$3:$H$258,1,FALSE)</f>
        <v>#N/A</v>
      </c>
      <c r="B7" s="48" t="str">
        <f>"509980576777214531"</f>
        <v>509980576777214531</v>
      </c>
      <c r="C7" s="48" t="s">
        <v>52</v>
      </c>
      <c r="D7" s="48">
        <v>1755.65</v>
      </c>
      <c r="E7" s="48" t="s">
        <v>53</v>
      </c>
      <c r="F7" s="48" t="s">
        <v>54</v>
      </c>
      <c r="G7" s="48" t="s">
        <v>55</v>
      </c>
      <c r="H7" s="48" t="s">
        <v>56</v>
      </c>
      <c r="I7" s="51">
        <v>43646.662662037</v>
      </c>
      <c r="J7" s="51">
        <v>43646.6699537037</v>
      </c>
      <c r="K7" s="48" t="s">
        <v>57</v>
      </c>
      <c r="L7" s="48" t="s">
        <v>58</v>
      </c>
      <c r="M7" s="48" t="s">
        <v>49</v>
      </c>
      <c r="O7" s="48">
        <v>3</v>
      </c>
      <c r="P7" s="48">
        <v>0</v>
      </c>
      <c r="Q7" s="48" t="s">
        <v>51</v>
      </c>
      <c r="R7" s="51">
        <v>43654.603275463</v>
      </c>
    </row>
    <row r="8" s="48" customFormat="1" spans="1:18">
      <c r="A8" s="55" t="e">
        <f>VLOOKUP(B8,[1]天猫!$B$3:$H$258,1,FALSE)</f>
        <v>#N/A</v>
      </c>
      <c r="B8" s="48" t="str">
        <f>"286610566309051991"</f>
        <v>286610566309051991</v>
      </c>
      <c r="C8" s="48" t="s">
        <v>59</v>
      </c>
      <c r="D8" s="48">
        <v>2188</v>
      </c>
      <c r="E8" s="48" t="s">
        <v>53</v>
      </c>
      <c r="F8" s="48" t="s">
        <v>60</v>
      </c>
      <c r="G8" s="48" t="s">
        <v>61</v>
      </c>
      <c r="H8" s="48" t="s">
        <v>62</v>
      </c>
      <c r="I8" s="51">
        <v>43646.6534953704</v>
      </c>
      <c r="J8" s="51">
        <v>43646.6664699074</v>
      </c>
      <c r="K8" s="48" t="s">
        <v>63</v>
      </c>
      <c r="L8" s="48" t="s">
        <v>64</v>
      </c>
      <c r="M8" s="48" t="s">
        <v>49</v>
      </c>
      <c r="O8" s="48">
        <v>3</v>
      </c>
      <c r="P8" s="48">
        <v>0</v>
      </c>
      <c r="Q8" s="48" t="s">
        <v>51</v>
      </c>
      <c r="R8" s="51">
        <v>43652.8211805556</v>
      </c>
    </row>
    <row r="9" s="48" customFormat="1" spans="1:18">
      <c r="A9" s="55" t="e">
        <f>VLOOKUP(B9,[1]天猫!$B$3:$H$258,1,FALSE)</f>
        <v>#N/A</v>
      </c>
      <c r="B9" s="48" t="str">
        <f>"286334052319189583"</f>
        <v>286334052319189583</v>
      </c>
      <c r="C9" s="48" t="s">
        <v>65</v>
      </c>
      <c r="D9" s="48">
        <v>2228</v>
      </c>
      <c r="E9" s="48" t="s">
        <v>53</v>
      </c>
      <c r="F9" s="48" t="s">
        <v>66</v>
      </c>
      <c r="G9" s="48" t="s">
        <v>67</v>
      </c>
      <c r="H9" s="48" t="s">
        <v>68</v>
      </c>
      <c r="I9" s="51">
        <v>43646.5871412037</v>
      </c>
      <c r="J9" s="51">
        <v>43646.5961805556</v>
      </c>
      <c r="K9" s="48" t="s">
        <v>69</v>
      </c>
      <c r="L9" s="48" t="s">
        <v>70</v>
      </c>
      <c r="M9" s="48" t="s">
        <v>49</v>
      </c>
      <c r="O9" s="48">
        <v>1</v>
      </c>
      <c r="P9" s="48">
        <v>0</v>
      </c>
      <c r="Q9" s="48" t="s">
        <v>51</v>
      </c>
      <c r="R9" s="51">
        <v>43653.3313657407</v>
      </c>
    </row>
    <row r="10" s="56" customFormat="1" spans="1:18">
      <c r="A10" s="55" t="e">
        <f>VLOOKUP(B10,[1]天猫!$B$3:$H$258,1,FALSE)</f>
        <v>#N/A</v>
      </c>
      <c r="B10" s="56" t="str">
        <f>"510642435050386033"</f>
        <v>510642435050386033</v>
      </c>
      <c r="C10" s="56" t="s">
        <v>71</v>
      </c>
      <c r="D10" s="56">
        <v>2788</v>
      </c>
      <c r="E10" s="56" t="s">
        <v>53</v>
      </c>
      <c r="F10" s="56" t="s">
        <v>72</v>
      </c>
      <c r="G10" s="56" t="s">
        <v>73</v>
      </c>
      <c r="H10" s="56" t="s">
        <v>74</v>
      </c>
      <c r="I10" s="59">
        <v>43646.4962731482</v>
      </c>
      <c r="J10" s="59">
        <v>43646.496412037</v>
      </c>
      <c r="K10" s="56" t="s">
        <v>75</v>
      </c>
      <c r="L10" s="56" t="s">
        <v>76</v>
      </c>
      <c r="M10" s="56" t="s">
        <v>49</v>
      </c>
      <c r="N10" s="56" t="s">
        <v>77</v>
      </c>
      <c r="O10" s="56">
        <v>3</v>
      </c>
      <c r="P10" s="56">
        <v>0</v>
      </c>
      <c r="Q10" s="56" t="s">
        <v>51</v>
      </c>
      <c r="R10" s="59">
        <v>43657.7010532407</v>
      </c>
    </row>
    <row r="11" s="48" customFormat="1" spans="1:18">
      <c r="A11" s="55" t="e">
        <f>VLOOKUP(B11,[1]天猫!$B$3:$H$258,1,FALSE)</f>
        <v>#N/A</v>
      </c>
      <c r="B11" s="48" t="str">
        <f>"510319298988982633"</f>
        <v>510319298988982633</v>
      </c>
      <c r="C11" s="48" t="s">
        <v>78</v>
      </c>
      <c r="D11" s="48">
        <v>1755.65</v>
      </c>
      <c r="E11" s="48" t="s">
        <v>53</v>
      </c>
      <c r="F11" s="48" t="s">
        <v>79</v>
      </c>
      <c r="G11" s="48" t="s">
        <v>80</v>
      </c>
      <c r="H11" s="48" t="s">
        <v>81</v>
      </c>
      <c r="I11" s="51">
        <v>43646.4766782407</v>
      </c>
      <c r="J11" s="51">
        <v>43646.4798958333</v>
      </c>
      <c r="K11" s="48" t="s">
        <v>57</v>
      </c>
      <c r="L11" s="48" t="s">
        <v>82</v>
      </c>
      <c r="M11" s="48" t="s">
        <v>49</v>
      </c>
      <c r="N11" s="48" t="s">
        <v>83</v>
      </c>
      <c r="O11" s="48">
        <v>3</v>
      </c>
      <c r="P11" s="48">
        <v>0</v>
      </c>
      <c r="Q11" s="48" t="s">
        <v>51</v>
      </c>
      <c r="R11" s="51">
        <v>43651.3869560185</v>
      </c>
    </row>
    <row r="12" s="55" customFormat="1" spans="1:17">
      <c r="A12" s="55" t="e">
        <f>VLOOKUP(B12,[1]天猫!$B$3:$H$258,1,FALSE)</f>
        <v>#N/A</v>
      </c>
      <c r="B12" s="55" t="str">
        <f>"509465024061914062"</f>
        <v>509465024061914062</v>
      </c>
      <c r="C12" s="55" t="s">
        <v>84</v>
      </c>
      <c r="D12" s="55">
        <v>2208</v>
      </c>
      <c r="E12" s="55" t="s">
        <v>43</v>
      </c>
      <c r="F12" s="55" t="s">
        <v>85</v>
      </c>
      <c r="G12" s="55" t="s">
        <v>86</v>
      </c>
      <c r="H12" s="55" t="s">
        <v>87</v>
      </c>
      <c r="I12" s="58">
        <v>43646.4128356481</v>
      </c>
      <c r="J12" s="58">
        <v>43646.4159722222</v>
      </c>
      <c r="K12" s="55" t="s">
        <v>57</v>
      </c>
      <c r="L12" s="55" t="s">
        <v>88</v>
      </c>
      <c r="M12" s="55" t="s">
        <v>89</v>
      </c>
      <c r="N12" s="55" t="s">
        <v>90</v>
      </c>
      <c r="O12" s="55">
        <v>3</v>
      </c>
      <c r="P12" s="55">
        <v>0</v>
      </c>
      <c r="Q12" s="55" t="s">
        <v>51</v>
      </c>
    </row>
    <row r="13" s="57" customFormat="1" spans="1:18">
      <c r="A13" s="55" t="e">
        <f>VLOOKUP(B13,[1]天猫!$B$3:$H$258,1,FALSE)</f>
        <v>#N/A</v>
      </c>
      <c r="B13" s="57" t="str">
        <f>"509941186241248406"</f>
        <v>509941186241248406</v>
      </c>
      <c r="C13" s="57" t="s">
        <v>91</v>
      </c>
      <c r="D13" s="57">
        <v>50</v>
      </c>
      <c r="E13" s="57" t="s">
        <v>53</v>
      </c>
      <c r="F13" s="57" t="s">
        <v>92</v>
      </c>
      <c r="G13" s="57" t="s">
        <v>93</v>
      </c>
      <c r="H13" s="57" t="s">
        <v>94</v>
      </c>
      <c r="I13" s="60">
        <v>43645.9900347222</v>
      </c>
      <c r="J13" s="60">
        <v>43645.9900925926</v>
      </c>
      <c r="K13" s="57" t="s">
        <v>95</v>
      </c>
      <c r="L13" s="57" t="s">
        <v>96</v>
      </c>
      <c r="M13" s="57" t="s">
        <v>49</v>
      </c>
      <c r="N13" s="57" t="s">
        <v>97</v>
      </c>
      <c r="O13" s="57">
        <v>50</v>
      </c>
      <c r="P13" s="57">
        <v>0</v>
      </c>
      <c r="Q13" s="57" t="s">
        <v>51</v>
      </c>
      <c r="R13" s="60">
        <v>43656.6697453704</v>
      </c>
    </row>
    <row r="14" s="56" customFormat="1" spans="1:18">
      <c r="A14" s="55" t="e">
        <f>VLOOKUP(B14,[1]天猫!$B$3:$H$258,1,FALSE)</f>
        <v>#N/A</v>
      </c>
      <c r="B14" s="56" t="str">
        <f>"510172867035373124"</f>
        <v>510172867035373124</v>
      </c>
      <c r="C14" s="56" t="s">
        <v>98</v>
      </c>
      <c r="D14" s="56">
        <v>1799</v>
      </c>
      <c r="E14" s="56" t="s">
        <v>53</v>
      </c>
      <c r="F14" s="56" t="s">
        <v>99</v>
      </c>
      <c r="G14" s="56" t="s">
        <v>100</v>
      </c>
      <c r="H14" s="56" t="s">
        <v>101</v>
      </c>
      <c r="I14" s="59">
        <v>43645.9492592593</v>
      </c>
      <c r="J14" s="59">
        <v>43645.9495833333</v>
      </c>
      <c r="K14" s="56" t="s">
        <v>57</v>
      </c>
      <c r="L14" s="56" t="s">
        <v>102</v>
      </c>
      <c r="M14" s="56" t="s">
        <v>49</v>
      </c>
      <c r="N14" s="56" t="s">
        <v>103</v>
      </c>
      <c r="O14" s="56">
        <v>3</v>
      </c>
      <c r="P14" s="56">
        <v>0</v>
      </c>
      <c r="Q14" s="56" t="s">
        <v>51</v>
      </c>
      <c r="R14" s="59">
        <v>43656.6697800926</v>
      </c>
    </row>
    <row r="15" s="56" customFormat="1" spans="1:18">
      <c r="A15" s="55" t="e">
        <f>VLOOKUP(B15,[1]天猫!$B$3:$H$258,1,FALSE)</f>
        <v>#N/A</v>
      </c>
      <c r="B15" s="56" t="str">
        <f>"509401025162511254"</f>
        <v>509401025162511254</v>
      </c>
      <c r="C15" s="56" t="s">
        <v>104</v>
      </c>
      <c r="D15" s="56">
        <v>568</v>
      </c>
      <c r="E15" s="56" t="s">
        <v>53</v>
      </c>
      <c r="F15" s="56" t="s">
        <v>105</v>
      </c>
      <c r="G15" s="56" t="s">
        <v>106</v>
      </c>
      <c r="H15" s="56" t="s">
        <v>107</v>
      </c>
      <c r="I15" s="59">
        <v>43645.8665393519</v>
      </c>
      <c r="J15" s="59">
        <v>43645.8666550926</v>
      </c>
      <c r="K15" s="56" t="s">
        <v>108</v>
      </c>
      <c r="L15" s="56" t="s">
        <v>109</v>
      </c>
      <c r="M15" s="56" t="s">
        <v>49</v>
      </c>
      <c r="N15" s="56" t="s">
        <v>110</v>
      </c>
      <c r="O15" s="56">
        <v>2</v>
      </c>
      <c r="P15" s="56">
        <v>0</v>
      </c>
      <c r="Q15" s="56" t="s">
        <v>51</v>
      </c>
      <c r="R15" s="59">
        <v>43656.6696990741</v>
      </c>
    </row>
    <row r="16" s="48" customFormat="1" spans="1:18">
      <c r="A16" s="55" t="e">
        <f>VLOOKUP(B16,[1]天猫!$B$3:$H$258,1,FALSE)</f>
        <v>#N/A</v>
      </c>
      <c r="B16" s="48" t="str">
        <f>"509371041934691135"</f>
        <v>509371041934691135</v>
      </c>
      <c r="C16" s="48" t="s">
        <v>111</v>
      </c>
      <c r="D16" s="48">
        <v>2988</v>
      </c>
      <c r="E16" s="48" t="s">
        <v>53</v>
      </c>
      <c r="F16" s="48" t="s">
        <v>112</v>
      </c>
      <c r="G16" s="48" t="s">
        <v>113</v>
      </c>
      <c r="H16" s="48" t="s">
        <v>114</v>
      </c>
      <c r="I16" s="51">
        <v>43645.8543865741</v>
      </c>
      <c r="J16" s="51">
        <v>43646.4916087963</v>
      </c>
      <c r="K16" s="48" t="s">
        <v>75</v>
      </c>
      <c r="L16" s="48" t="s">
        <v>115</v>
      </c>
      <c r="M16" s="48" t="s">
        <v>49</v>
      </c>
      <c r="O16" s="48">
        <v>3</v>
      </c>
      <c r="P16" s="48">
        <v>0</v>
      </c>
      <c r="Q16" s="48" t="s">
        <v>51</v>
      </c>
      <c r="R16" s="51">
        <v>43654.3996875</v>
      </c>
    </row>
    <row r="17" s="56" customFormat="1" spans="1:18">
      <c r="A17" s="55" t="e">
        <f>VLOOKUP(B17,[1]天猫!$B$3:$H$258,1,FALSE)</f>
        <v>#N/A</v>
      </c>
      <c r="B17" s="56" t="str">
        <f>"509673250759646521"</f>
        <v>509673250759646521</v>
      </c>
      <c r="C17" s="56" t="s">
        <v>116</v>
      </c>
      <c r="D17" s="56">
        <v>1999</v>
      </c>
      <c r="E17" s="56" t="s">
        <v>53</v>
      </c>
      <c r="F17" s="56" t="s">
        <v>117</v>
      </c>
      <c r="G17" s="56" t="s">
        <v>118</v>
      </c>
      <c r="H17" s="56" t="s">
        <v>119</v>
      </c>
      <c r="I17" s="59">
        <v>43645.8350578704</v>
      </c>
      <c r="J17" s="59">
        <v>43645.8352083333</v>
      </c>
      <c r="K17" s="56" t="s">
        <v>57</v>
      </c>
      <c r="L17" s="56" t="s">
        <v>120</v>
      </c>
      <c r="M17" s="56" t="s">
        <v>49</v>
      </c>
      <c r="N17" s="56" t="s">
        <v>121</v>
      </c>
      <c r="O17" s="56">
        <v>3</v>
      </c>
      <c r="P17" s="56">
        <v>0</v>
      </c>
      <c r="Q17" s="56" t="s">
        <v>51</v>
      </c>
      <c r="R17" s="59">
        <v>43648.9881018518</v>
      </c>
    </row>
    <row r="18" s="56" customFormat="1" spans="1:18">
      <c r="A18" s="55" t="e">
        <f>VLOOKUP(B18,[1]天猫!$B$3:$H$258,1,FALSE)</f>
        <v>#N/A</v>
      </c>
      <c r="B18" s="56" t="str">
        <f>"509309057585447406"</f>
        <v>509309057585447406</v>
      </c>
      <c r="C18" s="56" t="s">
        <v>122</v>
      </c>
      <c r="D18" s="56">
        <v>1799</v>
      </c>
      <c r="E18" s="56" t="s">
        <v>53</v>
      </c>
      <c r="F18" s="56" t="s">
        <v>123</v>
      </c>
      <c r="G18" s="56" t="s">
        <v>124</v>
      </c>
      <c r="H18" s="56" t="s">
        <v>125</v>
      </c>
      <c r="I18" s="59">
        <v>43645.8229398148</v>
      </c>
      <c r="J18" s="59">
        <v>43645.8231481481</v>
      </c>
      <c r="K18" s="56" t="s">
        <v>57</v>
      </c>
      <c r="L18" s="56" t="s">
        <v>126</v>
      </c>
      <c r="M18" s="56" t="s">
        <v>49</v>
      </c>
      <c r="N18" s="56" t="s">
        <v>127</v>
      </c>
      <c r="O18" s="56">
        <v>3</v>
      </c>
      <c r="P18" s="56">
        <v>0</v>
      </c>
      <c r="Q18" s="56" t="s">
        <v>51</v>
      </c>
      <c r="R18" s="59">
        <v>43656.6697800926</v>
      </c>
    </row>
    <row r="19" s="56" customFormat="1" spans="1:18">
      <c r="A19" s="55" t="e">
        <f>VLOOKUP(B19,[1]天猫!$B$3:$H$258,1,FALSE)</f>
        <v>#N/A</v>
      </c>
      <c r="B19" s="56" t="str">
        <f>"286402566708427897"</f>
        <v>286402566708427897</v>
      </c>
      <c r="C19" s="56" t="s">
        <v>128</v>
      </c>
      <c r="D19" s="56">
        <v>1799</v>
      </c>
      <c r="E19" s="56" t="s">
        <v>53</v>
      </c>
      <c r="F19" s="56" t="s">
        <v>129</v>
      </c>
      <c r="G19" s="56" t="s">
        <v>130</v>
      </c>
      <c r="H19" s="56" t="s">
        <v>131</v>
      </c>
      <c r="I19" s="59">
        <v>43645.8021875</v>
      </c>
      <c r="J19" s="59">
        <v>43645.8060300926</v>
      </c>
      <c r="K19" s="56" t="s">
        <v>57</v>
      </c>
      <c r="L19" s="56" t="s">
        <v>132</v>
      </c>
      <c r="M19" s="56" t="s">
        <v>49</v>
      </c>
      <c r="N19" s="56" t="s">
        <v>133</v>
      </c>
      <c r="O19" s="56">
        <v>3</v>
      </c>
      <c r="P19" s="56">
        <v>0</v>
      </c>
      <c r="Q19" s="56" t="s">
        <v>51</v>
      </c>
      <c r="R19" s="59">
        <v>43656.8441087963</v>
      </c>
    </row>
    <row r="20" s="48" customFormat="1" spans="1:18">
      <c r="A20" s="55" t="e">
        <f>VLOOKUP(B20,[1]天猫!$B$3:$H$258,1,FALSE)</f>
        <v>#N/A</v>
      </c>
      <c r="B20" s="48" t="str">
        <f>"509702115780374069"</f>
        <v>509702115780374069</v>
      </c>
      <c r="C20" s="48" t="s">
        <v>134</v>
      </c>
      <c r="D20" s="48">
        <v>2232.8</v>
      </c>
      <c r="E20" s="48" t="s">
        <v>53</v>
      </c>
      <c r="F20" s="48" t="s">
        <v>135</v>
      </c>
      <c r="G20" s="48" t="s">
        <v>136</v>
      </c>
      <c r="H20" s="48" t="s">
        <v>137</v>
      </c>
      <c r="I20" s="51">
        <v>43645.6987615741</v>
      </c>
      <c r="J20" s="51">
        <v>43645.7181712963</v>
      </c>
      <c r="K20" s="48" t="s">
        <v>69</v>
      </c>
      <c r="L20" s="48" t="s">
        <v>138</v>
      </c>
      <c r="M20" s="48" t="s">
        <v>49</v>
      </c>
      <c r="O20" s="48">
        <v>1</v>
      </c>
      <c r="P20" s="48">
        <v>0</v>
      </c>
      <c r="Q20" s="48" t="s">
        <v>51</v>
      </c>
      <c r="R20" s="51">
        <v>43649.8842708333</v>
      </c>
    </row>
    <row r="21" s="48" customFormat="1" spans="1:18">
      <c r="A21" s="55" t="e">
        <f>VLOOKUP(B21,[1]天猫!$B$3:$H$258,1,FALSE)</f>
        <v>#N/A</v>
      </c>
      <c r="B21" s="48" t="str">
        <f>"508947745644079203"</f>
        <v>508947745644079203</v>
      </c>
      <c r="C21" s="48" t="s">
        <v>139</v>
      </c>
      <c r="D21" s="48">
        <v>2988</v>
      </c>
      <c r="E21" s="48" t="s">
        <v>53</v>
      </c>
      <c r="F21" s="48" t="s">
        <v>140</v>
      </c>
      <c r="G21" s="48" t="s">
        <v>141</v>
      </c>
      <c r="H21" s="48" t="s">
        <v>142</v>
      </c>
      <c r="I21" s="51">
        <v>43645.6323148148</v>
      </c>
      <c r="J21" s="51">
        <v>43645.6408217593</v>
      </c>
      <c r="K21" s="48" t="s">
        <v>75</v>
      </c>
      <c r="L21" s="48" t="s">
        <v>143</v>
      </c>
      <c r="M21" s="48" t="s">
        <v>49</v>
      </c>
      <c r="O21" s="48">
        <v>3</v>
      </c>
      <c r="P21" s="48">
        <v>0</v>
      </c>
      <c r="Q21" s="48" t="s">
        <v>51</v>
      </c>
      <c r="R21" s="51">
        <v>43655.6831712963</v>
      </c>
    </row>
    <row r="22" s="48" customFormat="1" spans="1:18">
      <c r="A22" s="55" t="e">
        <f>VLOOKUP(B22,[1]天猫!$B$3:$H$258,1,FALSE)</f>
        <v>#N/A</v>
      </c>
      <c r="B22" s="48" t="str">
        <f>"508641185407641924"</f>
        <v>508641185407641924</v>
      </c>
      <c r="C22" s="48" t="s">
        <v>144</v>
      </c>
      <c r="D22" s="48">
        <v>1999</v>
      </c>
      <c r="E22" s="48" t="s">
        <v>53</v>
      </c>
      <c r="F22" s="48" t="s">
        <v>145</v>
      </c>
      <c r="G22" s="48" t="s">
        <v>146</v>
      </c>
      <c r="H22" s="48" t="s">
        <v>147</v>
      </c>
      <c r="I22" s="51">
        <v>43645.475474537</v>
      </c>
      <c r="J22" s="51">
        <v>43645.5018287037</v>
      </c>
      <c r="K22" s="48" t="s">
        <v>57</v>
      </c>
      <c r="L22" s="48" t="s">
        <v>148</v>
      </c>
      <c r="M22" s="48" t="s">
        <v>49</v>
      </c>
      <c r="O22" s="48">
        <v>3</v>
      </c>
      <c r="P22" s="48">
        <v>0</v>
      </c>
      <c r="Q22" s="48" t="s">
        <v>51</v>
      </c>
      <c r="R22" s="51">
        <v>43650.6130439815</v>
      </c>
    </row>
    <row r="23" s="48" customFormat="1" spans="1:18">
      <c r="A23" s="55" t="e">
        <f>VLOOKUP(B23,[1]天猫!$B$3:$H$258,1,FALSE)</f>
        <v>#N/A</v>
      </c>
      <c r="B23" s="48" t="str">
        <f>"508203648302034047"</f>
        <v>508203648302034047</v>
      </c>
      <c r="C23" s="48" t="s">
        <v>149</v>
      </c>
      <c r="D23" s="48">
        <v>1990</v>
      </c>
      <c r="E23" s="48" t="s">
        <v>53</v>
      </c>
      <c r="F23" s="48" t="s">
        <v>150</v>
      </c>
      <c r="G23" s="48" t="s">
        <v>151</v>
      </c>
      <c r="H23" s="48" t="s">
        <v>152</v>
      </c>
      <c r="I23" s="51">
        <v>43645.4417592593</v>
      </c>
      <c r="J23" s="51">
        <v>43645.4459606481</v>
      </c>
      <c r="K23" s="48" t="s">
        <v>57</v>
      </c>
      <c r="L23" s="48" t="s">
        <v>153</v>
      </c>
      <c r="M23" s="48" t="s">
        <v>49</v>
      </c>
      <c r="O23" s="48">
        <v>3</v>
      </c>
      <c r="P23" s="48">
        <v>0</v>
      </c>
      <c r="Q23" s="48" t="s">
        <v>51</v>
      </c>
      <c r="R23" s="51">
        <v>43648.4844097222</v>
      </c>
    </row>
    <row r="24" s="56" customFormat="1" spans="1:18">
      <c r="A24" s="55" t="e">
        <f>VLOOKUP(B24,[1]天猫!$B$3:$H$258,1,FALSE)</f>
        <v>#N/A</v>
      </c>
      <c r="B24" s="56" t="str">
        <f>"508768931093912872"</f>
        <v>508768931093912872</v>
      </c>
      <c r="C24" s="56" t="s">
        <v>154</v>
      </c>
      <c r="D24" s="56">
        <v>3899</v>
      </c>
      <c r="E24" s="56" t="s">
        <v>53</v>
      </c>
      <c r="F24" s="56" t="s">
        <v>155</v>
      </c>
      <c r="G24" s="56" t="s">
        <v>156</v>
      </c>
      <c r="H24" s="56" t="s">
        <v>157</v>
      </c>
      <c r="I24" s="59">
        <v>43644.8965972222</v>
      </c>
      <c r="J24" s="59">
        <v>43644.8967013889</v>
      </c>
      <c r="K24" s="56" t="s">
        <v>158</v>
      </c>
      <c r="L24" s="56" t="s">
        <v>159</v>
      </c>
      <c r="M24" s="56" t="s">
        <v>49</v>
      </c>
      <c r="N24" s="56" t="s">
        <v>160</v>
      </c>
      <c r="O24" s="56">
        <v>2</v>
      </c>
      <c r="P24" s="56">
        <v>0</v>
      </c>
      <c r="Q24" s="56" t="s">
        <v>51</v>
      </c>
      <c r="R24" s="59">
        <v>43648.8398726852</v>
      </c>
    </row>
    <row r="25" s="48" customFormat="1" spans="1:18">
      <c r="A25" s="55" t="e">
        <f>VLOOKUP(B25,[1]天猫!$B$3:$H$258,1,FALSE)</f>
        <v>#N/A</v>
      </c>
      <c r="B25" s="48" t="str">
        <f>"508473314856549112"</f>
        <v>508473314856549112</v>
      </c>
      <c r="C25" s="48" t="s">
        <v>161</v>
      </c>
      <c r="D25" s="48">
        <v>1120</v>
      </c>
      <c r="E25" s="48" t="s">
        <v>53</v>
      </c>
      <c r="F25" s="48" t="s">
        <v>162</v>
      </c>
      <c r="G25" s="48" t="s">
        <v>163</v>
      </c>
      <c r="H25" s="48" t="s">
        <v>164</v>
      </c>
      <c r="I25" s="51">
        <v>43644.8944212963</v>
      </c>
      <c r="J25" s="51">
        <v>43644.8988773148</v>
      </c>
      <c r="K25" s="48" t="s">
        <v>165</v>
      </c>
      <c r="L25" s="48" t="s">
        <v>166</v>
      </c>
      <c r="M25" s="48" t="s">
        <v>49</v>
      </c>
      <c r="O25" s="48">
        <v>2</v>
      </c>
      <c r="P25" s="48">
        <v>0</v>
      </c>
      <c r="Q25" s="48" t="s">
        <v>51</v>
      </c>
      <c r="R25" s="51">
        <v>43651.7184027778</v>
      </c>
    </row>
    <row r="26" s="48" customFormat="1" hidden="1" spans="1:18">
      <c r="A26" s="55" t="str">
        <f>VLOOKUP(B26,[1]天猫!$B$3:$H$258,1,FALSE)</f>
        <v>507440448426065976</v>
      </c>
      <c r="B26" s="48" t="str">
        <f>"507440448426065976"</f>
        <v>507440448426065976</v>
      </c>
      <c r="C26" s="48" t="s">
        <v>167</v>
      </c>
      <c r="D26" s="48">
        <v>2999</v>
      </c>
      <c r="E26" s="48" t="s">
        <v>53</v>
      </c>
      <c r="F26" s="48" t="s">
        <v>168</v>
      </c>
      <c r="G26" s="48" t="s">
        <v>169</v>
      </c>
      <c r="H26" s="48" t="s">
        <v>170</v>
      </c>
      <c r="I26" s="51">
        <v>43644.7050115741</v>
      </c>
      <c r="J26" s="51">
        <v>43644.7082986111</v>
      </c>
      <c r="K26" s="48" t="s">
        <v>75</v>
      </c>
      <c r="L26" s="48" t="s">
        <v>171</v>
      </c>
      <c r="M26" s="48" t="s">
        <v>49</v>
      </c>
      <c r="O26" s="48">
        <v>3</v>
      </c>
      <c r="P26" s="48">
        <v>0</v>
      </c>
      <c r="Q26" s="48" t="s">
        <v>51</v>
      </c>
      <c r="R26" s="51">
        <v>43653.5232986111</v>
      </c>
    </row>
    <row r="27" s="56" customFormat="1" spans="1:18">
      <c r="A27" s="55" t="e">
        <f>VLOOKUP(B27,[1]天猫!$B$3:$H$258,1,FALSE)</f>
        <v>#N/A</v>
      </c>
      <c r="B27" s="56" t="str">
        <f>"508344291897501704"</f>
        <v>508344291897501704</v>
      </c>
      <c r="C27" s="56" t="s">
        <v>172</v>
      </c>
      <c r="D27" s="56">
        <v>3499</v>
      </c>
      <c r="E27" s="56" t="s">
        <v>53</v>
      </c>
      <c r="F27" s="56" t="s">
        <v>173</v>
      </c>
      <c r="G27" s="56" t="s">
        <v>174</v>
      </c>
      <c r="H27" s="56" t="s">
        <v>175</v>
      </c>
      <c r="I27" s="59">
        <v>43644.6652893519</v>
      </c>
      <c r="J27" s="59">
        <v>43644.7207060185</v>
      </c>
      <c r="K27" s="56" t="s">
        <v>75</v>
      </c>
      <c r="L27" s="56" t="s">
        <v>176</v>
      </c>
      <c r="M27" s="56" t="s">
        <v>49</v>
      </c>
      <c r="N27" s="56" t="s">
        <v>177</v>
      </c>
      <c r="O27" s="56">
        <v>3</v>
      </c>
      <c r="P27" s="56">
        <v>0</v>
      </c>
      <c r="Q27" s="56" t="s">
        <v>51</v>
      </c>
      <c r="R27" s="59">
        <v>43650.7321064815</v>
      </c>
    </row>
    <row r="28" s="48" customFormat="1" hidden="1" spans="1:18">
      <c r="A28" s="55" t="str">
        <f>VLOOKUP(B28,[1]天猫!$B$3:$H$258,1,FALSE)</f>
        <v>507326880421845044</v>
      </c>
      <c r="B28" s="48" t="str">
        <f>"507326880421845044"</f>
        <v>507326880421845044</v>
      </c>
      <c r="C28" s="48" t="s">
        <v>178</v>
      </c>
      <c r="D28" s="48">
        <v>2032.8</v>
      </c>
      <c r="E28" s="48" t="s">
        <v>53</v>
      </c>
      <c r="F28" s="48" t="s">
        <v>179</v>
      </c>
      <c r="G28" s="48" t="s">
        <v>180</v>
      </c>
      <c r="H28" s="48" t="s">
        <v>181</v>
      </c>
      <c r="I28" s="51">
        <v>43644.643287037</v>
      </c>
      <c r="J28" s="51">
        <v>43644.6487152778</v>
      </c>
      <c r="K28" s="48" t="s">
        <v>69</v>
      </c>
      <c r="L28" s="48" t="s">
        <v>182</v>
      </c>
      <c r="M28" s="48" t="s">
        <v>49</v>
      </c>
      <c r="O28" s="48">
        <v>1</v>
      </c>
      <c r="P28" s="48">
        <v>0</v>
      </c>
      <c r="Q28" s="48" t="s">
        <v>51</v>
      </c>
      <c r="R28" s="51">
        <v>43647.722025463</v>
      </c>
    </row>
    <row r="29" s="56" customFormat="1" spans="1:18">
      <c r="A29" s="55" t="e">
        <f>VLOOKUP(B29,[1]天猫!$B$3:$H$258,1,FALSE)</f>
        <v>#N/A</v>
      </c>
      <c r="B29" s="56" t="str">
        <f>"507959810862452337"</f>
        <v>507959810862452337</v>
      </c>
      <c r="C29" s="56" t="s">
        <v>183</v>
      </c>
      <c r="D29" s="56">
        <v>2028</v>
      </c>
      <c r="E29" s="56" t="s">
        <v>53</v>
      </c>
      <c r="F29" s="56" t="s">
        <v>184</v>
      </c>
      <c r="G29" s="56" t="s">
        <v>185</v>
      </c>
      <c r="H29" s="56" t="s">
        <v>186</v>
      </c>
      <c r="I29" s="59">
        <v>43644.6067361111</v>
      </c>
      <c r="J29" s="59">
        <v>43644.6069444444</v>
      </c>
      <c r="K29" s="56" t="s">
        <v>57</v>
      </c>
      <c r="L29" s="56" t="s">
        <v>187</v>
      </c>
      <c r="M29" s="56" t="s">
        <v>49</v>
      </c>
      <c r="N29" s="56" t="s">
        <v>188</v>
      </c>
      <c r="O29" s="56">
        <v>3</v>
      </c>
      <c r="P29" s="56">
        <v>0</v>
      </c>
      <c r="Q29" s="56" t="s">
        <v>51</v>
      </c>
      <c r="R29" s="59">
        <v>43654.6190277778</v>
      </c>
    </row>
    <row r="30" s="55" customFormat="1" spans="1:18">
      <c r="A30" s="55" t="e">
        <f>VLOOKUP(B30,[1]天猫!$B$3:$H$258,1,FALSE)</f>
        <v>#N/A</v>
      </c>
      <c r="B30" s="55" t="str">
        <f>"507405761177359564"</f>
        <v>507405761177359564</v>
      </c>
      <c r="C30" s="55" t="s">
        <v>189</v>
      </c>
      <c r="D30" s="55">
        <v>1755.65</v>
      </c>
      <c r="E30" s="55" t="s">
        <v>53</v>
      </c>
      <c r="F30" s="55" t="s">
        <v>190</v>
      </c>
      <c r="G30" s="55" t="s">
        <v>191</v>
      </c>
      <c r="H30" s="55" t="s">
        <v>192</v>
      </c>
      <c r="I30" s="58">
        <v>43644.4943287037</v>
      </c>
      <c r="J30" s="58">
        <v>43644.4955208333</v>
      </c>
      <c r="K30" s="55" t="s">
        <v>57</v>
      </c>
      <c r="L30" s="55" t="s">
        <v>193</v>
      </c>
      <c r="M30" s="55" t="s">
        <v>49</v>
      </c>
      <c r="N30" s="55" t="s">
        <v>194</v>
      </c>
      <c r="O30" s="55">
        <v>3</v>
      </c>
      <c r="P30" s="55">
        <v>0</v>
      </c>
      <c r="Q30" s="55" t="s">
        <v>51</v>
      </c>
      <c r="R30" s="58">
        <v>43647.1066666667</v>
      </c>
    </row>
    <row r="31" s="48" customFormat="1" hidden="1" spans="1:18">
      <c r="A31" s="55" t="str">
        <f>VLOOKUP(B31,[1]天猫!$B$3:$H$258,1,FALSE)</f>
        <v>507691522296303767</v>
      </c>
      <c r="B31" s="48" t="str">
        <f>"507691522296303767"</f>
        <v>507691522296303767</v>
      </c>
      <c r="C31" s="48" t="s">
        <v>195</v>
      </c>
      <c r="D31" s="48">
        <v>1790</v>
      </c>
      <c r="E31" s="48" t="s">
        <v>53</v>
      </c>
      <c r="F31" s="48" t="s">
        <v>196</v>
      </c>
      <c r="G31" s="48" t="s">
        <v>197</v>
      </c>
      <c r="H31" s="48" t="s">
        <v>198</v>
      </c>
      <c r="I31" s="51">
        <v>43644.4683333333</v>
      </c>
      <c r="J31" s="51">
        <v>43644.4739814815</v>
      </c>
      <c r="K31" s="48" t="s">
        <v>57</v>
      </c>
      <c r="L31" s="48" t="s">
        <v>199</v>
      </c>
      <c r="M31" s="48" t="s">
        <v>49</v>
      </c>
      <c r="O31" s="48">
        <v>3</v>
      </c>
      <c r="P31" s="48">
        <v>0</v>
      </c>
      <c r="Q31" s="48" t="s">
        <v>51</v>
      </c>
      <c r="R31" s="51">
        <v>43653.416099537</v>
      </c>
    </row>
    <row r="32" s="48" customFormat="1" hidden="1" spans="1:18">
      <c r="A32" s="55" t="str">
        <f>VLOOKUP(B32,[1]天猫!$B$3:$H$258,1,FALSE)</f>
        <v>507256609661112603</v>
      </c>
      <c r="B32" s="48" t="str">
        <f>"507256609661112603"</f>
        <v>507256609661112603</v>
      </c>
      <c r="C32" s="48" t="s">
        <v>200</v>
      </c>
      <c r="D32" s="48">
        <v>1999</v>
      </c>
      <c r="E32" s="48" t="s">
        <v>53</v>
      </c>
      <c r="F32" s="48" t="s">
        <v>201</v>
      </c>
      <c r="G32" s="48" t="s">
        <v>202</v>
      </c>
      <c r="H32" s="48" t="s">
        <v>203</v>
      </c>
      <c r="I32" s="51">
        <v>43644.4272453704</v>
      </c>
      <c r="J32" s="51">
        <v>43644.435</v>
      </c>
      <c r="K32" s="48" t="s">
        <v>57</v>
      </c>
      <c r="L32" s="48" t="s">
        <v>204</v>
      </c>
      <c r="M32" s="48" t="s">
        <v>49</v>
      </c>
      <c r="O32" s="48">
        <v>3</v>
      </c>
      <c r="P32" s="48">
        <v>0</v>
      </c>
      <c r="Q32" s="48" t="s">
        <v>51</v>
      </c>
      <c r="R32" s="51">
        <v>43650.4435763889</v>
      </c>
    </row>
    <row r="33" s="55" customFormat="1" spans="1:18">
      <c r="A33" s="55" t="e">
        <f>VLOOKUP(B33,[1]天猫!$B$3:$H$258,1,FALSE)</f>
        <v>#N/A</v>
      </c>
      <c r="B33" s="55" t="str">
        <f>"507218209447211356"</f>
        <v>507218209447211356</v>
      </c>
      <c r="C33" s="55" t="s">
        <v>205</v>
      </c>
      <c r="D33" s="55">
        <v>816</v>
      </c>
      <c r="E33" s="55" t="s">
        <v>53</v>
      </c>
      <c r="F33" s="55" t="s">
        <v>206</v>
      </c>
      <c r="G33" s="55" t="s">
        <v>207</v>
      </c>
      <c r="H33" s="55" t="s">
        <v>208</v>
      </c>
      <c r="I33" s="58">
        <v>43644.4072337963</v>
      </c>
      <c r="J33" s="58">
        <v>43644.4095486111</v>
      </c>
      <c r="K33" s="55" t="s">
        <v>209</v>
      </c>
      <c r="L33" s="55" t="s">
        <v>210</v>
      </c>
      <c r="M33" s="55" t="s">
        <v>49</v>
      </c>
      <c r="N33" s="55" t="s">
        <v>211</v>
      </c>
      <c r="O33" s="55">
        <v>2</v>
      </c>
      <c r="P33" s="55">
        <v>0</v>
      </c>
      <c r="Q33" s="55" t="s">
        <v>51</v>
      </c>
      <c r="R33" s="58">
        <v>43654.6035532407</v>
      </c>
    </row>
    <row r="34" s="48" customFormat="1" hidden="1" spans="1:18">
      <c r="A34" s="55" t="str">
        <f>VLOOKUP(B34,[1]天猫!$B$3:$H$258,1,FALSE)</f>
        <v>506935233103875371</v>
      </c>
      <c r="B34" s="48" t="str">
        <f>"506935233103875371"</f>
        <v>506935233103875371</v>
      </c>
      <c r="C34" s="48" t="s">
        <v>212</v>
      </c>
      <c r="D34" s="48">
        <v>3104</v>
      </c>
      <c r="E34" s="48" t="s">
        <v>53</v>
      </c>
      <c r="F34" s="48" t="s">
        <v>213</v>
      </c>
      <c r="G34" s="48" t="s">
        <v>214</v>
      </c>
      <c r="H34" s="48" t="s">
        <v>215</v>
      </c>
      <c r="I34" s="51">
        <v>43643.9367592593</v>
      </c>
      <c r="J34" s="51">
        <v>43643.9529976852</v>
      </c>
      <c r="K34" s="48" t="s">
        <v>75</v>
      </c>
      <c r="L34" s="48" t="s">
        <v>216</v>
      </c>
      <c r="M34" s="48" t="s">
        <v>49</v>
      </c>
      <c r="O34" s="48">
        <v>3</v>
      </c>
      <c r="P34" s="48">
        <v>0</v>
      </c>
      <c r="Q34" s="48" t="s">
        <v>51</v>
      </c>
      <c r="R34" s="51">
        <v>43649.3418518519</v>
      </c>
    </row>
    <row r="35" s="56" customFormat="1" spans="1:18">
      <c r="A35" s="55" t="e">
        <f>VLOOKUP(B35,[1]天猫!$B$3:$H$258,1,FALSE)</f>
        <v>#N/A</v>
      </c>
      <c r="B35" s="56" t="str">
        <f>"507242467935159270"</f>
        <v>507242467935159270</v>
      </c>
      <c r="C35" s="56" t="s">
        <v>217</v>
      </c>
      <c r="D35" s="56">
        <v>1799</v>
      </c>
      <c r="E35" s="56" t="s">
        <v>53</v>
      </c>
      <c r="F35" s="56" t="s">
        <v>218</v>
      </c>
      <c r="G35" s="56" t="s">
        <v>219</v>
      </c>
      <c r="H35" s="56" t="s">
        <v>220</v>
      </c>
      <c r="I35" s="59">
        <v>43643.7534490741</v>
      </c>
      <c r="J35" s="59">
        <v>43643.7535648148</v>
      </c>
      <c r="K35" s="56" t="s">
        <v>57</v>
      </c>
      <c r="L35" s="56" t="s">
        <v>221</v>
      </c>
      <c r="M35" s="56" t="s">
        <v>49</v>
      </c>
      <c r="N35" s="56" t="s">
        <v>222</v>
      </c>
      <c r="O35" s="56">
        <v>3</v>
      </c>
      <c r="P35" s="56">
        <v>0</v>
      </c>
      <c r="Q35" s="56" t="s">
        <v>51</v>
      </c>
      <c r="R35" s="59">
        <v>43646.6626967593</v>
      </c>
    </row>
    <row r="36" s="55" customFormat="1" spans="1:18">
      <c r="A36" s="55" t="e">
        <f>VLOOKUP(B36,[1]天猫!$B$3:$H$258,1,FALSE)</f>
        <v>#N/A</v>
      </c>
      <c r="B36" s="55" t="str">
        <f>"285841094982372984"</f>
        <v>285841094982372984</v>
      </c>
      <c r="C36" s="55" t="s">
        <v>223</v>
      </c>
      <c r="D36" s="55">
        <v>1188</v>
      </c>
      <c r="E36" s="55" t="s">
        <v>53</v>
      </c>
      <c r="F36" s="55" t="s">
        <v>224</v>
      </c>
      <c r="G36" s="55" t="s">
        <v>225</v>
      </c>
      <c r="H36" s="55" t="s">
        <v>226</v>
      </c>
      <c r="I36" s="58">
        <v>43643.6858796296</v>
      </c>
      <c r="J36" s="58">
        <v>43643.6859606481</v>
      </c>
      <c r="K36" s="55" t="s">
        <v>227</v>
      </c>
      <c r="L36" s="55" t="s">
        <v>228</v>
      </c>
      <c r="M36" s="55" t="s">
        <v>49</v>
      </c>
      <c r="N36" s="55" t="s">
        <v>229</v>
      </c>
      <c r="O36" s="55">
        <v>2</v>
      </c>
      <c r="P36" s="55">
        <v>0</v>
      </c>
      <c r="Q36" s="55" t="s">
        <v>51</v>
      </c>
      <c r="R36" s="58">
        <v>43645.9417592593</v>
      </c>
    </row>
    <row r="37" s="55" customFormat="1" spans="1:18">
      <c r="A37" s="55" t="e">
        <f>VLOOKUP(B37,[1]天猫!$B$3:$H$258,1,FALSE)</f>
        <v>#N/A</v>
      </c>
      <c r="B37" s="55" t="str">
        <f>"285993287843246286"</f>
        <v>285993287843246286</v>
      </c>
      <c r="C37" s="55" t="s">
        <v>230</v>
      </c>
      <c r="D37" s="55">
        <v>658</v>
      </c>
      <c r="E37" s="55" t="s">
        <v>53</v>
      </c>
      <c r="F37" s="55" t="s">
        <v>231</v>
      </c>
      <c r="G37" s="55" t="s">
        <v>232</v>
      </c>
      <c r="H37" s="55" t="s">
        <v>233</v>
      </c>
      <c r="I37" s="58">
        <v>43643.6834375</v>
      </c>
      <c r="J37" s="58">
        <v>43643.683587963</v>
      </c>
      <c r="K37" s="55" t="s">
        <v>234</v>
      </c>
      <c r="L37" s="55" t="s">
        <v>235</v>
      </c>
      <c r="M37" s="55" t="s">
        <v>49</v>
      </c>
      <c r="N37" s="55" t="s">
        <v>236</v>
      </c>
      <c r="O37" s="55">
        <v>2</v>
      </c>
      <c r="P37" s="55">
        <v>0</v>
      </c>
      <c r="Q37" s="55" t="s">
        <v>51</v>
      </c>
      <c r="R37" s="58">
        <v>43651.3234027778</v>
      </c>
    </row>
    <row r="38" s="55" customFormat="1" spans="1:18">
      <c r="A38" s="55" t="e">
        <f>VLOOKUP(B38,[1]天猫!$B$3:$H$258,1,FALSE)</f>
        <v>#N/A</v>
      </c>
      <c r="B38" s="55" t="str">
        <f>"507126531275056910"</f>
        <v>507126531275056910</v>
      </c>
      <c r="C38" s="55" t="s">
        <v>237</v>
      </c>
      <c r="D38" s="55">
        <v>6397</v>
      </c>
      <c r="E38" s="55" t="s">
        <v>53</v>
      </c>
      <c r="F38" s="55" t="s">
        <v>238</v>
      </c>
      <c r="G38" s="55" t="s">
        <v>239</v>
      </c>
      <c r="H38" s="55" t="s">
        <v>240</v>
      </c>
      <c r="I38" s="58">
        <v>43643.6820486111</v>
      </c>
      <c r="J38" s="58">
        <v>43643.6821064815</v>
      </c>
      <c r="K38" s="55" t="s">
        <v>241</v>
      </c>
      <c r="L38" s="55" t="s">
        <v>242</v>
      </c>
      <c r="M38" s="55" t="s">
        <v>49</v>
      </c>
      <c r="N38" s="55" t="s">
        <v>243</v>
      </c>
      <c r="O38" s="55">
        <v>5</v>
      </c>
      <c r="P38" s="55">
        <v>0</v>
      </c>
      <c r="Q38" s="55" t="s">
        <v>51</v>
      </c>
      <c r="R38" s="58">
        <v>43653.7075</v>
      </c>
    </row>
    <row r="39" s="55" customFormat="1" spans="1:18">
      <c r="A39" s="55" t="e">
        <f>VLOOKUP(B39,[1]天猫!$B$3:$H$258,1,FALSE)</f>
        <v>#N/A</v>
      </c>
      <c r="B39" s="55" t="str">
        <f>"285590628583359285"</f>
        <v>285590628583359285</v>
      </c>
      <c r="C39" s="55" t="s">
        <v>244</v>
      </c>
      <c r="D39" s="55">
        <v>2634</v>
      </c>
      <c r="E39" s="55" t="s">
        <v>53</v>
      </c>
      <c r="F39" s="55" t="s">
        <v>245</v>
      </c>
      <c r="G39" s="55" t="s">
        <v>246</v>
      </c>
      <c r="H39" s="55" t="s">
        <v>247</v>
      </c>
      <c r="I39" s="58">
        <v>43643.6819907407</v>
      </c>
      <c r="J39" s="58">
        <v>43643.6820486111</v>
      </c>
      <c r="K39" s="55" t="s">
        <v>248</v>
      </c>
      <c r="L39" s="55" t="s">
        <v>249</v>
      </c>
      <c r="M39" s="55" t="s">
        <v>49</v>
      </c>
      <c r="N39" s="55" t="s">
        <v>250</v>
      </c>
      <c r="O39" s="55">
        <v>3</v>
      </c>
      <c r="P39" s="55">
        <v>0</v>
      </c>
      <c r="Q39" s="55" t="s">
        <v>51</v>
      </c>
      <c r="R39" s="58">
        <v>43653.7075</v>
      </c>
    </row>
    <row r="40" s="48" customFormat="1" hidden="1" spans="1:18">
      <c r="A40" s="55" t="str">
        <f>VLOOKUP(B40,[1]天猫!$B$3:$H$258,1,FALSE)</f>
        <v>506396449574536530</v>
      </c>
      <c r="B40" s="48" t="str">
        <f>"506396449574536530"</f>
        <v>506396449574536530</v>
      </c>
      <c r="C40" s="48" t="s">
        <v>251</v>
      </c>
      <c r="D40" s="48">
        <v>1999</v>
      </c>
      <c r="E40" s="48" t="s">
        <v>53</v>
      </c>
      <c r="F40" s="48" t="s">
        <v>252</v>
      </c>
      <c r="G40" s="48" t="s">
        <v>253</v>
      </c>
      <c r="H40" s="48" t="s">
        <v>254</v>
      </c>
      <c r="I40" s="51">
        <v>43643.6260069444</v>
      </c>
      <c r="J40" s="51">
        <v>43643.6365740741</v>
      </c>
      <c r="K40" s="48" t="s">
        <v>57</v>
      </c>
      <c r="L40" s="48" t="s">
        <v>255</v>
      </c>
      <c r="M40" s="48" t="s">
        <v>49</v>
      </c>
      <c r="O40" s="48">
        <v>3</v>
      </c>
      <c r="P40" s="48">
        <v>0</v>
      </c>
      <c r="Q40" s="48" t="s">
        <v>51</v>
      </c>
      <c r="R40" s="51">
        <v>43650.5311111111</v>
      </c>
    </row>
    <row r="41" s="55" customFormat="1" spans="1:18">
      <c r="A41" s="55" t="e">
        <f>VLOOKUP(B41,[1]天猫!$B$3:$H$258,1,FALSE)</f>
        <v>#N/A</v>
      </c>
      <c r="B41" s="55" t="str">
        <f>"285799686636795594"</f>
        <v>285799686636795594</v>
      </c>
      <c r="C41" s="55" t="s">
        <v>256</v>
      </c>
      <c r="D41" s="55">
        <v>1999</v>
      </c>
      <c r="E41" s="55" t="s">
        <v>53</v>
      </c>
      <c r="F41" s="55" t="s">
        <v>257</v>
      </c>
      <c r="G41" s="55" t="s">
        <v>258</v>
      </c>
      <c r="H41" s="55" t="s">
        <v>259</v>
      </c>
      <c r="I41" s="58">
        <v>43643.5841550926</v>
      </c>
      <c r="J41" s="58">
        <v>43643.5842013889</v>
      </c>
      <c r="K41" s="55" t="s">
        <v>57</v>
      </c>
      <c r="L41" s="55" t="s">
        <v>260</v>
      </c>
      <c r="M41" s="55" t="s">
        <v>49</v>
      </c>
      <c r="N41" s="55" t="s">
        <v>261</v>
      </c>
      <c r="O41" s="55">
        <v>3</v>
      </c>
      <c r="P41" s="55">
        <v>0</v>
      </c>
      <c r="Q41" s="55" t="s">
        <v>51</v>
      </c>
      <c r="R41" s="58">
        <v>43648.3692824074</v>
      </c>
    </row>
    <row r="42" s="55" customFormat="1" spans="1:18">
      <c r="A42" s="55" t="e">
        <f>VLOOKUP(B42,[1]天猫!$B$3:$H$258,1,FALSE)</f>
        <v>#N/A</v>
      </c>
      <c r="B42" s="55" t="str">
        <f>"505777568017523905"</f>
        <v>505777568017523905</v>
      </c>
      <c r="C42" s="55" t="s">
        <v>262</v>
      </c>
      <c r="D42" s="55">
        <v>1799</v>
      </c>
      <c r="E42" s="55" t="s">
        <v>53</v>
      </c>
      <c r="F42" s="55" t="s">
        <v>263</v>
      </c>
      <c r="G42" s="55" t="s">
        <v>264</v>
      </c>
      <c r="H42" s="55" t="s">
        <v>265</v>
      </c>
      <c r="I42" s="58">
        <v>43643.4749884259</v>
      </c>
      <c r="J42" s="58">
        <v>43643.4808564815</v>
      </c>
      <c r="K42" s="55" t="s">
        <v>57</v>
      </c>
      <c r="L42" s="55" t="s">
        <v>266</v>
      </c>
      <c r="M42" s="55" t="s">
        <v>49</v>
      </c>
      <c r="N42" s="55" t="s">
        <v>267</v>
      </c>
      <c r="O42" s="55">
        <v>3</v>
      </c>
      <c r="P42" s="55">
        <v>0</v>
      </c>
      <c r="Q42" s="55" t="s">
        <v>51</v>
      </c>
      <c r="R42" s="58">
        <v>43653.7074768519</v>
      </c>
    </row>
    <row r="43" s="48" customFormat="1" hidden="1" spans="1:18">
      <c r="A43" s="55" t="str">
        <f>VLOOKUP(B43,[1]天猫!$B$3:$H$258,1,FALSE)</f>
        <v>506044865334758376</v>
      </c>
      <c r="B43" s="48" t="str">
        <f>"506044865334758376"</f>
        <v>506044865334758376</v>
      </c>
      <c r="C43" s="48" t="s">
        <v>268</v>
      </c>
      <c r="D43" s="48">
        <v>1999</v>
      </c>
      <c r="E43" s="48" t="s">
        <v>53</v>
      </c>
      <c r="F43" s="48" t="s">
        <v>269</v>
      </c>
      <c r="G43" s="48" t="s">
        <v>270</v>
      </c>
      <c r="H43" s="48" t="s">
        <v>271</v>
      </c>
      <c r="I43" s="51">
        <v>43643.4295601852</v>
      </c>
      <c r="J43" s="51">
        <v>43643.4336689815</v>
      </c>
      <c r="K43" s="48" t="s">
        <v>57</v>
      </c>
      <c r="L43" s="48" t="s">
        <v>272</v>
      </c>
      <c r="M43" s="48" t="s">
        <v>49</v>
      </c>
      <c r="O43" s="48">
        <v>3</v>
      </c>
      <c r="P43" s="48">
        <v>0</v>
      </c>
      <c r="Q43" s="48" t="s">
        <v>51</v>
      </c>
      <c r="R43" s="51">
        <v>43648.2234953704</v>
      </c>
    </row>
    <row r="44" s="55" customFormat="1" spans="1:18">
      <c r="A44" s="55" t="e">
        <f>VLOOKUP(B44,[1]天猫!$B$3:$H$258,1,FALSE)</f>
        <v>#N/A</v>
      </c>
      <c r="B44" s="55" t="str">
        <f>"506367042578760278"</f>
        <v>506367042578760278</v>
      </c>
      <c r="C44" s="55" t="s">
        <v>273</v>
      </c>
      <c r="D44" s="55">
        <v>1299</v>
      </c>
      <c r="E44" s="55" t="s">
        <v>53</v>
      </c>
      <c r="F44" s="55" t="s">
        <v>274</v>
      </c>
      <c r="G44" s="55" t="s">
        <v>275</v>
      </c>
      <c r="H44" s="55" t="s">
        <v>276</v>
      </c>
      <c r="I44" s="58">
        <v>43643.4266666667</v>
      </c>
      <c r="J44" s="58">
        <v>43643.4283449074</v>
      </c>
      <c r="K44" s="55" t="s">
        <v>277</v>
      </c>
      <c r="L44" s="55" t="s">
        <v>278</v>
      </c>
      <c r="M44" s="55" t="s">
        <v>49</v>
      </c>
      <c r="N44" s="55" t="s">
        <v>279</v>
      </c>
      <c r="O44" s="55">
        <v>2</v>
      </c>
      <c r="P44" s="55">
        <v>0</v>
      </c>
      <c r="Q44" s="55" t="s">
        <v>51</v>
      </c>
      <c r="R44" s="58">
        <v>43653.7074768519</v>
      </c>
    </row>
    <row r="45" s="56" customFormat="1" spans="1:18">
      <c r="A45" s="55" t="e">
        <f>VLOOKUP(B45,[1]天猫!$B$3:$H$258,1,FALSE)</f>
        <v>#N/A</v>
      </c>
      <c r="B45" s="56" t="str">
        <f>"506083523409722227"</f>
        <v>506083523409722227</v>
      </c>
      <c r="C45" s="56" t="s">
        <v>280</v>
      </c>
      <c r="D45" s="56">
        <v>1398</v>
      </c>
      <c r="E45" s="56" t="s">
        <v>53</v>
      </c>
      <c r="F45" s="56" t="s">
        <v>281</v>
      </c>
      <c r="G45" s="56" t="s">
        <v>282</v>
      </c>
      <c r="H45" s="56" t="s">
        <v>283</v>
      </c>
      <c r="I45" s="59">
        <v>43642.8028587963</v>
      </c>
      <c r="J45" s="59">
        <v>43642.8098263889</v>
      </c>
      <c r="K45" s="56" t="s">
        <v>209</v>
      </c>
      <c r="L45" s="56" t="s">
        <v>284</v>
      </c>
      <c r="M45" s="56" t="s">
        <v>49</v>
      </c>
      <c r="N45" s="56" t="s">
        <v>285</v>
      </c>
      <c r="O45" s="56">
        <v>3</v>
      </c>
      <c r="P45" s="56">
        <v>0</v>
      </c>
      <c r="Q45" s="56" t="s">
        <v>51</v>
      </c>
      <c r="R45" s="59">
        <v>43648.5079050926</v>
      </c>
    </row>
    <row r="46" s="48" customFormat="1" hidden="1" spans="1:18">
      <c r="A46" s="55" t="str">
        <f>VLOOKUP(B46,[1]天猫!$B$3:$H$258,1,FALSE)</f>
        <v>505017568182218669</v>
      </c>
      <c r="B46" s="48" t="str">
        <f>"505017568182218669"</f>
        <v>505017568182218669</v>
      </c>
      <c r="C46" s="48" t="s">
        <v>286</v>
      </c>
      <c r="D46" s="48">
        <v>3899</v>
      </c>
      <c r="E46" s="48" t="s">
        <v>53</v>
      </c>
      <c r="F46" s="48" t="s">
        <v>287</v>
      </c>
      <c r="G46" s="48" t="s">
        <v>288</v>
      </c>
      <c r="H46" s="48" t="s">
        <v>289</v>
      </c>
      <c r="I46" s="51">
        <v>43642.7431944444</v>
      </c>
      <c r="J46" s="51">
        <v>43642.7577893519</v>
      </c>
      <c r="K46" s="48" t="s">
        <v>158</v>
      </c>
      <c r="L46" s="48" t="s">
        <v>290</v>
      </c>
      <c r="M46" s="48" t="s">
        <v>49</v>
      </c>
      <c r="O46" s="48">
        <v>2</v>
      </c>
      <c r="P46" s="48">
        <v>0</v>
      </c>
      <c r="Q46" s="48" t="s">
        <v>51</v>
      </c>
      <c r="R46" s="51">
        <v>43647.7822916667</v>
      </c>
    </row>
    <row r="47" s="55" customFormat="1" spans="1:18">
      <c r="A47" s="55" t="e">
        <f>VLOOKUP(B47,[1]天猫!$B$3:$H$258,1,FALSE)</f>
        <v>#N/A</v>
      </c>
      <c r="B47" s="55" t="str">
        <f>"505224801110631809"</f>
        <v>505224801110631809</v>
      </c>
      <c r="C47" s="55" t="s">
        <v>291</v>
      </c>
      <c r="D47" s="55">
        <v>3199.2</v>
      </c>
      <c r="E47" s="55" t="s">
        <v>53</v>
      </c>
      <c r="F47" s="55" t="s">
        <v>292</v>
      </c>
      <c r="G47" s="55" t="s">
        <v>293</v>
      </c>
      <c r="H47" s="55" t="s">
        <v>294</v>
      </c>
      <c r="I47" s="58">
        <v>43642.6567824074</v>
      </c>
      <c r="J47" s="58">
        <v>43642.6568287037</v>
      </c>
      <c r="K47" s="55" t="s">
        <v>69</v>
      </c>
      <c r="L47" s="55" t="s">
        <v>295</v>
      </c>
      <c r="M47" s="55" t="s">
        <v>49</v>
      </c>
      <c r="N47" s="55" t="s">
        <v>296</v>
      </c>
      <c r="O47" s="55">
        <v>1</v>
      </c>
      <c r="P47" s="55">
        <v>0</v>
      </c>
      <c r="Q47" s="55" t="s">
        <v>51</v>
      </c>
      <c r="R47" s="58">
        <v>43652.7183912037</v>
      </c>
    </row>
    <row r="48" s="48" customFormat="1" hidden="1" spans="1:18">
      <c r="A48" s="55" t="str">
        <f>VLOOKUP(B48,[1]天猫!$B$3:$H$258,1,FALSE)</f>
        <v>505553730168085715</v>
      </c>
      <c r="B48" s="48" t="str">
        <f>"505553730168085715"</f>
        <v>505553730168085715</v>
      </c>
      <c r="C48" s="48" t="s">
        <v>297</v>
      </c>
      <c r="D48" s="48">
        <v>2988</v>
      </c>
      <c r="E48" s="48" t="s">
        <v>53</v>
      </c>
      <c r="F48" s="48" t="s">
        <v>298</v>
      </c>
      <c r="G48" s="48" t="s">
        <v>299</v>
      </c>
      <c r="H48" s="48" t="s">
        <v>300</v>
      </c>
      <c r="I48" s="51">
        <v>43642.6561574074</v>
      </c>
      <c r="J48" s="51">
        <v>43642.6630092593</v>
      </c>
      <c r="K48" s="48" t="s">
        <v>75</v>
      </c>
      <c r="L48" s="48" t="s">
        <v>301</v>
      </c>
      <c r="M48" s="48" t="s">
        <v>49</v>
      </c>
      <c r="O48" s="48">
        <v>3</v>
      </c>
      <c r="P48" s="48">
        <v>0</v>
      </c>
      <c r="Q48" s="48" t="s">
        <v>51</v>
      </c>
      <c r="R48" s="51">
        <v>43645.6723958333</v>
      </c>
    </row>
    <row r="49" s="48" customFormat="1" hidden="1" spans="1:18">
      <c r="A49" s="55" t="str">
        <f>VLOOKUP(B49,[1]天猫!$B$3:$H$258,1,FALSE)</f>
        <v>505199969689695021</v>
      </c>
      <c r="B49" s="48" t="str">
        <f>"505199969689695021"</f>
        <v>505199969689695021</v>
      </c>
      <c r="C49" s="48" t="s">
        <v>302</v>
      </c>
      <c r="D49" s="48">
        <v>2232.8</v>
      </c>
      <c r="E49" s="48" t="s">
        <v>53</v>
      </c>
      <c r="F49" s="48" t="s">
        <v>303</v>
      </c>
      <c r="G49" s="48" t="s">
        <v>304</v>
      </c>
      <c r="H49" s="48" t="s">
        <v>305</v>
      </c>
      <c r="I49" s="51">
        <v>43642.6469444444</v>
      </c>
      <c r="J49" s="51">
        <v>43642.6540393519</v>
      </c>
      <c r="K49" s="48" t="s">
        <v>69</v>
      </c>
      <c r="L49" s="48" t="s">
        <v>306</v>
      </c>
      <c r="M49" s="48" t="s">
        <v>49</v>
      </c>
      <c r="O49" s="48">
        <v>1</v>
      </c>
      <c r="P49" s="48">
        <v>0</v>
      </c>
      <c r="Q49" s="48" t="s">
        <v>51</v>
      </c>
      <c r="R49" s="51">
        <v>43647.7334143519</v>
      </c>
    </row>
    <row r="50" s="48" customFormat="1" hidden="1" spans="1:18">
      <c r="A50" s="55" t="str">
        <f>VLOOKUP(B50,[1]天猫!$B$3:$H$258,1,FALSE)</f>
        <v>505176097525825847</v>
      </c>
      <c r="B50" s="48" t="str">
        <f>"505176097525825847"</f>
        <v>505176097525825847</v>
      </c>
      <c r="C50" s="48" t="s">
        <v>307</v>
      </c>
      <c r="D50" s="48">
        <v>1990</v>
      </c>
      <c r="E50" s="48" t="s">
        <v>53</v>
      </c>
      <c r="F50" s="48" t="s">
        <v>308</v>
      </c>
      <c r="G50" s="48" t="s">
        <v>309</v>
      </c>
      <c r="H50" s="48" t="s">
        <v>310</v>
      </c>
      <c r="I50" s="51">
        <v>43642.6326273148</v>
      </c>
      <c r="J50" s="51">
        <v>43642.6370949074</v>
      </c>
      <c r="K50" s="48" t="s">
        <v>57</v>
      </c>
      <c r="L50" s="48" t="s">
        <v>311</v>
      </c>
      <c r="M50" s="48" t="s">
        <v>49</v>
      </c>
      <c r="O50" s="48">
        <v>3</v>
      </c>
      <c r="P50" s="48">
        <v>0</v>
      </c>
      <c r="Q50" s="48" t="s">
        <v>51</v>
      </c>
      <c r="R50" s="51">
        <v>43651.3698958333</v>
      </c>
    </row>
    <row r="51" s="55" customFormat="1" spans="1:18">
      <c r="A51" s="55" t="e">
        <f>VLOOKUP(B51,[1]天猫!$B$3:$H$258,1,FALSE)</f>
        <v>#N/A</v>
      </c>
      <c r="B51" s="55" t="str">
        <f>"505091393544999578"</f>
        <v>505091393544999578</v>
      </c>
      <c r="C51" s="55" t="s">
        <v>312</v>
      </c>
      <c r="D51" s="55">
        <v>1789</v>
      </c>
      <c r="E51" s="55" t="s">
        <v>53</v>
      </c>
      <c r="F51" s="55" t="s">
        <v>313</v>
      </c>
      <c r="G51" s="55" t="s">
        <v>314</v>
      </c>
      <c r="H51" s="55" t="s">
        <v>315</v>
      </c>
      <c r="I51" s="58">
        <v>43642.5863194444</v>
      </c>
      <c r="J51" s="58">
        <v>43642.5864351852</v>
      </c>
      <c r="K51" s="55" t="s">
        <v>248</v>
      </c>
      <c r="L51" s="55" t="s">
        <v>316</v>
      </c>
      <c r="M51" s="55" t="s">
        <v>49</v>
      </c>
      <c r="N51" s="55" t="s">
        <v>317</v>
      </c>
      <c r="O51" s="55">
        <v>2</v>
      </c>
      <c r="P51" s="55">
        <v>0</v>
      </c>
      <c r="Q51" s="55" t="s">
        <v>51</v>
      </c>
      <c r="R51" s="58">
        <v>43652.7183912037</v>
      </c>
    </row>
    <row r="52" s="48" customFormat="1" hidden="1" spans="1:18">
      <c r="A52" s="55" t="str">
        <f>VLOOKUP(B52,[1]天猫!$B$3:$H$258,1,FALSE)</f>
        <v>285335493851034187</v>
      </c>
      <c r="B52" s="48" t="str">
        <f>"285335493851034187"</f>
        <v>285335493851034187</v>
      </c>
      <c r="C52" s="48" t="s">
        <v>318</v>
      </c>
      <c r="D52" s="48">
        <v>1799</v>
      </c>
      <c r="E52" s="48" t="s">
        <v>53</v>
      </c>
      <c r="F52" s="48" t="s">
        <v>319</v>
      </c>
      <c r="G52" s="48" t="s">
        <v>320</v>
      </c>
      <c r="H52" s="48" t="s">
        <v>321</v>
      </c>
      <c r="I52" s="51">
        <v>43642.440162037</v>
      </c>
      <c r="J52" s="51">
        <v>43642.446087963</v>
      </c>
      <c r="K52" s="48" t="s">
        <v>57</v>
      </c>
      <c r="L52" s="48" t="s">
        <v>322</v>
      </c>
      <c r="M52" s="48" t="s">
        <v>49</v>
      </c>
      <c r="O52" s="48">
        <v>3</v>
      </c>
      <c r="P52" s="48">
        <v>0</v>
      </c>
      <c r="Q52" s="48" t="s">
        <v>51</v>
      </c>
      <c r="R52" s="51">
        <v>43647.7883217593</v>
      </c>
    </row>
    <row r="53" s="56" customFormat="1" spans="1:18">
      <c r="A53" s="55" t="e">
        <f>VLOOKUP(B53,[1]天猫!$B$3:$H$258,1,FALSE)</f>
        <v>#N/A</v>
      </c>
      <c r="B53" s="56" t="str">
        <f>"285334821928013080"</f>
        <v>285334821928013080</v>
      </c>
      <c r="C53" s="56" t="s">
        <v>323</v>
      </c>
      <c r="D53" s="56">
        <v>1799</v>
      </c>
      <c r="E53" s="56" t="s">
        <v>53</v>
      </c>
      <c r="F53" s="56" t="s">
        <v>324</v>
      </c>
      <c r="G53" s="56" t="s">
        <v>325</v>
      </c>
      <c r="H53" s="56" t="s">
        <v>326</v>
      </c>
      <c r="I53" s="59">
        <v>43642.4385648148</v>
      </c>
      <c r="J53" s="59">
        <v>43642.4386921296</v>
      </c>
      <c r="K53" s="56" t="s">
        <v>57</v>
      </c>
      <c r="L53" s="56" t="s">
        <v>327</v>
      </c>
      <c r="M53" s="56" t="s">
        <v>49</v>
      </c>
      <c r="N53" s="56" t="s">
        <v>328</v>
      </c>
      <c r="O53" s="56">
        <v>3</v>
      </c>
      <c r="P53" s="56">
        <v>0</v>
      </c>
      <c r="Q53" s="56" t="s">
        <v>51</v>
      </c>
      <c r="R53" s="59">
        <v>43647.5486111111</v>
      </c>
    </row>
    <row r="54" s="55" customFormat="1" spans="1:18">
      <c r="A54" s="55" t="e">
        <f>VLOOKUP(B54,[1]天猫!$B$3:$H$258,1,FALSE)</f>
        <v>#N/A</v>
      </c>
      <c r="B54" s="55" t="str">
        <f>"285611623587856397"</f>
        <v>285611623587856397</v>
      </c>
      <c r="C54" s="55" t="s">
        <v>329</v>
      </c>
      <c r="D54" s="55">
        <v>1799</v>
      </c>
      <c r="E54" s="55" t="s">
        <v>53</v>
      </c>
      <c r="F54" s="55" t="s">
        <v>330</v>
      </c>
      <c r="G54" s="55" t="s">
        <v>331</v>
      </c>
      <c r="H54" s="55" t="s">
        <v>332</v>
      </c>
      <c r="I54" s="58">
        <v>43642.3608564815</v>
      </c>
      <c r="J54" s="58">
        <v>43642.3609259259</v>
      </c>
      <c r="K54" s="55" t="s">
        <v>57</v>
      </c>
      <c r="L54" s="55" t="s">
        <v>333</v>
      </c>
      <c r="M54" s="55" t="s">
        <v>49</v>
      </c>
      <c r="N54" s="55" t="s">
        <v>334</v>
      </c>
      <c r="O54" s="55">
        <v>3</v>
      </c>
      <c r="P54" s="55">
        <v>0</v>
      </c>
      <c r="Q54" s="55" t="s">
        <v>51</v>
      </c>
      <c r="R54" s="58">
        <v>43644.3921296296</v>
      </c>
    </row>
    <row r="55" s="56" customFormat="1" spans="1:18">
      <c r="A55" s="55" t="e">
        <f>VLOOKUP(B55,[1]天猫!$B$3:$H$258,1,FALSE)</f>
        <v>#N/A</v>
      </c>
      <c r="B55" s="56" t="str">
        <f>"504545953999766462"</f>
        <v>504545953999766462</v>
      </c>
      <c r="C55" s="56" t="s">
        <v>335</v>
      </c>
      <c r="D55" s="56">
        <v>4198</v>
      </c>
      <c r="E55" s="56" t="s">
        <v>53</v>
      </c>
      <c r="F55" s="56" t="s">
        <v>336</v>
      </c>
      <c r="G55" s="56" t="s">
        <v>337</v>
      </c>
      <c r="H55" s="56" t="s">
        <v>338</v>
      </c>
      <c r="I55" s="59">
        <v>43641.9870949074</v>
      </c>
      <c r="J55" s="59">
        <v>43641.9892013889</v>
      </c>
      <c r="K55" s="56" t="s">
        <v>75</v>
      </c>
      <c r="L55" s="56" t="s">
        <v>339</v>
      </c>
      <c r="M55" s="56" t="s">
        <v>49</v>
      </c>
      <c r="N55" s="56" t="s">
        <v>340</v>
      </c>
      <c r="O55" s="56">
        <v>3</v>
      </c>
      <c r="P55" s="56">
        <v>0</v>
      </c>
      <c r="Q55" s="56" t="s">
        <v>341</v>
      </c>
      <c r="R55" s="59">
        <v>43644.4910300926</v>
      </c>
    </row>
    <row r="56" s="56" customFormat="1" spans="1:18">
      <c r="A56" s="55" t="e">
        <f>VLOOKUP(B56,[1]天猫!$B$3:$H$258,1,FALSE)</f>
        <v>#N/A</v>
      </c>
      <c r="B56" s="56" t="str">
        <f>"504534465258987912"</f>
        <v>504534465258987912</v>
      </c>
      <c r="C56" s="56" t="s">
        <v>342</v>
      </c>
      <c r="D56" s="56">
        <v>2068</v>
      </c>
      <c r="E56" s="56" t="s">
        <v>53</v>
      </c>
      <c r="F56" s="56" t="s">
        <v>343</v>
      </c>
      <c r="G56" s="56" t="s">
        <v>344</v>
      </c>
      <c r="H56" s="56" t="s">
        <v>345</v>
      </c>
      <c r="I56" s="59">
        <v>43641.9725231481</v>
      </c>
      <c r="J56" s="59">
        <v>43641.9725694444</v>
      </c>
      <c r="K56" s="56" t="s">
        <v>69</v>
      </c>
      <c r="L56" s="56" t="s">
        <v>346</v>
      </c>
      <c r="M56" s="56" t="s">
        <v>49</v>
      </c>
      <c r="N56" s="56" t="s">
        <v>347</v>
      </c>
      <c r="O56" s="56">
        <v>1</v>
      </c>
      <c r="P56" s="56">
        <v>0</v>
      </c>
      <c r="Q56" s="56" t="s">
        <v>51</v>
      </c>
      <c r="R56" s="59">
        <v>43647.4317013889</v>
      </c>
    </row>
    <row r="57" s="48" customFormat="1" hidden="1" spans="1:18">
      <c r="A57" s="55" t="str">
        <f>VLOOKUP(B57,[1]天猫!$B$3:$H$258,1,FALSE)</f>
        <v>504806882194532982</v>
      </c>
      <c r="B57" s="48" t="str">
        <f>"504806882194532982"</f>
        <v>504806882194532982</v>
      </c>
      <c r="C57" s="48" t="s">
        <v>348</v>
      </c>
      <c r="D57" s="48">
        <v>1990</v>
      </c>
      <c r="E57" s="48" t="s">
        <v>53</v>
      </c>
      <c r="F57" s="48" t="s">
        <v>349</v>
      </c>
      <c r="G57" s="48" t="s">
        <v>350</v>
      </c>
      <c r="H57" s="48" t="s">
        <v>351</v>
      </c>
      <c r="I57" s="51">
        <v>43641.9318634259</v>
      </c>
      <c r="J57" s="51">
        <v>43641.9358333333</v>
      </c>
      <c r="K57" s="48" t="s">
        <v>57</v>
      </c>
      <c r="L57" s="48" t="s">
        <v>352</v>
      </c>
      <c r="M57" s="48" t="s">
        <v>49</v>
      </c>
      <c r="O57" s="48">
        <v>3</v>
      </c>
      <c r="P57" s="48">
        <v>0</v>
      </c>
      <c r="Q57" s="48" t="s">
        <v>51</v>
      </c>
      <c r="R57" s="51">
        <v>43650.9177662037</v>
      </c>
    </row>
    <row r="58" s="56" customFormat="1" spans="1:18">
      <c r="A58" s="55" t="e">
        <f>VLOOKUP(B58,[1]天猫!$B$3:$H$258,1,FALSE)</f>
        <v>#N/A</v>
      </c>
      <c r="B58" s="56" t="str">
        <f>"504767874456639183"</f>
        <v>504767874456639183</v>
      </c>
      <c r="C58" s="56" t="s">
        <v>353</v>
      </c>
      <c r="D58" s="56">
        <v>2228</v>
      </c>
      <c r="E58" s="56" t="s">
        <v>53</v>
      </c>
      <c r="F58" s="56" t="s">
        <v>354</v>
      </c>
      <c r="G58" s="56" t="s">
        <v>355</v>
      </c>
      <c r="H58" s="56" t="s">
        <v>356</v>
      </c>
      <c r="I58" s="59">
        <v>43641.9138425926</v>
      </c>
      <c r="J58" s="59">
        <v>43641.9138888889</v>
      </c>
      <c r="K58" s="56" t="s">
        <v>69</v>
      </c>
      <c r="L58" s="56" t="s">
        <v>357</v>
      </c>
      <c r="M58" s="56" t="s">
        <v>49</v>
      </c>
      <c r="N58" s="56" t="s">
        <v>358</v>
      </c>
      <c r="O58" s="56">
        <v>1</v>
      </c>
      <c r="P58" s="56">
        <v>0</v>
      </c>
      <c r="Q58" s="56" t="s">
        <v>51</v>
      </c>
      <c r="R58" s="59">
        <v>43652.6156712963</v>
      </c>
    </row>
    <row r="59" s="56" customFormat="1" spans="1:18">
      <c r="A59" s="55" t="e">
        <f>VLOOKUP(B59,[1]天猫!$B$3:$H$258,1,FALSE)</f>
        <v>#N/A</v>
      </c>
      <c r="B59" s="56" t="str">
        <f>"504204769151825825"</f>
        <v>504204769151825825</v>
      </c>
      <c r="C59" s="56" t="s">
        <v>359</v>
      </c>
      <c r="D59" s="56">
        <v>1012</v>
      </c>
      <c r="E59" s="56" t="s">
        <v>53</v>
      </c>
      <c r="F59" s="56" t="s">
        <v>360</v>
      </c>
      <c r="G59" s="56" t="s">
        <v>361</v>
      </c>
      <c r="H59" s="56" t="s">
        <v>362</v>
      </c>
      <c r="I59" s="59">
        <v>43641.7935763889</v>
      </c>
      <c r="J59" s="59">
        <v>43641.793900463</v>
      </c>
      <c r="K59" s="56" t="s">
        <v>165</v>
      </c>
      <c r="L59" s="56" t="s">
        <v>363</v>
      </c>
      <c r="M59" s="56" t="s">
        <v>49</v>
      </c>
      <c r="N59" s="56" t="s">
        <v>364</v>
      </c>
      <c r="O59" s="56">
        <v>2</v>
      </c>
      <c r="P59" s="56">
        <v>0</v>
      </c>
      <c r="Q59" s="56" t="s">
        <v>51</v>
      </c>
      <c r="R59" s="59">
        <v>43652.6231018519</v>
      </c>
    </row>
    <row r="60" s="56" customFormat="1" spans="1:18">
      <c r="A60" s="55" t="e">
        <f>VLOOKUP(B60,[1]天猫!$B$3:$H$258,1,FALSE)</f>
        <v>#N/A</v>
      </c>
      <c r="B60" s="56" t="str">
        <f>"504489410116450074"</f>
        <v>504489410116450074</v>
      </c>
      <c r="C60" s="56" t="s">
        <v>365</v>
      </c>
      <c r="D60" s="56">
        <v>1799</v>
      </c>
      <c r="E60" s="56" t="s">
        <v>53</v>
      </c>
      <c r="F60" s="56" t="s">
        <v>366</v>
      </c>
      <c r="G60" s="56" t="s">
        <v>367</v>
      </c>
      <c r="H60" s="56" t="s">
        <v>368</v>
      </c>
      <c r="I60" s="59">
        <v>43641.7584375</v>
      </c>
      <c r="J60" s="59">
        <v>43641.7588541667</v>
      </c>
      <c r="K60" s="56" t="s">
        <v>57</v>
      </c>
      <c r="L60" s="56" t="s">
        <v>369</v>
      </c>
      <c r="M60" s="56" t="s">
        <v>49</v>
      </c>
      <c r="N60" s="56" t="s">
        <v>370</v>
      </c>
      <c r="O60" s="56">
        <v>3</v>
      </c>
      <c r="P60" s="56">
        <v>0</v>
      </c>
      <c r="Q60" s="56" t="s">
        <v>51</v>
      </c>
      <c r="R60" s="59">
        <v>43652.6155787037</v>
      </c>
    </row>
    <row r="61" s="48" customFormat="1" hidden="1" spans="1:18">
      <c r="A61" s="55" t="str">
        <f>VLOOKUP(B61,[1]天猫!$B$3:$H$258,1,FALSE)</f>
        <v>504722563196194023</v>
      </c>
      <c r="B61" s="48" t="str">
        <f>"504722563196194023"</f>
        <v>504722563196194023</v>
      </c>
      <c r="C61" s="48" t="s">
        <v>371</v>
      </c>
      <c r="D61" s="48">
        <v>1714</v>
      </c>
      <c r="E61" s="48" t="s">
        <v>53</v>
      </c>
      <c r="F61" s="48" t="s">
        <v>372</v>
      </c>
      <c r="G61" s="48" t="s">
        <v>373</v>
      </c>
      <c r="H61" s="48" t="s">
        <v>374</v>
      </c>
      <c r="I61" s="51">
        <v>43641.7354513889</v>
      </c>
      <c r="J61" s="51">
        <v>43641.7442824074</v>
      </c>
      <c r="K61" s="48" t="s">
        <v>375</v>
      </c>
      <c r="L61" s="48" t="s">
        <v>376</v>
      </c>
      <c r="M61" s="48" t="s">
        <v>49</v>
      </c>
      <c r="O61" s="48">
        <v>4</v>
      </c>
      <c r="P61" s="48">
        <v>0</v>
      </c>
      <c r="Q61" s="48" t="s">
        <v>51</v>
      </c>
      <c r="R61" s="51">
        <v>43648.4880092593</v>
      </c>
    </row>
    <row r="62" s="55" customFormat="1" spans="1:18">
      <c r="A62" s="55" t="e">
        <f>VLOOKUP(B62,[1]天猫!$B$3:$H$258,1,FALSE)</f>
        <v>#N/A</v>
      </c>
      <c r="B62" s="55" t="str">
        <f>"504617443948160148"</f>
        <v>504617443948160148</v>
      </c>
      <c r="C62" s="55" t="s">
        <v>377</v>
      </c>
      <c r="D62" s="55">
        <v>2866</v>
      </c>
      <c r="E62" s="55" t="s">
        <v>53</v>
      </c>
      <c r="F62" s="55" t="s">
        <v>378</v>
      </c>
      <c r="G62" s="55" t="s">
        <v>379</v>
      </c>
      <c r="H62" s="55" t="s">
        <v>380</v>
      </c>
      <c r="I62" s="58">
        <v>43641.6817476852</v>
      </c>
      <c r="J62" s="58">
        <v>43641.6818055556</v>
      </c>
      <c r="K62" s="55" t="s">
        <v>381</v>
      </c>
      <c r="L62" s="55" t="s">
        <v>382</v>
      </c>
      <c r="M62" s="55" t="s">
        <v>49</v>
      </c>
      <c r="N62" s="55" t="s">
        <v>383</v>
      </c>
      <c r="O62" s="55">
        <v>2</v>
      </c>
      <c r="P62" s="55">
        <v>0</v>
      </c>
      <c r="Q62" s="55" t="s">
        <v>51</v>
      </c>
      <c r="R62" s="58">
        <v>43646.5138194444</v>
      </c>
    </row>
    <row r="63" s="48" customFormat="1" hidden="1" spans="1:18">
      <c r="A63" s="55" t="str">
        <f>VLOOKUP(B63,[1]天猫!$B$3:$H$258,1,FALSE)</f>
        <v>503947777113307668</v>
      </c>
      <c r="B63" s="48" t="str">
        <f>"503947777113307668"</f>
        <v>503947777113307668</v>
      </c>
      <c r="C63" s="48" t="s">
        <v>384</v>
      </c>
      <c r="D63" s="48">
        <v>2232.8</v>
      </c>
      <c r="E63" s="48" t="s">
        <v>53</v>
      </c>
      <c r="F63" s="48" t="s">
        <v>385</v>
      </c>
      <c r="G63" s="48" t="s">
        <v>386</v>
      </c>
      <c r="H63" s="48" t="s">
        <v>387</v>
      </c>
      <c r="I63" s="51">
        <v>43641.6484837963</v>
      </c>
      <c r="J63" s="51">
        <v>43641.6534837963</v>
      </c>
      <c r="K63" s="48" t="s">
        <v>69</v>
      </c>
      <c r="L63" s="48" t="s">
        <v>388</v>
      </c>
      <c r="M63" s="48" t="s">
        <v>49</v>
      </c>
      <c r="O63" s="48">
        <v>1</v>
      </c>
      <c r="P63" s="48">
        <v>0</v>
      </c>
      <c r="Q63" s="48" t="s">
        <v>51</v>
      </c>
      <c r="R63" s="51">
        <v>43651.5907407407</v>
      </c>
    </row>
    <row r="64" s="57" customFormat="1" spans="1:18">
      <c r="A64" s="55" t="e">
        <f>VLOOKUP(B64,[1]天猫!$B$3:$H$258,1,FALSE)</f>
        <v>#N/A</v>
      </c>
      <c r="B64" s="57" t="str">
        <f>"307535854524453507"</f>
        <v>307535854524453507</v>
      </c>
      <c r="C64" s="57" t="s">
        <v>389</v>
      </c>
      <c r="D64" s="57">
        <v>88</v>
      </c>
      <c r="E64" s="57" t="s">
        <v>53</v>
      </c>
      <c r="F64" s="57" t="s">
        <v>390</v>
      </c>
      <c r="G64" s="57" t="s">
        <v>391</v>
      </c>
      <c r="H64" s="57" t="s">
        <v>392</v>
      </c>
      <c r="I64" s="60">
        <v>43641.5905439815</v>
      </c>
      <c r="J64" s="60">
        <v>43641.5906365741</v>
      </c>
      <c r="K64" s="57" t="s">
        <v>95</v>
      </c>
      <c r="L64" s="57" t="s">
        <v>393</v>
      </c>
      <c r="M64" s="57" t="s">
        <v>49</v>
      </c>
      <c r="N64" s="57" t="s">
        <v>394</v>
      </c>
      <c r="O64" s="57">
        <v>88</v>
      </c>
      <c r="P64" s="57">
        <v>0</v>
      </c>
      <c r="Q64" s="57" t="s">
        <v>51</v>
      </c>
      <c r="R64" s="60">
        <v>43643.9085532407</v>
      </c>
    </row>
    <row r="65" s="48" customFormat="1" hidden="1" spans="1:18">
      <c r="A65" s="55" t="str">
        <f>VLOOKUP(B65,[1]天猫!$B$3:$H$258,1,FALSE)</f>
        <v>503696961075112859</v>
      </c>
      <c r="B65" s="48" t="str">
        <f>"503696961075112859"</f>
        <v>503696961075112859</v>
      </c>
      <c r="C65" s="48" t="s">
        <v>395</v>
      </c>
      <c r="D65" s="48">
        <v>2988</v>
      </c>
      <c r="E65" s="48" t="s">
        <v>53</v>
      </c>
      <c r="F65" s="48" t="s">
        <v>396</v>
      </c>
      <c r="G65" s="48" t="s">
        <v>397</v>
      </c>
      <c r="H65" s="48" t="s">
        <v>398</v>
      </c>
      <c r="I65" s="51">
        <v>43641.5067824074</v>
      </c>
      <c r="J65" s="51">
        <v>43641.5128587963</v>
      </c>
      <c r="K65" s="48" t="s">
        <v>75</v>
      </c>
      <c r="L65" s="48" t="s">
        <v>399</v>
      </c>
      <c r="M65" s="48" t="s">
        <v>49</v>
      </c>
      <c r="O65" s="48">
        <v>3</v>
      </c>
      <c r="P65" s="48">
        <v>0</v>
      </c>
      <c r="Q65" s="48" t="s">
        <v>51</v>
      </c>
      <c r="R65" s="51">
        <v>43647.8977199074</v>
      </c>
    </row>
    <row r="66" s="55" customFormat="1" spans="1:18">
      <c r="A66" s="55" t="e">
        <f>VLOOKUP(B66,[1]天猫!$B$3:$H$258,1,FALSE)</f>
        <v>#N/A</v>
      </c>
      <c r="B66" s="55" t="str">
        <f>"285354950637661498"</f>
        <v>285354950637661498</v>
      </c>
      <c r="C66" s="55" t="s">
        <v>400</v>
      </c>
      <c r="D66" s="55">
        <v>3190</v>
      </c>
      <c r="E66" s="55" t="s">
        <v>53</v>
      </c>
      <c r="F66" s="55" t="s">
        <v>401</v>
      </c>
      <c r="G66" s="55" t="s">
        <v>402</v>
      </c>
      <c r="H66" s="55" t="s">
        <v>403</v>
      </c>
      <c r="I66" s="58">
        <v>43641.5052083333</v>
      </c>
      <c r="J66" s="58">
        <v>43641.5053125</v>
      </c>
      <c r="K66" s="55" t="s">
        <v>75</v>
      </c>
      <c r="L66" s="55" t="s">
        <v>404</v>
      </c>
      <c r="M66" s="55" t="s">
        <v>49</v>
      </c>
      <c r="N66" s="55" t="s">
        <v>405</v>
      </c>
      <c r="O66" s="55">
        <v>3</v>
      </c>
      <c r="P66" s="55">
        <v>0</v>
      </c>
      <c r="Q66" s="55" t="s">
        <v>51</v>
      </c>
      <c r="R66" s="58">
        <v>43645.5016435185</v>
      </c>
    </row>
    <row r="67" s="48" customFormat="1" hidden="1" spans="1:18">
      <c r="A67" s="55" t="str">
        <f>VLOOKUP(B67,[1]天猫!$B$3:$H$258,1,FALSE)</f>
        <v>503922242054617048</v>
      </c>
      <c r="B67" s="48" t="str">
        <f>"503922242054617048"</f>
        <v>503922242054617048</v>
      </c>
      <c r="C67" s="48" t="s">
        <v>406</v>
      </c>
      <c r="D67" s="48">
        <v>1999</v>
      </c>
      <c r="E67" s="48" t="s">
        <v>53</v>
      </c>
      <c r="F67" s="48" t="s">
        <v>407</v>
      </c>
      <c r="G67" s="48" t="s">
        <v>408</v>
      </c>
      <c r="H67" s="48" t="s">
        <v>409</v>
      </c>
      <c r="I67" s="51">
        <v>43641.4494560185</v>
      </c>
      <c r="J67" s="51">
        <v>43641.4545486111</v>
      </c>
      <c r="K67" s="48" t="s">
        <v>57</v>
      </c>
      <c r="L67" s="48" t="s">
        <v>410</v>
      </c>
      <c r="M67" s="48" t="s">
        <v>49</v>
      </c>
      <c r="O67" s="48">
        <v>3</v>
      </c>
      <c r="P67" s="48">
        <v>0</v>
      </c>
      <c r="Q67" s="48" t="s">
        <v>51</v>
      </c>
      <c r="R67" s="51">
        <v>43644.4672453704</v>
      </c>
    </row>
    <row r="68" s="56" customFormat="1" spans="1:18">
      <c r="A68" s="55" t="e">
        <f>VLOOKUP(B68,[1]天猫!$B$3:$H$258,1,FALSE)</f>
        <v>#N/A</v>
      </c>
      <c r="B68" s="56" t="str">
        <f>"503265729108942581"</f>
        <v>503265729108942581</v>
      </c>
      <c r="C68" s="56" t="s">
        <v>411</v>
      </c>
      <c r="D68" s="56">
        <v>999</v>
      </c>
      <c r="E68" s="56" t="s">
        <v>53</v>
      </c>
      <c r="F68" s="56" t="s">
        <v>412</v>
      </c>
      <c r="G68" s="56" t="s">
        <v>413</v>
      </c>
      <c r="H68" s="56" t="s">
        <v>414</v>
      </c>
      <c r="I68" s="59">
        <v>43640.9767939815</v>
      </c>
      <c r="J68" s="59">
        <v>43640.9768634259</v>
      </c>
      <c r="K68" s="56" t="s">
        <v>415</v>
      </c>
      <c r="L68" s="56" t="s">
        <v>416</v>
      </c>
      <c r="M68" s="56" t="s">
        <v>49</v>
      </c>
      <c r="N68" s="56" t="s">
        <v>417</v>
      </c>
      <c r="O68" s="56">
        <v>2</v>
      </c>
      <c r="P68" s="56">
        <v>0</v>
      </c>
      <c r="Q68" s="56" t="s">
        <v>51</v>
      </c>
      <c r="R68" s="59">
        <v>43644.3734606481</v>
      </c>
    </row>
    <row r="69" s="56" customFormat="1" spans="1:18">
      <c r="A69" s="55" t="e">
        <f>VLOOKUP(B69,[1]天猫!$B$3:$H$258,1,FALSE)</f>
        <v>#N/A</v>
      </c>
      <c r="B69" s="56" t="str">
        <f>"503576322679109017"</f>
        <v>503576322679109017</v>
      </c>
      <c r="C69" s="56" t="s">
        <v>418</v>
      </c>
      <c r="D69" s="56">
        <v>1799</v>
      </c>
      <c r="E69" s="56" t="s">
        <v>53</v>
      </c>
      <c r="F69" s="56" t="s">
        <v>419</v>
      </c>
      <c r="G69" s="56" t="s">
        <v>420</v>
      </c>
      <c r="H69" s="56" t="s">
        <v>421</v>
      </c>
      <c r="I69" s="59">
        <v>43640.961400463</v>
      </c>
      <c r="J69" s="59">
        <v>43640.9614467593</v>
      </c>
      <c r="K69" s="56" t="s">
        <v>57</v>
      </c>
      <c r="L69" s="56" t="s">
        <v>422</v>
      </c>
      <c r="M69" s="56" t="s">
        <v>49</v>
      </c>
      <c r="N69" s="56" t="s">
        <v>423</v>
      </c>
      <c r="O69" s="56">
        <v>3</v>
      </c>
      <c r="P69" s="56">
        <v>0</v>
      </c>
      <c r="Q69" s="56" t="s">
        <v>51</v>
      </c>
      <c r="R69" s="59">
        <v>43651.9675462963</v>
      </c>
    </row>
    <row r="70" s="48" customFormat="1" hidden="1" spans="1:18">
      <c r="A70" s="55" t="str">
        <f>VLOOKUP(B70,[1]天猫!$B$3:$H$258,1,FALSE)</f>
        <v>502264224072279570</v>
      </c>
      <c r="B70" s="48" t="str">
        <f>"502264224072279570"</f>
        <v>502264224072279570</v>
      </c>
      <c r="C70" s="48" t="s">
        <v>424</v>
      </c>
      <c r="D70" s="48">
        <v>3366</v>
      </c>
      <c r="E70" s="48" t="s">
        <v>53</v>
      </c>
      <c r="F70" s="48" t="s">
        <v>425</v>
      </c>
      <c r="G70" s="48" t="s">
        <v>426</v>
      </c>
      <c r="H70" s="48" t="s">
        <v>427</v>
      </c>
      <c r="I70" s="51">
        <v>43640.6064814815</v>
      </c>
      <c r="J70" s="51">
        <v>43640.6122222222</v>
      </c>
      <c r="K70" s="48" t="s">
        <v>75</v>
      </c>
      <c r="L70" s="48" t="s">
        <v>428</v>
      </c>
      <c r="M70" s="48" t="s">
        <v>49</v>
      </c>
      <c r="O70" s="48">
        <v>3</v>
      </c>
      <c r="P70" s="48">
        <v>0</v>
      </c>
      <c r="Q70" s="48" t="s">
        <v>51</v>
      </c>
      <c r="R70" s="51">
        <v>43646.6802893519</v>
      </c>
    </row>
    <row r="71" s="48" customFormat="1" hidden="1" spans="1:18">
      <c r="A71" s="55" t="str">
        <f>VLOOKUP(B71,[1]天猫!$B$3:$H$258,1,FALSE)</f>
        <v>285249638776598099</v>
      </c>
      <c r="B71" s="48" t="str">
        <f>"285249638776598099"</f>
        <v>285249638776598099</v>
      </c>
      <c r="C71" s="48" t="s">
        <v>429</v>
      </c>
      <c r="D71" s="48">
        <v>1136</v>
      </c>
      <c r="E71" s="48" t="s">
        <v>53</v>
      </c>
      <c r="F71" s="48" t="s">
        <v>430</v>
      </c>
      <c r="G71" s="48" t="s">
        <v>431</v>
      </c>
      <c r="H71" s="48" t="s">
        <v>432</v>
      </c>
      <c r="I71" s="51">
        <v>43640.5125925926</v>
      </c>
      <c r="J71" s="51">
        <v>43640.5187615741</v>
      </c>
      <c r="K71" s="48" t="s">
        <v>108</v>
      </c>
      <c r="L71" s="48" t="s">
        <v>433</v>
      </c>
      <c r="M71" s="48" t="s">
        <v>49</v>
      </c>
      <c r="O71" s="48">
        <v>3</v>
      </c>
      <c r="P71" s="48">
        <v>0</v>
      </c>
      <c r="Q71" s="48" t="s">
        <v>51</v>
      </c>
      <c r="R71" s="51">
        <v>43642.629849537</v>
      </c>
    </row>
    <row r="72" s="48" customFormat="1" hidden="1" spans="1:18">
      <c r="A72" s="55" t="str">
        <f>VLOOKUP(B72,[1]天猫!$B$3:$H$258,1,FALSE)</f>
        <v>307290605052844300</v>
      </c>
      <c r="B72" s="48" t="str">
        <f>"307290605052844300"</f>
        <v>307290605052844300</v>
      </c>
      <c r="C72" s="48" t="s">
        <v>434</v>
      </c>
      <c r="D72" s="48">
        <v>1990</v>
      </c>
      <c r="E72" s="48" t="s">
        <v>53</v>
      </c>
      <c r="F72" s="48" t="s">
        <v>435</v>
      </c>
      <c r="G72" s="48" t="s">
        <v>436</v>
      </c>
      <c r="H72" s="48" t="s">
        <v>437</v>
      </c>
      <c r="I72" s="51">
        <v>43640.4690972222</v>
      </c>
      <c r="J72" s="51">
        <v>43640.4730671296</v>
      </c>
      <c r="K72" s="48" t="s">
        <v>57</v>
      </c>
      <c r="L72" s="48" t="s">
        <v>438</v>
      </c>
      <c r="M72" s="48" t="s">
        <v>49</v>
      </c>
      <c r="O72" s="48">
        <v>3</v>
      </c>
      <c r="P72" s="48">
        <v>0</v>
      </c>
      <c r="Q72" s="48" t="s">
        <v>51</v>
      </c>
      <c r="R72" s="51">
        <v>43646.4753819444</v>
      </c>
    </row>
    <row r="73" s="55" customFormat="1" spans="1:18">
      <c r="A73" s="55" t="e">
        <f>VLOOKUP(B73,[1]天猫!$B$3:$H$258,1,FALSE)</f>
        <v>#N/A</v>
      </c>
      <c r="B73" s="55" t="str">
        <f>"502956931839707483"</f>
        <v>502956931839707483</v>
      </c>
      <c r="C73" s="55" t="s">
        <v>439</v>
      </c>
      <c r="D73" s="55">
        <v>1749</v>
      </c>
      <c r="E73" s="55" t="s">
        <v>53</v>
      </c>
      <c r="F73" s="55" t="s">
        <v>440</v>
      </c>
      <c r="G73" s="55" t="s">
        <v>441</v>
      </c>
      <c r="H73" s="55" t="s">
        <v>442</v>
      </c>
      <c r="I73" s="58">
        <v>43640.4496990741</v>
      </c>
      <c r="J73" s="58">
        <v>43640.4505092593</v>
      </c>
      <c r="K73" s="55" t="s">
        <v>57</v>
      </c>
      <c r="L73" s="55" t="s">
        <v>443</v>
      </c>
      <c r="M73" s="55" t="s">
        <v>49</v>
      </c>
      <c r="N73" s="55" t="s">
        <v>444</v>
      </c>
      <c r="O73" s="55">
        <v>3</v>
      </c>
      <c r="P73" s="55">
        <v>0</v>
      </c>
      <c r="Q73" s="55" t="s">
        <v>51</v>
      </c>
      <c r="R73" s="58">
        <v>43650.6896527778</v>
      </c>
    </row>
    <row r="74" s="48" customFormat="1" hidden="1" spans="1:18">
      <c r="A74" s="55" t="str">
        <f>VLOOKUP(B74,[1]天猫!$B$3:$H$258,1,FALSE)</f>
        <v>502627650647163829</v>
      </c>
      <c r="B74" s="48" t="str">
        <f>"502627650647163829"</f>
        <v>502627650647163829</v>
      </c>
      <c r="C74" s="48" t="s">
        <v>445</v>
      </c>
      <c r="D74" s="48">
        <v>1999</v>
      </c>
      <c r="E74" s="48" t="s">
        <v>53</v>
      </c>
      <c r="F74" s="48" t="s">
        <v>446</v>
      </c>
      <c r="G74" s="48" t="s">
        <v>447</v>
      </c>
      <c r="H74" s="48" t="s">
        <v>448</v>
      </c>
      <c r="I74" s="51">
        <v>43640.424849537</v>
      </c>
      <c r="J74" s="51">
        <v>43640.43375</v>
      </c>
      <c r="K74" s="48" t="s">
        <v>57</v>
      </c>
      <c r="L74" s="48" t="s">
        <v>449</v>
      </c>
      <c r="M74" s="48" t="s">
        <v>49</v>
      </c>
      <c r="O74" s="48">
        <v>3</v>
      </c>
      <c r="P74" s="48">
        <v>0</v>
      </c>
      <c r="Q74" s="48" t="s">
        <v>51</v>
      </c>
      <c r="R74" s="51">
        <v>43644.5256365741</v>
      </c>
    </row>
    <row r="75" s="55" customFormat="1" spans="1:18">
      <c r="A75" s="55" t="e">
        <f>VLOOKUP(B75,[1]天猫!$B$3:$H$258,1,FALSE)</f>
        <v>#N/A</v>
      </c>
      <c r="B75" s="55" t="str">
        <f>"502090433540727461"</f>
        <v>502090433540727461</v>
      </c>
      <c r="C75" s="55" t="s">
        <v>450</v>
      </c>
      <c r="D75" s="55">
        <v>2299</v>
      </c>
      <c r="E75" s="55" t="s">
        <v>53</v>
      </c>
      <c r="F75" s="55" t="s">
        <v>451</v>
      </c>
      <c r="G75" s="55" t="s">
        <v>452</v>
      </c>
      <c r="H75" s="55" t="s">
        <v>453</v>
      </c>
      <c r="I75" s="58">
        <v>43640.0391550926</v>
      </c>
      <c r="J75" s="58">
        <v>43640.0392592593</v>
      </c>
      <c r="K75" s="55" t="s">
        <v>454</v>
      </c>
      <c r="L75" s="55" t="s">
        <v>455</v>
      </c>
      <c r="M75" s="55" t="s">
        <v>49</v>
      </c>
      <c r="N75" s="55" t="s">
        <v>456</v>
      </c>
      <c r="O75" s="55">
        <v>1</v>
      </c>
      <c r="P75" s="55">
        <v>0</v>
      </c>
      <c r="Q75" s="55" t="s">
        <v>51</v>
      </c>
      <c r="R75" s="58">
        <v>43650.6906365741</v>
      </c>
    </row>
    <row r="76" s="55" customFormat="1" spans="1:18">
      <c r="A76" s="55" t="e">
        <f>VLOOKUP(B76,[1]天猫!$B$3:$H$258,1,FALSE)</f>
        <v>#N/A</v>
      </c>
      <c r="B76" s="55" t="str">
        <f>"501664672787757889"</f>
        <v>501664672787757889</v>
      </c>
      <c r="C76" s="55" t="s">
        <v>457</v>
      </c>
      <c r="D76" s="55">
        <v>999</v>
      </c>
      <c r="E76" s="55" t="s">
        <v>53</v>
      </c>
      <c r="F76" s="55" t="s">
        <v>458</v>
      </c>
      <c r="G76" s="55" t="s">
        <v>459</v>
      </c>
      <c r="H76" s="55" t="s">
        <v>460</v>
      </c>
      <c r="I76" s="58">
        <v>43639.9754513889</v>
      </c>
      <c r="J76" s="58">
        <v>43639.9754861111</v>
      </c>
      <c r="K76" s="55" t="s">
        <v>47</v>
      </c>
      <c r="L76" s="55" t="s">
        <v>461</v>
      </c>
      <c r="M76" s="55" t="s">
        <v>49</v>
      </c>
      <c r="N76" s="55" t="s">
        <v>462</v>
      </c>
      <c r="O76" s="55">
        <v>2</v>
      </c>
      <c r="P76" s="55">
        <v>0</v>
      </c>
      <c r="Q76" s="55" t="s">
        <v>51</v>
      </c>
      <c r="R76" s="58">
        <v>43650.6917939815</v>
      </c>
    </row>
    <row r="77" s="55" customFormat="1" spans="1:18">
      <c r="A77" s="55" t="e">
        <f>VLOOKUP(B77,[1]天猫!$B$3:$H$258,1,FALSE)</f>
        <v>#N/A</v>
      </c>
      <c r="B77" s="55" t="str">
        <f>"501976705232100431"</f>
        <v>501976705232100431</v>
      </c>
      <c r="C77" s="55" t="s">
        <v>463</v>
      </c>
      <c r="D77" s="55">
        <v>1999</v>
      </c>
      <c r="E77" s="55" t="s">
        <v>53</v>
      </c>
      <c r="F77" s="55" t="s">
        <v>464</v>
      </c>
      <c r="G77" s="55" t="s">
        <v>465</v>
      </c>
      <c r="H77" s="55" t="s">
        <v>466</v>
      </c>
      <c r="I77" s="58">
        <v>43639.9330208333</v>
      </c>
      <c r="J77" s="58">
        <v>43639.9354976852</v>
      </c>
      <c r="K77" s="55" t="s">
        <v>57</v>
      </c>
      <c r="L77" s="55" t="s">
        <v>467</v>
      </c>
      <c r="M77" s="55" t="s">
        <v>49</v>
      </c>
      <c r="N77" s="55" t="s">
        <v>468</v>
      </c>
      <c r="O77" s="55">
        <v>3</v>
      </c>
      <c r="P77" s="55">
        <v>0</v>
      </c>
      <c r="Q77" s="55" t="s">
        <v>51</v>
      </c>
      <c r="R77" s="58">
        <v>43646.4260416667</v>
      </c>
    </row>
    <row r="78" s="55" customFormat="1" spans="1:18">
      <c r="A78" s="55" t="e">
        <f>VLOOKUP(B78,[1]天猫!$B$3:$H$258,1,FALSE)</f>
        <v>#N/A</v>
      </c>
      <c r="B78" s="55" t="str">
        <f>"502456611683358059"</f>
        <v>502456611683358059</v>
      </c>
      <c r="C78" s="55" t="s">
        <v>469</v>
      </c>
      <c r="D78" s="55">
        <v>1799</v>
      </c>
      <c r="E78" s="55" t="s">
        <v>53</v>
      </c>
      <c r="F78" s="55" t="s">
        <v>470</v>
      </c>
      <c r="G78" s="55" t="s">
        <v>471</v>
      </c>
      <c r="H78" s="55" t="s">
        <v>472</v>
      </c>
      <c r="I78" s="58">
        <v>43639.863275463</v>
      </c>
      <c r="J78" s="58">
        <v>43639.8633680556</v>
      </c>
      <c r="K78" s="55" t="s">
        <v>57</v>
      </c>
      <c r="L78" s="55" t="s">
        <v>473</v>
      </c>
      <c r="M78" s="55" t="s">
        <v>49</v>
      </c>
      <c r="N78" s="55" t="s">
        <v>474</v>
      </c>
      <c r="O78" s="55">
        <v>3</v>
      </c>
      <c r="P78" s="55">
        <v>0</v>
      </c>
      <c r="Q78" s="55" t="s">
        <v>341</v>
      </c>
      <c r="R78" s="58">
        <v>43650.6906134259</v>
      </c>
    </row>
    <row r="79" s="55" customFormat="1" spans="1:18">
      <c r="A79" s="55" t="e">
        <f>VLOOKUP(B79,[1]天猫!$B$3:$H$258,1,FALSE)</f>
        <v>#N/A</v>
      </c>
      <c r="B79" s="55" t="str">
        <f>"284927364559913594"</f>
        <v>284927364559913594</v>
      </c>
      <c r="C79" s="55" t="s">
        <v>475</v>
      </c>
      <c r="D79" s="55">
        <v>2899.2</v>
      </c>
      <c r="E79" s="55" t="s">
        <v>53</v>
      </c>
      <c r="F79" s="55" t="s">
        <v>476</v>
      </c>
      <c r="G79" s="55" t="s">
        <v>477</v>
      </c>
      <c r="H79" s="55" t="s">
        <v>478</v>
      </c>
      <c r="I79" s="58">
        <v>43639.7768518518</v>
      </c>
      <c r="J79" s="58">
        <v>43639.7809953704</v>
      </c>
      <c r="K79" s="55" t="s">
        <v>69</v>
      </c>
      <c r="L79" s="55" t="s">
        <v>479</v>
      </c>
      <c r="M79" s="55" t="s">
        <v>49</v>
      </c>
      <c r="N79" s="55" t="s">
        <v>480</v>
      </c>
      <c r="O79" s="55">
        <v>1</v>
      </c>
      <c r="P79" s="55">
        <v>0</v>
      </c>
      <c r="Q79" s="55" t="s">
        <v>51</v>
      </c>
      <c r="R79" s="58">
        <v>43653.6879166667</v>
      </c>
    </row>
    <row r="80" s="55" customFormat="1" spans="1:18">
      <c r="A80" s="55" t="e">
        <f>VLOOKUP(B80,[1]天猫!$B$3:$H$258,1,FALSE)</f>
        <v>#N/A</v>
      </c>
      <c r="B80" s="55" t="str">
        <f>"307220653519645907"</f>
        <v>307220653519645907</v>
      </c>
      <c r="C80" s="55" t="s">
        <v>481</v>
      </c>
      <c r="D80" s="55">
        <v>3199</v>
      </c>
      <c r="E80" s="55" t="s">
        <v>53</v>
      </c>
      <c r="F80" s="55" t="s">
        <v>482</v>
      </c>
      <c r="G80" s="55" t="s">
        <v>483</v>
      </c>
      <c r="H80" s="55" t="s">
        <v>484</v>
      </c>
      <c r="I80" s="58">
        <v>43639.7288541667</v>
      </c>
      <c r="J80" s="58">
        <v>43639.7299305556</v>
      </c>
      <c r="K80" s="55" t="s">
        <v>75</v>
      </c>
      <c r="L80" s="55" t="s">
        <v>485</v>
      </c>
      <c r="M80" s="55" t="s">
        <v>49</v>
      </c>
      <c r="N80" s="55" t="s">
        <v>486</v>
      </c>
      <c r="O80" s="55">
        <v>3</v>
      </c>
      <c r="P80" s="55">
        <v>0</v>
      </c>
      <c r="Q80" s="55" t="s">
        <v>51</v>
      </c>
      <c r="R80" s="58">
        <v>43647.4870949074</v>
      </c>
    </row>
    <row r="81" s="48" customFormat="1" hidden="1" spans="1:18">
      <c r="A81" s="55" t="str">
        <f>VLOOKUP(B81,[1]天猫!$B$3:$H$258,1,FALSE)</f>
        <v>501876450429794791</v>
      </c>
      <c r="B81" s="48" t="str">
        <f>"501876450429794791"</f>
        <v>501876450429794791</v>
      </c>
      <c r="C81" s="48" t="s">
        <v>487</v>
      </c>
      <c r="D81" s="48">
        <v>2988</v>
      </c>
      <c r="E81" s="48" t="s">
        <v>53</v>
      </c>
      <c r="F81" s="48" t="s">
        <v>488</v>
      </c>
      <c r="G81" s="48" t="s">
        <v>489</v>
      </c>
      <c r="H81" s="48" t="s">
        <v>490</v>
      </c>
      <c r="I81" s="51">
        <v>43639.7013194444</v>
      </c>
      <c r="J81" s="51">
        <v>43639.715150463</v>
      </c>
      <c r="K81" s="48" t="s">
        <v>75</v>
      </c>
      <c r="L81" s="48" t="s">
        <v>491</v>
      </c>
      <c r="M81" s="48" t="s">
        <v>49</v>
      </c>
      <c r="O81" s="48">
        <v>3</v>
      </c>
      <c r="P81" s="48">
        <v>0</v>
      </c>
      <c r="Q81" s="48" t="s">
        <v>51</v>
      </c>
      <c r="R81" s="51">
        <v>43645.5898842593</v>
      </c>
    </row>
    <row r="82" s="55" customFormat="1" spans="1:18">
      <c r="A82" s="55" t="e">
        <f>VLOOKUP(B82,[1]天猫!$B$3:$H$258,1,FALSE)</f>
        <v>#N/A</v>
      </c>
      <c r="B82" s="55" t="str">
        <f>"500908864296366839"</f>
        <v>500908864296366839</v>
      </c>
      <c r="C82" s="55" t="s">
        <v>492</v>
      </c>
      <c r="D82" s="55">
        <v>816</v>
      </c>
      <c r="E82" s="55" t="s">
        <v>53</v>
      </c>
      <c r="F82" s="55" t="s">
        <v>493</v>
      </c>
      <c r="G82" s="55" t="s">
        <v>494</v>
      </c>
      <c r="H82" s="55" t="s">
        <v>495</v>
      </c>
      <c r="I82" s="58">
        <v>43639.5696990741</v>
      </c>
      <c r="J82" s="58">
        <v>43639.5697453704</v>
      </c>
      <c r="K82" s="55" t="s">
        <v>209</v>
      </c>
      <c r="L82" s="55" t="s">
        <v>496</v>
      </c>
      <c r="M82" s="55" t="s">
        <v>49</v>
      </c>
      <c r="N82" s="55" t="s">
        <v>497</v>
      </c>
      <c r="O82" s="55">
        <v>2</v>
      </c>
      <c r="P82" s="55">
        <v>0</v>
      </c>
      <c r="Q82" s="55" t="s">
        <v>51</v>
      </c>
      <c r="R82" s="58">
        <v>43649.7744907407</v>
      </c>
    </row>
    <row r="83" s="48" customFormat="1" hidden="1" spans="1:18">
      <c r="A83" s="55" t="str">
        <f>VLOOKUP(B83,[1]天猫!$B$3:$H$258,1,FALSE)</f>
        <v>500969089875585425</v>
      </c>
      <c r="B83" s="48" t="str">
        <f>"500969089875585425"</f>
        <v>500969089875585425</v>
      </c>
      <c r="C83" s="48" t="s">
        <v>498</v>
      </c>
      <c r="D83" s="48">
        <v>1999</v>
      </c>
      <c r="E83" s="48" t="s">
        <v>53</v>
      </c>
      <c r="F83" s="48" t="s">
        <v>499</v>
      </c>
      <c r="G83" s="48" t="s">
        <v>500</v>
      </c>
      <c r="H83" s="48" t="s">
        <v>501</v>
      </c>
      <c r="I83" s="51">
        <v>43639.4174884259</v>
      </c>
      <c r="J83" s="51">
        <v>43639.5651388889</v>
      </c>
      <c r="K83" s="48" t="s">
        <v>57</v>
      </c>
      <c r="L83" s="48" t="s">
        <v>502</v>
      </c>
      <c r="M83" s="48" t="s">
        <v>49</v>
      </c>
      <c r="O83" s="48">
        <v>3</v>
      </c>
      <c r="P83" s="48">
        <v>0</v>
      </c>
      <c r="Q83" s="48" t="s">
        <v>51</v>
      </c>
      <c r="R83" s="51">
        <v>43645.2424421296</v>
      </c>
    </row>
    <row r="84" s="48" customFormat="1" spans="1:18">
      <c r="A84" s="55" t="e">
        <f>VLOOKUP(B84,[1]天猫!$B$3:$H$258,1,FALSE)</f>
        <v>#N/A</v>
      </c>
      <c r="B84" s="48" t="str">
        <f>"500967361561069033"</f>
        <v>500967361561069033</v>
      </c>
      <c r="C84" s="48" t="s">
        <v>503</v>
      </c>
      <c r="D84" s="48">
        <v>1990</v>
      </c>
      <c r="E84" s="48" t="s">
        <v>53</v>
      </c>
      <c r="F84" s="48" t="s">
        <v>504</v>
      </c>
      <c r="G84" s="48" t="s">
        <v>505</v>
      </c>
      <c r="H84" s="48" t="s">
        <v>506</v>
      </c>
      <c r="I84" s="51">
        <v>43639.414849537</v>
      </c>
      <c r="J84" s="51">
        <v>43639.4337962963</v>
      </c>
      <c r="K84" s="48" t="s">
        <v>57</v>
      </c>
      <c r="L84" s="48" t="s">
        <v>507</v>
      </c>
      <c r="M84" s="48" t="s">
        <v>49</v>
      </c>
      <c r="O84" s="48">
        <v>3</v>
      </c>
      <c r="P84" s="48">
        <v>0</v>
      </c>
      <c r="Q84" s="48" t="s">
        <v>51</v>
      </c>
      <c r="R84" s="51">
        <v>43641.9865162037</v>
      </c>
    </row>
    <row r="85" s="56" customFormat="1" spans="1:18">
      <c r="A85" s="55" t="e">
        <f>VLOOKUP(B85,[1]天猫!$B$3:$H$258,1,FALSE)</f>
        <v>#N/A</v>
      </c>
      <c r="B85" s="56" t="str">
        <f>"307570031046014303"</f>
        <v>307570031046014303</v>
      </c>
      <c r="C85" s="56" t="s">
        <v>508</v>
      </c>
      <c r="D85" s="56">
        <v>1799</v>
      </c>
      <c r="E85" s="56" t="s">
        <v>53</v>
      </c>
      <c r="F85" s="56" t="s">
        <v>509</v>
      </c>
      <c r="G85" s="56" t="s">
        <v>510</v>
      </c>
      <c r="H85" s="56" t="s">
        <v>511</v>
      </c>
      <c r="I85" s="59">
        <v>43638.7776736111</v>
      </c>
      <c r="J85" s="59">
        <v>43638.7777662037</v>
      </c>
      <c r="K85" s="56" t="s">
        <v>57</v>
      </c>
      <c r="L85" s="56" t="s">
        <v>512</v>
      </c>
      <c r="M85" s="56" t="s">
        <v>49</v>
      </c>
      <c r="N85" s="56" t="s">
        <v>513</v>
      </c>
      <c r="O85" s="56">
        <v>3</v>
      </c>
      <c r="P85" s="56">
        <v>0</v>
      </c>
      <c r="Q85" s="56" t="s">
        <v>51</v>
      </c>
      <c r="R85" s="59">
        <v>43641.9033333333</v>
      </c>
    </row>
    <row r="86" s="48" customFormat="1" hidden="1" spans="1:18">
      <c r="A86" s="55" t="str">
        <f>VLOOKUP(B86,[1]天猫!$B$3:$H$258,1,FALSE)</f>
        <v>500898115747287166</v>
      </c>
      <c r="B86" s="48" t="str">
        <f>"500898115747287166"</f>
        <v>500898115747287166</v>
      </c>
      <c r="C86" s="48" t="s">
        <v>514</v>
      </c>
      <c r="D86" s="48">
        <v>2384</v>
      </c>
      <c r="E86" s="48" t="s">
        <v>53</v>
      </c>
      <c r="F86" s="48" t="s">
        <v>515</v>
      </c>
      <c r="G86" s="48" t="s">
        <v>516</v>
      </c>
      <c r="H86" s="48" t="s">
        <v>517</v>
      </c>
      <c r="I86" s="51">
        <v>43638.7234722222</v>
      </c>
      <c r="J86" s="51">
        <v>43638.7378703704</v>
      </c>
      <c r="K86" s="48" t="s">
        <v>165</v>
      </c>
      <c r="L86" s="48" t="s">
        <v>518</v>
      </c>
      <c r="M86" s="48" t="s">
        <v>49</v>
      </c>
      <c r="O86" s="48">
        <v>2</v>
      </c>
      <c r="P86" s="48">
        <v>0</v>
      </c>
      <c r="Q86" s="48" t="s">
        <v>51</v>
      </c>
      <c r="R86" s="51">
        <v>43646.8459837963</v>
      </c>
    </row>
    <row r="87" s="48" customFormat="1" hidden="1" spans="1:18">
      <c r="A87" s="55" t="str">
        <f>VLOOKUP(B87,[1]天猫!$B$3:$H$258,1,FALSE)</f>
        <v>500785251943550849</v>
      </c>
      <c r="B87" s="48" t="str">
        <f>"500785251943550849"</f>
        <v>500785251943550849</v>
      </c>
      <c r="C87" s="48" t="s">
        <v>519</v>
      </c>
      <c r="D87" s="48">
        <v>2232.8</v>
      </c>
      <c r="E87" s="48" t="s">
        <v>53</v>
      </c>
      <c r="F87" s="48" t="s">
        <v>520</v>
      </c>
      <c r="G87" s="48" t="s">
        <v>521</v>
      </c>
      <c r="H87" s="48" t="s">
        <v>522</v>
      </c>
      <c r="I87" s="51">
        <v>43638.6685763889</v>
      </c>
      <c r="J87" s="51">
        <v>43638.6843518519</v>
      </c>
      <c r="K87" s="48" t="s">
        <v>69</v>
      </c>
      <c r="L87" s="48" t="s">
        <v>523</v>
      </c>
      <c r="M87" s="48" t="s">
        <v>49</v>
      </c>
      <c r="O87" s="48">
        <v>1</v>
      </c>
      <c r="P87" s="48">
        <v>0</v>
      </c>
      <c r="Q87" s="48" t="s">
        <v>51</v>
      </c>
      <c r="R87" s="51">
        <v>43639.5281134259</v>
      </c>
    </row>
    <row r="88" s="55" customFormat="1" spans="1:18">
      <c r="A88" s="55" t="e">
        <f>VLOOKUP(B88,[1]天猫!$B$3:$H$258,1,FALSE)</f>
        <v>#N/A</v>
      </c>
      <c r="B88" s="55" t="str">
        <f>"500137825240702428"</f>
        <v>500137825240702428</v>
      </c>
      <c r="C88" s="55" t="s">
        <v>524</v>
      </c>
      <c r="D88" s="55">
        <v>1699</v>
      </c>
      <c r="E88" s="55" t="s">
        <v>53</v>
      </c>
      <c r="F88" s="55" t="s">
        <v>525</v>
      </c>
      <c r="G88" s="55" t="s">
        <v>526</v>
      </c>
      <c r="H88" s="55" t="s">
        <v>527</v>
      </c>
      <c r="I88" s="58">
        <v>43638.6482638889</v>
      </c>
      <c r="J88" s="58">
        <v>43638.6503240741</v>
      </c>
      <c r="K88" s="55" t="s">
        <v>57</v>
      </c>
      <c r="L88" s="55" t="s">
        <v>528</v>
      </c>
      <c r="M88" s="55" t="s">
        <v>49</v>
      </c>
      <c r="N88" s="55" t="s">
        <v>529</v>
      </c>
      <c r="O88" s="55">
        <v>3</v>
      </c>
      <c r="P88" s="55">
        <v>0</v>
      </c>
      <c r="Q88" s="55" t="s">
        <v>51</v>
      </c>
      <c r="R88" s="58">
        <v>43647.5168634259</v>
      </c>
    </row>
    <row r="89" s="48" customFormat="1" hidden="1" spans="1:18">
      <c r="A89" s="55" t="str">
        <f>VLOOKUP(B89,[1]天猫!$B$3:$H$258,1,FALSE)</f>
        <v>500070177481462267</v>
      </c>
      <c r="B89" s="48" t="str">
        <f>"500070177481462267"</f>
        <v>500070177481462267</v>
      </c>
      <c r="C89" s="48" t="s">
        <v>530</v>
      </c>
      <c r="D89" s="48">
        <v>2532</v>
      </c>
      <c r="E89" s="48" t="s">
        <v>53</v>
      </c>
      <c r="F89" s="48" t="s">
        <v>531</v>
      </c>
      <c r="G89" s="48" t="s">
        <v>532</v>
      </c>
      <c r="H89" s="48" t="s">
        <v>533</v>
      </c>
      <c r="I89" s="51">
        <v>43638.6143055556</v>
      </c>
      <c r="J89" s="51">
        <v>43638.6202314815</v>
      </c>
      <c r="K89" s="48" t="s">
        <v>108</v>
      </c>
      <c r="L89" s="48" t="s">
        <v>534</v>
      </c>
      <c r="M89" s="48" t="s">
        <v>49</v>
      </c>
      <c r="O89" s="48">
        <v>3</v>
      </c>
      <c r="P89" s="48">
        <v>0</v>
      </c>
      <c r="Q89" s="48" t="s">
        <v>51</v>
      </c>
      <c r="R89" s="51">
        <v>43641.7833333333</v>
      </c>
    </row>
    <row r="90" s="48" customFormat="1" hidden="1" spans="1:18">
      <c r="A90" s="55" t="str">
        <f>VLOOKUP(B90,[1]天猫!$B$3:$H$258,1,FALSE)</f>
        <v>499621696479835537</v>
      </c>
      <c r="B90" s="48" t="str">
        <f>"499621696479835537"</f>
        <v>499621696479835537</v>
      </c>
      <c r="C90" s="48" t="s">
        <v>535</v>
      </c>
      <c r="D90" s="48">
        <v>2980</v>
      </c>
      <c r="E90" s="48" t="s">
        <v>53</v>
      </c>
      <c r="F90" s="48" t="s">
        <v>536</v>
      </c>
      <c r="G90" s="48" t="s">
        <v>537</v>
      </c>
      <c r="H90" s="48" t="s">
        <v>538</v>
      </c>
      <c r="I90" s="51">
        <v>43638.570787037</v>
      </c>
      <c r="J90" s="51">
        <v>43638.5774305556</v>
      </c>
      <c r="K90" s="48" t="s">
        <v>75</v>
      </c>
      <c r="L90" s="48" t="s">
        <v>539</v>
      </c>
      <c r="M90" s="48" t="s">
        <v>49</v>
      </c>
      <c r="N90" s="48" t="s">
        <v>540</v>
      </c>
      <c r="O90" s="48">
        <v>3</v>
      </c>
      <c r="P90" s="48">
        <v>0</v>
      </c>
      <c r="Q90" s="48" t="s">
        <v>51</v>
      </c>
      <c r="R90" s="51">
        <v>43642.5122685185</v>
      </c>
    </row>
    <row r="91" s="48" customFormat="1" hidden="1" spans="1:18">
      <c r="A91" s="55" t="str">
        <f>VLOOKUP(B91,[1]天猫!$B$3:$H$258,1,FALSE)</f>
        <v>285040742037827996</v>
      </c>
      <c r="B91" s="48" t="str">
        <f>"285040742037827996"</f>
        <v>285040742037827996</v>
      </c>
      <c r="C91" s="48" t="s">
        <v>541</v>
      </c>
      <c r="D91" s="48">
        <v>1799</v>
      </c>
      <c r="E91" s="48" t="s">
        <v>53</v>
      </c>
      <c r="F91" s="48" t="s">
        <v>542</v>
      </c>
      <c r="G91" s="48" t="s">
        <v>543</v>
      </c>
      <c r="H91" s="48" t="s">
        <v>544</v>
      </c>
      <c r="I91" s="51">
        <v>43638.4986921296</v>
      </c>
      <c r="J91" s="51">
        <v>43638.500150463</v>
      </c>
      <c r="K91" s="48" t="s">
        <v>57</v>
      </c>
      <c r="L91" s="48" t="s">
        <v>545</v>
      </c>
      <c r="M91" s="48" t="s">
        <v>49</v>
      </c>
      <c r="N91" s="48" t="s">
        <v>83</v>
      </c>
      <c r="O91" s="48">
        <v>3</v>
      </c>
      <c r="P91" s="48">
        <v>0</v>
      </c>
      <c r="Q91" s="48" t="s">
        <v>51</v>
      </c>
      <c r="R91" s="51">
        <v>43643.551412037</v>
      </c>
    </row>
    <row r="92" s="48" customFormat="1" hidden="1" spans="1:18">
      <c r="A92" s="55" t="str">
        <f>VLOOKUP(B92,[1]天猫!$B$3:$H$258,1,FALSE)</f>
        <v>500476003405441287</v>
      </c>
      <c r="B92" s="48" t="str">
        <f>"500476003405441287"</f>
        <v>500476003405441287</v>
      </c>
      <c r="C92" s="48" t="s">
        <v>546</v>
      </c>
      <c r="D92" s="48">
        <v>1799</v>
      </c>
      <c r="E92" s="48" t="s">
        <v>53</v>
      </c>
      <c r="F92" s="48" t="s">
        <v>547</v>
      </c>
      <c r="G92" s="48" t="s">
        <v>548</v>
      </c>
      <c r="H92" s="48" t="s">
        <v>549</v>
      </c>
      <c r="I92" s="51">
        <v>43638.4966550926</v>
      </c>
      <c r="J92" s="51">
        <v>43638.5009606481</v>
      </c>
      <c r="K92" s="48" t="s">
        <v>57</v>
      </c>
      <c r="L92" s="48" t="s">
        <v>550</v>
      </c>
      <c r="M92" s="48" t="s">
        <v>49</v>
      </c>
      <c r="N92" s="48" t="s">
        <v>83</v>
      </c>
      <c r="O92" s="48">
        <v>3</v>
      </c>
      <c r="P92" s="48">
        <v>0</v>
      </c>
      <c r="Q92" s="48" t="s">
        <v>51</v>
      </c>
      <c r="R92" s="51">
        <v>43642.3924305556</v>
      </c>
    </row>
    <row r="93" s="56" customFormat="1" spans="1:18">
      <c r="A93" s="55" t="e">
        <f>VLOOKUP(B93,[1]天猫!$B$3:$H$258,1,FALSE)</f>
        <v>#N/A</v>
      </c>
      <c r="B93" s="56" t="str">
        <f>"306886380125270907"</f>
        <v>306886380125270907</v>
      </c>
      <c r="C93" s="56" t="s">
        <v>551</v>
      </c>
      <c r="D93" s="56">
        <v>3000</v>
      </c>
      <c r="E93" s="56" t="s">
        <v>53</v>
      </c>
      <c r="F93" s="56" t="s">
        <v>552</v>
      </c>
      <c r="G93" s="56" t="s">
        <v>553</v>
      </c>
      <c r="H93" s="56" t="s">
        <v>554</v>
      </c>
      <c r="I93" s="59">
        <v>43637.8342476852</v>
      </c>
      <c r="J93" s="59">
        <v>43637.9373726852</v>
      </c>
      <c r="K93" s="56" t="s">
        <v>75</v>
      </c>
      <c r="L93" s="56" t="s">
        <v>555</v>
      </c>
      <c r="M93" s="56" t="s">
        <v>49</v>
      </c>
      <c r="N93" s="56" t="s">
        <v>556</v>
      </c>
      <c r="O93" s="56">
        <v>3</v>
      </c>
      <c r="P93" s="56">
        <v>0</v>
      </c>
      <c r="Q93" s="56" t="s">
        <v>51</v>
      </c>
      <c r="R93" s="59">
        <v>43648.6832291667</v>
      </c>
    </row>
    <row r="94" s="56" customFormat="1" spans="1:18">
      <c r="A94" s="55" t="e">
        <f>VLOOKUP(B94,[1]天猫!$B$3:$H$258,1,FALSE)</f>
        <v>#N/A</v>
      </c>
      <c r="B94" s="56" t="str">
        <f>"499662403459294270"</f>
        <v>499662403459294270</v>
      </c>
      <c r="C94" s="56" t="s">
        <v>557</v>
      </c>
      <c r="D94" s="56">
        <v>2899.2</v>
      </c>
      <c r="E94" s="56" t="s">
        <v>53</v>
      </c>
      <c r="F94" s="56" t="s">
        <v>558</v>
      </c>
      <c r="G94" s="56" t="s">
        <v>559</v>
      </c>
      <c r="H94" s="56" t="s">
        <v>560</v>
      </c>
      <c r="I94" s="59">
        <v>43637.7286226852</v>
      </c>
      <c r="J94" s="59">
        <v>43637.7289351852</v>
      </c>
      <c r="K94" s="56" t="s">
        <v>69</v>
      </c>
      <c r="L94" s="56" t="s">
        <v>561</v>
      </c>
      <c r="M94" s="56" t="s">
        <v>49</v>
      </c>
      <c r="N94" s="56" t="s">
        <v>562</v>
      </c>
      <c r="O94" s="56">
        <v>1</v>
      </c>
      <c r="P94" s="56">
        <v>0</v>
      </c>
      <c r="Q94" s="56" t="s">
        <v>51</v>
      </c>
      <c r="R94" s="59">
        <v>43648.6833333333</v>
      </c>
    </row>
    <row r="95" s="57" customFormat="1" spans="1:18">
      <c r="A95" s="55" t="e">
        <f>VLOOKUP(B95,[1]天猫!$B$3:$H$258,1,FALSE)</f>
        <v>#N/A</v>
      </c>
      <c r="B95" s="57" t="str">
        <f>"499642915999386843"</f>
        <v>499642915999386843</v>
      </c>
      <c r="C95" s="57" t="s">
        <v>563</v>
      </c>
      <c r="D95" s="57">
        <v>50</v>
      </c>
      <c r="E95" s="57" t="s">
        <v>53</v>
      </c>
      <c r="F95" s="57" t="s">
        <v>564</v>
      </c>
      <c r="G95" s="57" t="s">
        <v>565</v>
      </c>
      <c r="H95" s="57" t="s">
        <v>566</v>
      </c>
      <c r="I95" s="60">
        <v>43637.7209259259</v>
      </c>
      <c r="J95" s="60">
        <v>43637.7209606481</v>
      </c>
      <c r="K95" s="57" t="s">
        <v>95</v>
      </c>
      <c r="L95" s="57" t="s">
        <v>567</v>
      </c>
      <c r="M95" s="57" t="s">
        <v>49</v>
      </c>
      <c r="N95" s="57" t="s">
        <v>568</v>
      </c>
      <c r="O95" s="57">
        <v>50</v>
      </c>
      <c r="P95" s="57">
        <v>0</v>
      </c>
      <c r="Q95" s="57" t="s">
        <v>51</v>
      </c>
      <c r="R95" s="60">
        <v>43648.6833333333</v>
      </c>
    </row>
    <row r="96" s="48" customFormat="1" hidden="1" spans="1:18">
      <c r="A96" s="55" t="str">
        <f>VLOOKUP(B96,[1]天猫!$B$3:$H$258,1,FALSE)</f>
        <v>499624451364288349</v>
      </c>
      <c r="B96" s="48" t="str">
        <f>"499624451364288349"</f>
        <v>499624451364288349</v>
      </c>
      <c r="C96" s="48" t="s">
        <v>569</v>
      </c>
      <c r="D96" s="48">
        <v>3899</v>
      </c>
      <c r="E96" s="48" t="s">
        <v>53</v>
      </c>
      <c r="F96" s="48" t="s">
        <v>570</v>
      </c>
      <c r="G96" s="48" t="s">
        <v>571</v>
      </c>
      <c r="H96" s="48" t="s">
        <v>572</v>
      </c>
      <c r="I96" s="51">
        <v>43637.707337963</v>
      </c>
      <c r="J96" s="51">
        <v>43637.7357523148</v>
      </c>
      <c r="K96" s="48" t="s">
        <v>158</v>
      </c>
      <c r="L96" s="48" t="s">
        <v>573</v>
      </c>
      <c r="M96" s="48" t="s">
        <v>49</v>
      </c>
      <c r="O96" s="48">
        <v>2</v>
      </c>
      <c r="P96" s="48">
        <v>0</v>
      </c>
      <c r="Q96" s="48" t="s">
        <v>51</v>
      </c>
      <c r="R96" s="51">
        <v>43648.6832638889</v>
      </c>
    </row>
    <row r="97" s="48" customFormat="1" hidden="1" spans="1:18">
      <c r="A97" s="55" t="str">
        <f>VLOOKUP(B97,[1]天猫!$B$3:$H$258,1,FALSE)</f>
        <v>307109038328721307</v>
      </c>
      <c r="B97" s="48" t="str">
        <f>"307109038328721307"</f>
        <v>307109038328721307</v>
      </c>
      <c r="C97" s="48" t="s">
        <v>574</v>
      </c>
      <c r="D97" s="48">
        <v>832</v>
      </c>
      <c r="E97" s="48" t="s">
        <v>53</v>
      </c>
      <c r="F97" s="48" t="s">
        <v>575</v>
      </c>
      <c r="G97" s="48" t="s">
        <v>576</v>
      </c>
      <c r="H97" s="48" t="s">
        <v>577</v>
      </c>
      <c r="I97" s="51">
        <v>43637.6657407407</v>
      </c>
      <c r="J97" s="51">
        <v>43637.6716435185</v>
      </c>
      <c r="K97" s="48" t="s">
        <v>375</v>
      </c>
      <c r="L97" s="48" t="s">
        <v>578</v>
      </c>
      <c r="M97" s="48" t="s">
        <v>49</v>
      </c>
      <c r="O97" s="48">
        <v>2</v>
      </c>
      <c r="P97" s="48">
        <v>0</v>
      </c>
      <c r="Q97" s="48" t="s">
        <v>51</v>
      </c>
      <c r="R97" s="51">
        <v>43644.7961458333</v>
      </c>
    </row>
    <row r="98" s="48" customFormat="1" hidden="1" spans="1:18">
      <c r="A98" s="55" t="str">
        <f>VLOOKUP(B98,[1]天猫!$B$3:$H$258,1,FALSE)</f>
        <v>498885697593613238</v>
      </c>
      <c r="B98" s="48" t="str">
        <f>"498885697593613238"</f>
        <v>498885697593613238</v>
      </c>
      <c r="C98" s="48" t="s">
        <v>579</v>
      </c>
      <c r="D98" s="48">
        <v>2228</v>
      </c>
      <c r="E98" s="48" t="s">
        <v>53</v>
      </c>
      <c r="F98" s="48" t="s">
        <v>580</v>
      </c>
      <c r="G98" s="48" t="s">
        <v>581</v>
      </c>
      <c r="H98" s="48" t="s">
        <v>582</v>
      </c>
      <c r="I98" s="51">
        <v>43637.6431018518</v>
      </c>
      <c r="J98" s="51">
        <v>43637.6842592593</v>
      </c>
      <c r="K98" s="48" t="s">
        <v>69</v>
      </c>
      <c r="L98" s="48" t="s">
        <v>583</v>
      </c>
      <c r="M98" s="48" t="s">
        <v>49</v>
      </c>
      <c r="O98" s="48">
        <v>1</v>
      </c>
      <c r="P98" s="48">
        <v>0</v>
      </c>
      <c r="Q98" s="48" t="s">
        <v>51</v>
      </c>
      <c r="R98" s="51">
        <v>43644.450625</v>
      </c>
    </row>
    <row r="99" s="57" customFormat="1" spans="1:18">
      <c r="A99" s="55" t="e">
        <f>VLOOKUP(B99,[1]天猫!$B$3:$H$258,1,FALSE)</f>
        <v>#N/A</v>
      </c>
      <c r="B99" s="57" t="str">
        <f>"499393315676123442"</f>
        <v>499393315676123442</v>
      </c>
      <c r="C99" s="57" t="s">
        <v>584</v>
      </c>
      <c r="D99" s="57">
        <v>349</v>
      </c>
      <c r="E99" s="57" t="s">
        <v>53</v>
      </c>
      <c r="F99" s="57" t="s">
        <v>585</v>
      </c>
      <c r="G99" s="57" t="s">
        <v>586</v>
      </c>
      <c r="H99" s="57" t="s">
        <v>587</v>
      </c>
      <c r="I99" s="60">
        <v>43637.5819328704</v>
      </c>
      <c r="J99" s="60">
        <v>43637.5819675926</v>
      </c>
      <c r="K99" s="57" t="s">
        <v>95</v>
      </c>
      <c r="L99" s="57" t="s">
        <v>588</v>
      </c>
      <c r="M99" s="57" t="s">
        <v>49</v>
      </c>
      <c r="N99" s="57" t="s">
        <v>589</v>
      </c>
      <c r="O99" s="57">
        <v>349</v>
      </c>
      <c r="P99" s="57">
        <v>0</v>
      </c>
      <c r="Q99" s="57" t="s">
        <v>51</v>
      </c>
      <c r="R99" s="60">
        <v>43648.683599537</v>
      </c>
    </row>
    <row r="100" s="48" customFormat="1" hidden="1" spans="1:18">
      <c r="A100" s="55" t="str">
        <f>VLOOKUP(B100,[1]天猫!$B$3:$H$258,1,FALSE)</f>
        <v>499040898607344362</v>
      </c>
      <c r="B100" s="48" t="str">
        <f>"499040898607344362"</f>
        <v>499040898607344362</v>
      </c>
      <c r="C100" s="48" t="s">
        <v>590</v>
      </c>
      <c r="D100" s="48">
        <v>2232</v>
      </c>
      <c r="E100" s="48" t="s">
        <v>53</v>
      </c>
      <c r="F100" s="48" t="s">
        <v>590</v>
      </c>
      <c r="G100" s="48" t="s">
        <v>591</v>
      </c>
      <c r="H100" s="48" t="s">
        <v>592</v>
      </c>
      <c r="I100" s="51">
        <v>43637.5269097222</v>
      </c>
      <c r="J100" s="51">
        <v>43637.531412037</v>
      </c>
      <c r="K100" s="48" t="s">
        <v>108</v>
      </c>
      <c r="L100" s="48" t="s">
        <v>593</v>
      </c>
      <c r="M100" s="48" t="s">
        <v>49</v>
      </c>
      <c r="O100" s="48">
        <v>3</v>
      </c>
      <c r="P100" s="48">
        <v>0</v>
      </c>
      <c r="Q100" s="48" t="s">
        <v>51</v>
      </c>
      <c r="R100" s="51">
        <v>43643.3426157407</v>
      </c>
    </row>
    <row r="101" s="48" customFormat="1" hidden="1" spans="1:18">
      <c r="A101" s="55" t="str">
        <f>VLOOKUP(B101,[1]天猫!$B$3:$H$258,1,FALSE)</f>
        <v>306831404138508304</v>
      </c>
      <c r="B101" s="48" t="str">
        <f>"306831404138508304"</f>
        <v>306831404138508304</v>
      </c>
      <c r="C101" s="48" t="s">
        <v>594</v>
      </c>
      <c r="D101" s="48">
        <v>2139</v>
      </c>
      <c r="E101" s="48" t="s">
        <v>53</v>
      </c>
      <c r="F101" s="48" t="s">
        <v>595</v>
      </c>
      <c r="G101" s="48" t="s">
        <v>596</v>
      </c>
      <c r="H101" s="48" t="s">
        <v>597</v>
      </c>
      <c r="I101" s="51">
        <v>43637.4816782407</v>
      </c>
      <c r="J101" s="51">
        <v>43637.4931365741</v>
      </c>
      <c r="K101" s="48" t="s">
        <v>57</v>
      </c>
      <c r="L101" s="48" t="s">
        <v>598</v>
      </c>
      <c r="M101" s="48" t="s">
        <v>49</v>
      </c>
      <c r="O101" s="48">
        <v>3</v>
      </c>
      <c r="P101" s="48">
        <v>0</v>
      </c>
      <c r="Q101" s="48" t="s">
        <v>51</v>
      </c>
      <c r="R101" s="51">
        <v>43647.8383912037</v>
      </c>
    </row>
    <row r="102" s="48" customFormat="1" hidden="1" spans="1:18">
      <c r="A102" s="55" t="str">
        <f>VLOOKUP(B102,[1]天猫!$B$3:$H$258,1,FALSE)</f>
        <v>498224512898080245</v>
      </c>
      <c r="B102" s="48" t="str">
        <f>"498224512898080245"</f>
        <v>498224512898080245</v>
      </c>
      <c r="C102" s="48" t="s">
        <v>599</v>
      </c>
      <c r="D102" s="48">
        <v>1999</v>
      </c>
      <c r="E102" s="48" t="s">
        <v>53</v>
      </c>
      <c r="F102" s="48" t="s">
        <v>600</v>
      </c>
      <c r="G102" s="48" t="s">
        <v>601</v>
      </c>
      <c r="H102" s="48" t="s">
        <v>602</v>
      </c>
      <c r="I102" s="51">
        <v>43637.4686458333</v>
      </c>
      <c r="J102" s="51">
        <v>43637.4808680556</v>
      </c>
      <c r="K102" s="48" t="s">
        <v>57</v>
      </c>
      <c r="L102" s="48" t="s">
        <v>603</v>
      </c>
      <c r="M102" s="48" t="s">
        <v>49</v>
      </c>
      <c r="O102" s="48">
        <v>3</v>
      </c>
      <c r="P102" s="48">
        <v>0</v>
      </c>
      <c r="Q102" s="48" t="s">
        <v>51</v>
      </c>
      <c r="R102" s="51">
        <v>43643.7767939815</v>
      </c>
    </row>
    <row r="103" s="48" customFormat="1" hidden="1" spans="1:18">
      <c r="A103" s="55" t="str">
        <f>VLOOKUP(B103,[1]天猫!$B$3:$H$258,1,FALSE)</f>
        <v>498176768285612754</v>
      </c>
      <c r="B103" s="48" t="str">
        <f>"498176768285612754"</f>
        <v>498176768285612754</v>
      </c>
      <c r="C103" s="48" t="s">
        <v>604</v>
      </c>
      <c r="D103" s="48">
        <v>2988</v>
      </c>
      <c r="E103" s="48" t="s">
        <v>53</v>
      </c>
      <c r="F103" s="48" t="s">
        <v>605</v>
      </c>
      <c r="G103" s="48" t="s">
        <v>606</v>
      </c>
      <c r="H103" s="48" t="s">
        <v>607</v>
      </c>
      <c r="I103" s="51">
        <v>43637.4409143518</v>
      </c>
      <c r="J103" s="51">
        <v>43637.6374074074</v>
      </c>
      <c r="K103" s="48" t="s">
        <v>75</v>
      </c>
      <c r="L103" s="48" t="s">
        <v>608</v>
      </c>
      <c r="M103" s="48" t="s">
        <v>49</v>
      </c>
      <c r="O103" s="48">
        <v>3</v>
      </c>
      <c r="P103" s="48">
        <v>0</v>
      </c>
      <c r="Q103" s="48" t="s">
        <v>51</v>
      </c>
      <c r="R103" s="51">
        <v>43644.6298263889</v>
      </c>
    </row>
    <row r="104" s="57" customFormat="1" spans="1:18">
      <c r="A104" s="55" t="e">
        <f>VLOOKUP(B104,[1]天猫!$B$3:$H$258,1,FALSE)</f>
        <v>#N/A</v>
      </c>
      <c r="B104" s="57" t="str">
        <f>"499117923916473388"</f>
        <v>499117923916473388</v>
      </c>
      <c r="C104" s="57" t="s">
        <v>609</v>
      </c>
      <c r="D104" s="57">
        <v>297</v>
      </c>
      <c r="E104" s="57" t="s">
        <v>53</v>
      </c>
      <c r="F104" s="57" t="s">
        <v>610</v>
      </c>
      <c r="G104" s="57" t="s">
        <v>611</v>
      </c>
      <c r="H104" s="57" t="s">
        <v>612</v>
      </c>
      <c r="I104" s="60">
        <v>43637.4247800926</v>
      </c>
      <c r="J104" s="60">
        <v>43637.4258333333</v>
      </c>
      <c r="K104" s="57" t="s">
        <v>95</v>
      </c>
      <c r="L104" s="57" t="s">
        <v>613</v>
      </c>
      <c r="M104" s="57" t="s">
        <v>49</v>
      </c>
      <c r="N104" s="57" t="s">
        <v>614</v>
      </c>
      <c r="O104" s="57">
        <v>297</v>
      </c>
      <c r="P104" s="57">
        <v>0</v>
      </c>
      <c r="Q104" s="57" t="s">
        <v>51</v>
      </c>
      <c r="R104" s="60">
        <v>43640.5426967593</v>
      </c>
    </row>
    <row r="105" s="55" customFormat="1" spans="1:18">
      <c r="A105" s="55" t="e">
        <f>VLOOKUP(B105,[1]天猫!$B$3:$H$258,1,FALSE)</f>
        <v>#N/A</v>
      </c>
      <c r="B105" s="55" t="str">
        <f>"498176513047686425"</f>
        <v>498176513047686425</v>
      </c>
      <c r="C105" s="55" t="s">
        <v>615</v>
      </c>
      <c r="D105" s="55">
        <v>509</v>
      </c>
      <c r="E105" s="55" t="s">
        <v>53</v>
      </c>
      <c r="F105" s="55" t="s">
        <v>616</v>
      </c>
      <c r="G105" s="55" t="s">
        <v>617</v>
      </c>
      <c r="H105" s="55" t="s">
        <v>618</v>
      </c>
      <c r="I105" s="58">
        <v>43636.9432175926</v>
      </c>
      <c r="J105" s="58">
        <v>43636.9433564815</v>
      </c>
      <c r="K105" s="55" t="s">
        <v>619</v>
      </c>
      <c r="L105" s="55" t="s">
        <v>620</v>
      </c>
      <c r="M105" s="55" t="s">
        <v>49</v>
      </c>
      <c r="N105" s="55" t="s">
        <v>621</v>
      </c>
      <c r="O105" s="55">
        <v>1</v>
      </c>
      <c r="P105" s="55">
        <v>0</v>
      </c>
      <c r="Q105" s="55" t="s">
        <v>51</v>
      </c>
      <c r="R105" s="58">
        <v>43647.5994212963</v>
      </c>
    </row>
    <row r="106" s="56" customFormat="1" spans="1:18">
      <c r="A106" s="55" t="e">
        <f>VLOOKUP(B106,[1]天猫!$B$3:$H$258,1,FALSE)</f>
        <v>#N/A</v>
      </c>
      <c r="B106" s="56" t="str">
        <f>"498688451795126370"</f>
        <v>498688451795126370</v>
      </c>
      <c r="C106" s="56" t="s">
        <v>622</v>
      </c>
      <c r="D106" s="56">
        <v>996.6</v>
      </c>
      <c r="E106" s="56" t="s">
        <v>53</v>
      </c>
      <c r="F106" s="56" t="s">
        <v>623</v>
      </c>
      <c r="G106" s="56" t="s">
        <v>624</v>
      </c>
      <c r="H106" s="56" t="s">
        <v>625</v>
      </c>
      <c r="I106" s="59">
        <v>43636.886712963</v>
      </c>
      <c r="J106" s="59">
        <v>43636.8868518519</v>
      </c>
      <c r="K106" s="56" t="s">
        <v>626</v>
      </c>
      <c r="L106" s="56" t="s">
        <v>627</v>
      </c>
      <c r="M106" s="56" t="s">
        <v>49</v>
      </c>
      <c r="N106" s="56" t="s">
        <v>628</v>
      </c>
      <c r="O106" s="56">
        <v>1</v>
      </c>
      <c r="P106" s="56">
        <v>0</v>
      </c>
      <c r="Q106" s="56" t="s">
        <v>51</v>
      </c>
      <c r="R106" s="59">
        <v>43638.5537615741</v>
      </c>
    </row>
    <row r="107" s="56" customFormat="1" spans="1:17">
      <c r="A107" s="55" t="e">
        <f>VLOOKUP(B107,[1]天猫!$B$3:$H$258,1,FALSE)</f>
        <v>#N/A</v>
      </c>
      <c r="B107" s="56" t="str">
        <f>"497693344987950309"</f>
        <v>497693344987950309</v>
      </c>
      <c r="C107" s="56" t="s">
        <v>629</v>
      </c>
      <c r="D107" s="56">
        <v>1763.12</v>
      </c>
      <c r="E107" s="56" t="s">
        <v>630</v>
      </c>
      <c r="F107" s="56" t="s">
        <v>631</v>
      </c>
      <c r="G107" s="56" t="s">
        <v>632</v>
      </c>
      <c r="H107" s="56" t="s">
        <v>633</v>
      </c>
      <c r="I107" s="59">
        <v>43636.8821412037</v>
      </c>
      <c r="J107" s="59">
        <v>43636.8836921296</v>
      </c>
      <c r="K107" s="56" t="s">
        <v>634</v>
      </c>
      <c r="M107" s="56" t="s">
        <v>635</v>
      </c>
      <c r="N107" s="56" t="s">
        <v>636</v>
      </c>
      <c r="O107" s="56">
        <v>1</v>
      </c>
      <c r="P107" s="56">
        <v>0</v>
      </c>
      <c r="Q107" s="56" t="s">
        <v>51</v>
      </c>
    </row>
    <row r="108" s="56" customFormat="1" spans="1:18">
      <c r="A108" s="55" t="e">
        <f>VLOOKUP(B108,[1]天猫!$B$3:$H$258,1,FALSE)</f>
        <v>#N/A</v>
      </c>
      <c r="B108" s="56" t="str">
        <f>"498287522042358059"</f>
        <v>498287522042358059</v>
      </c>
      <c r="C108" s="56" t="s">
        <v>469</v>
      </c>
      <c r="D108" s="56">
        <v>1973.12</v>
      </c>
      <c r="E108" s="56" t="s">
        <v>53</v>
      </c>
      <c r="F108" s="56" t="s">
        <v>470</v>
      </c>
      <c r="G108" s="56" t="s">
        <v>471</v>
      </c>
      <c r="H108" s="56" t="s">
        <v>472</v>
      </c>
      <c r="I108" s="59">
        <v>43636.8162615741</v>
      </c>
      <c r="J108" s="59">
        <v>43636.8163425926</v>
      </c>
      <c r="K108" s="56" t="s">
        <v>634</v>
      </c>
      <c r="L108" s="56" t="s">
        <v>637</v>
      </c>
      <c r="M108" s="56" t="s">
        <v>49</v>
      </c>
      <c r="N108" s="56" t="s">
        <v>638</v>
      </c>
      <c r="O108" s="56">
        <v>1</v>
      </c>
      <c r="P108" s="56">
        <v>0</v>
      </c>
      <c r="Q108" s="56" t="s">
        <v>341</v>
      </c>
      <c r="R108" s="59">
        <v>43647.5994097222</v>
      </c>
    </row>
    <row r="109" s="56" customFormat="1" spans="1:18">
      <c r="A109" s="55" t="e">
        <f>VLOOKUP(B109,[1]天猫!$B$3:$H$258,1,FALSE)</f>
        <v>#N/A</v>
      </c>
      <c r="B109" s="56" t="str">
        <f>"497889665209012126"</f>
        <v>497889665209012126</v>
      </c>
      <c r="C109" s="56" t="s">
        <v>639</v>
      </c>
      <c r="D109" s="56">
        <v>1763.12</v>
      </c>
      <c r="E109" s="56" t="s">
        <v>53</v>
      </c>
      <c r="F109" s="56" t="s">
        <v>640</v>
      </c>
      <c r="G109" s="56" t="s">
        <v>641</v>
      </c>
      <c r="H109" s="56" t="s">
        <v>642</v>
      </c>
      <c r="I109" s="59">
        <v>43636.7944328704</v>
      </c>
      <c r="J109" s="59">
        <v>43636.7945601852</v>
      </c>
      <c r="K109" s="56" t="s">
        <v>634</v>
      </c>
      <c r="L109" s="56" t="s">
        <v>643</v>
      </c>
      <c r="M109" s="56" t="s">
        <v>49</v>
      </c>
      <c r="N109" s="56" t="s">
        <v>644</v>
      </c>
      <c r="O109" s="56">
        <v>1</v>
      </c>
      <c r="P109" s="56">
        <v>0</v>
      </c>
      <c r="Q109" s="56" t="s">
        <v>51</v>
      </c>
      <c r="R109" s="59">
        <v>43641.015775463</v>
      </c>
    </row>
    <row r="110" s="56" customFormat="1" spans="1:18">
      <c r="A110" s="55" t="e">
        <f>VLOOKUP(B110,[1]天猫!$B$3:$H$258,1,FALSE)</f>
        <v>#N/A</v>
      </c>
      <c r="B110" s="56" t="str">
        <f>"307000174701590901"</f>
        <v>307000174701590901</v>
      </c>
      <c r="C110" s="56" t="s">
        <v>645</v>
      </c>
      <c r="D110" s="56">
        <v>3659.05</v>
      </c>
      <c r="E110" s="56" t="s">
        <v>53</v>
      </c>
      <c r="F110" s="56" t="s">
        <v>646</v>
      </c>
      <c r="G110" s="56" t="s">
        <v>647</v>
      </c>
      <c r="H110" s="56" t="s">
        <v>648</v>
      </c>
      <c r="I110" s="59">
        <v>43636.7217592593</v>
      </c>
      <c r="J110" s="59">
        <v>43636.7218055556</v>
      </c>
      <c r="K110" s="56" t="s">
        <v>649</v>
      </c>
      <c r="L110" s="56" t="s">
        <v>650</v>
      </c>
      <c r="M110" s="56" t="s">
        <v>49</v>
      </c>
      <c r="N110" s="56" t="s">
        <v>651</v>
      </c>
      <c r="O110" s="56">
        <v>1</v>
      </c>
      <c r="P110" s="56">
        <v>0</v>
      </c>
      <c r="Q110" s="56" t="s">
        <v>51</v>
      </c>
      <c r="R110" s="59">
        <v>43650.6905902778</v>
      </c>
    </row>
    <row r="111" s="56" customFormat="1" spans="1:18">
      <c r="A111" s="55" t="e">
        <f>VLOOKUP(B111,[1]天猫!$B$3:$H$258,1,FALSE)</f>
        <v>#N/A</v>
      </c>
      <c r="B111" s="56" t="str">
        <f>"497742305017205716"</f>
        <v>497742305017205716</v>
      </c>
      <c r="C111" s="56" t="s">
        <v>652</v>
      </c>
      <c r="D111" s="56">
        <v>460.91</v>
      </c>
      <c r="E111" s="56" t="s">
        <v>53</v>
      </c>
      <c r="F111" s="56" t="s">
        <v>653</v>
      </c>
      <c r="G111" s="56" t="s">
        <v>654</v>
      </c>
      <c r="H111" s="56" t="s">
        <v>655</v>
      </c>
      <c r="I111" s="59">
        <v>43636.7141550926</v>
      </c>
      <c r="J111" s="59">
        <v>43636.7142824074</v>
      </c>
      <c r="K111" s="56" t="s">
        <v>619</v>
      </c>
      <c r="L111" s="56" t="s">
        <v>656</v>
      </c>
      <c r="M111" s="56" t="s">
        <v>49</v>
      </c>
      <c r="N111" s="56" t="s">
        <v>657</v>
      </c>
      <c r="O111" s="56">
        <v>1</v>
      </c>
      <c r="P111" s="56">
        <v>0</v>
      </c>
      <c r="Q111" s="56" t="s">
        <v>51</v>
      </c>
      <c r="R111" s="59">
        <v>43640.8322222222</v>
      </c>
    </row>
    <row r="112" s="48" customFormat="1" hidden="1" spans="1:18">
      <c r="A112" s="55" t="str">
        <f>VLOOKUP(B112,[1]天猫!$B$3:$H$258,1,FALSE)</f>
        <v>497991330342705581</v>
      </c>
      <c r="B112" s="48" t="str">
        <f>"497991330342705581"</f>
        <v>497991330342705581</v>
      </c>
      <c r="C112" s="48" t="s">
        <v>658</v>
      </c>
      <c r="D112" s="48">
        <v>931.6</v>
      </c>
      <c r="E112" s="48" t="s">
        <v>53</v>
      </c>
      <c r="F112" s="48" t="s">
        <v>658</v>
      </c>
      <c r="G112" s="48" t="s">
        <v>659</v>
      </c>
      <c r="H112" s="48" t="s">
        <v>660</v>
      </c>
      <c r="I112" s="51">
        <v>43636.6699652778</v>
      </c>
      <c r="J112" s="51">
        <v>43636.6785532407</v>
      </c>
      <c r="K112" s="48" t="s">
        <v>626</v>
      </c>
      <c r="L112" s="48" t="s">
        <v>661</v>
      </c>
      <c r="M112" s="48" t="s">
        <v>49</v>
      </c>
      <c r="O112" s="48">
        <v>1</v>
      </c>
      <c r="P112" s="48">
        <v>0</v>
      </c>
      <c r="Q112" s="48" t="s">
        <v>51</v>
      </c>
      <c r="R112" s="51">
        <v>43640.3799074074</v>
      </c>
    </row>
    <row r="113" s="55" customFormat="1" spans="1:18">
      <c r="A113" s="55" t="e">
        <f>VLOOKUP(B113,[1]天猫!$B$3:$H$258,1,FALSE)</f>
        <v>#N/A</v>
      </c>
      <c r="B113" s="55" t="str">
        <f>"497959138079052945"</f>
        <v>497959138079052945</v>
      </c>
      <c r="C113" s="55" t="s">
        <v>662</v>
      </c>
      <c r="D113" s="55">
        <v>5376</v>
      </c>
      <c r="E113" s="55" t="s">
        <v>53</v>
      </c>
      <c r="F113" s="55" t="s">
        <v>663</v>
      </c>
      <c r="G113" s="55" t="s">
        <v>664</v>
      </c>
      <c r="H113" s="55" t="s">
        <v>665</v>
      </c>
      <c r="I113" s="58">
        <v>43636.6522337963</v>
      </c>
      <c r="J113" s="58">
        <v>43636.6542939815</v>
      </c>
      <c r="K113" s="55" t="s">
        <v>666</v>
      </c>
      <c r="L113" s="55" t="s">
        <v>667</v>
      </c>
      <c r="M113" s="55" t="s">
        <v>49</v>
      </c>
      <c r="N113" s="55" t="s">
        <v>668</v>
      </c>
      <c r="O113" s="55">
        <v>2</v>
      </c>
      <c r="P113" s="55">
        <v>0</v>
      </c>
      <c r="Q113" s="55" t="s">
        <v>51</v>
      </c>
      <c r="R113" s="58">
        <v>43643.7698726852</v>
      </c>
    </row>
    <row r="114" s="48" customFormat="1" hidden="1" spans="1:18">
      <c r="A114" s="55" t="str">
        <f>VLOOKUP(B114,[1]天猫!$B$3:$H$258,1,FALSE)</f>
        <v>497939618290137238</v>
      </c>
      <c r="B114" s="48" t="str">
        <f>"497939618290137238"</f>
        <v>497939618290137238</v>
      </c>
      <c r="C114" s="48" t="s">
        <v>669</v>
      </c>
      <c r="D114" s="48">
        <v>2559.2</v>
      </c>
      <c r="E114" s="48" t="s">
        <v>53</v>
      </c>
      <c r="F114" s="48" t="s">
        <v>670</v>
      </c>
      <c r="G114" s="48" t="s">
        <v>671</v>
      </c>
      <c r="H114" s="48" t="s">
        <v>672</v>
      </c>
      <c r="I114" s="51">
        <v>43636.643587963</v>
      </c>
      <c r="J114" s="51">
        <v>43636.6480787037</v>
      </c>
      <c r="K114" s="48" t="s">
        <v>673</v>
      </c>
      <c r="L114" s="48" t="s">
        <v>674</v>
      </c>
      <c r="M114" s="48" t="s">
        <v>49</v>
      </c>
      <c r="O114" s="48">
        <v>1</v>
      </c>
      <c r="P114" s="48">
        <v>0</v>
      </c>
      <c r="Q114" s="48" t="s">
        <v>51</v>
      </c>
      <c r="R114" s="51">
        <v>43641.4346412037</v>
      </c>
    </row>
    <row r="115" s="48" customFormat="1" hidden="1" spans="1:18">
      <c r="A115" s="55" t="str">
        <f>VLOOKUP(B115,[1]天猫!$B$3:$H$258,1,FALSE)</f>
        <v>497503137827761371</v>
      </c>
      <c r="B115" s="48" t="str">
        <f>"497503137827761371"</f>
        <v>497503137827761371</v>
      </c>
      <c r="C115" s="48" t="s">
        <v>675</v>
      </c>
      <c r="D115" s="48">
        <v>846</v>
      </c>
      <c r="E115" s="48" t="s">
        <v>53</v>
      </c>
      <c r="F115" s="48" t="s">
        <v>676</v>
      </c>
      <c r="G115" s="48" t="s">
        <v>677</v>
      </c>
      <c r="H115" s="48" t="s">
        <v>678</v>
      </c>
      <c r="I115" s="51">
        <v>43636.6058796296</v>
      </c>
      <c r="J115" s="51">
        <v>43636.609537037</v>
      </c>
      <c r="K115" s="48" t="s">
        <v>619</v>
      </c>
      <c r="L115" s="48" t="s">
        <v>679</v>
      </c>
      <c r="M115" s="48" t="s">
        <v>49</v>
      </c>
      <c r="O115" s="48">
        <v>2</v>
      </c>
      <c r="P115" s="48">
        <v>0</v>
      </c>
      <c r="Q115" s="48" t="s">
        <v>51</v>
      </c>
      <c r="R115" s="51">
        <v>43638.3849884259</v>
      </c>
    </row>
    <row r="116" s="55" customFormat="1" spans="1:18">
      <c r="A116" s="55" t="e">
        <f>VLOOKUP(B116,[1]天猫!$B$3:$H$258,1,FALSE)</f>
        <v>#N/A</v>
      </c>
      <c r="B116" s="55" t="str">
        <f>"497039072233183864"</f>
        <v>497039072233183864</v>
      </c>
      <c r="C116" s="55" t="s">
        <v>680</v>
      </c>
      <c r="D116" s="55">
        <v>3000.2</v>
      </c>
      <c r="E116" s="55" t="s">
        <v>53</v>
      </c>
      <c r="F116" s="55" t="s">
        <v>681</v>
      </c>
      <c r="G116" s="55" t="s">
        <v>682</v>
      </c>
      <c r="H116" s="55" t="s">
        <v>683</v>
      </c>
      <c r="I116" s="58">
        <v>43636.5530671296</v>
      </c>
      <c r="J116" s="58">
        <v>43636.5554398148</v>
      </c>
      <c r="K116" s="55" t="s">
        <v>454</v>
      </c>
      <c r="L116" s="55" t="s">
        <v>684</v>
      </c>
      <c r="M116" s="55" t="s">
        <v>49</v>
      </c>
      <c r="N116" s="55" t="s">
        <v>685</v>
      </c>
      <c r="O116" s="55">
        <v>1</v>
      </c>
      <c r="P116" s="55">
        <v>0</v>
      </c>
      <c r="Q116" s="55" t="s">
        <v>51</v>
      </c>
      <c r="R116" s="58">
        <v>43646.6984606481</v>
      </c>
    </row>
    <row r="117" s="48" customFormat="1" hidden="1" spans="1:18">
      <c r="A117" s="55" t="str">
        <f>VLOOKUP(B117,[1]天猫!$B$3:$H$258,1,FALSE)</f>
        <v>496928576946111126</v>
      </c>
      <c r="B117" s="48" t="str">
        <f>"496928576946111126"</f>
        <v>496928576946111126</v>
      </c>
      <c r="C117" s="48" t="s">
        <v>686</v>
      </c>
      <c r="D117" s="48">
        <v>1763.12</v>
      </c>
      <c r="E117" s="48" t="s">
        <v>53</v>
      </c>
      <c r="F117" s="48" t="s">
        <v>687</v>
      </c>
      <c r="G117" s="48" t="s">
        <v>688</v>
      </c>
      <c r="H117" s="48" t="s">
        <v>689</v>
      </c>
      <c r="I117" s="51">
        <v>43636.4977662037</v>
      </c>
      <c r="J117" s="51">
        <v>43636.5015162037</v>
      </c>
      <c r="K117" s="48" t="s">
        <v>634</v>
      </c>
      <c r="L117" s="48" t="s">
        <v>690</v>
      </c>
      <c r="M117" s="48" t="s">
        <v>49</v>
      </c>
      <c r="O117" s="48">
        <v>1</v>
      </c>
      <c r="P117" s="48">
        <v>0</v>
      </c>
      <c r="Q117" s="48" t="s">
        <v>51</v>
      </c>
      <c r="R117" s="51">
        <v>43646.6795138889</v>
      </c>
    </row>
    <row r="118" s="48" customFormat="1" hidden="1" spans="1:18">
      <c r="A118" s="55" t="str">
        <f>VLOOKUP(B118,[1]天猫!$B$3:$H$258,1,FALSE)</f>
        <v>497882755697809909</v>
      </c>
      <c r="B118" s="48" t="str">
        <f>"497882755697809909"</f>
        <v>497882755697809909</v>
      </c>
      <c r="C118" s="48" t="s">
        <v>691</v>
      </c>
      <c r="D118" s="48">
        <v>1893.12</v>
      </c>
      <c r="E118" s="48" t="s">
        <v>53</v>
      </c>
      <c r="F118" s="48" t="s">
        <v>692</v>
      </c>
      <c r="G118" s="48" t="s">
        <v>693</v>
      </c>
      <c r="H118" s="48" t="s">
        <v>694</v>
      </c>
      <c r="I118" s="51">
        <v>43636.4800462963</v>
      </c>
      <c r="J118" s="51">
        <v>43636.4864814815</v>
      </c>
      <c r="K118" s="48" t="s">
        <v>634</v>
      </c>
      <c r="L118" s="48" t="s">
        <v>695</v>
      </c>
      <c r="M118" s="48" t="s">
        <v>49</v>
      </c>
      <c r="O118" s="48">
        <v>1</v>
      </c>
      <c r="P118" s="48">
        <v>0</v>
      </c>
      <c r="Q118" s="48" t="s">
        <v>51</v>
      </c>
      <c r="R118" s="51">
        <v>43640.7277546296</v>
      </c>
    </row>
    <row r="119" s="55" customFormat="1" spans="1:18">
      <c r="A119" s="55" t="e">
        <f>VLOOKUP(B119,[1]天猫!$B$3:$H$258,1,FALSE)</f>
        <v>#N/A</v>
      </c>
      <c r="B119" s="55" t="str">
        <f>"497875203660674522"</f>
        <v>497875203660674522</v>
      </c>
      <c r="C119" s="55" t="s">
        <v>696</v>
      </c>
      <c r="D119" s="55">
        <v>1971.44</v>
      </c>
      <c r="E119" s="55" t="s">
        <v>53</v>
      </c>
      <c r="F119" s="55" t="s">
        <v>697</v>
      </c>
      <c r="G119" s="55" t="s">
        <v>698</v>
      </c>
      <c r="H119" s="55" t="s">
        <v>699</v>
      </c>
      <c r="I119" s="58">
        <v>43636.4733101852</v>
      </c>
      <c r="J119" s="58">
        <v>43636.4749768519</v>
      </c>
      <c r="K119" s="55" t="s">
        <v>634</v>
      </c>
      <c r="L119" s="55" t="s">
        <v>700</v>
      </c>
      <c r="M119" s="55" t="s">
        <v>89</v>
      </c>
      <c r="N119" s="55" t="s">
        <v>701</v>
      </c>
      <c r="O119" s="55">
        <v>1</v>
      </c>
      <c r="P119" s="55">
        <v>0</v>
      </c>
      <c r="Q119" s="55" t="s">
        <v>51</v>
      </c>
      <c r="R119" s="58">
        <v>43641.5377083333</v>
      </c>
    </row>
    <row r="120" s="55" customFormat="1" spans="1:18">
      <c r="A120" s="55" t="e">
        <f>VLOOKUP(B120,[1]天猫!$B$3:$H$258,1,FALSE)</f>
        <v>#N/A</v>
      </c>
      <c r="B120" s="55" t="str">
        <f>"497117761889168208"</f>
        <v>497117761889168208</v>
      </c>
      <c r="C120" s="55" t="s">
        <v>702</v>
      </c>
      <c r="D120" s="55">
        <v>2559.2</v>
      </c>
      <c r="E120" s="55" t="s">
        <v>53</v>
      </c>
      <c r="F120" s="55" t="s">
        <v>703</v>
      </c>
      <c r="G120" s="55" t="s">
        <v>704</v>
      </c>
      <c r="H120" s="55" t="s">
        <v>705</v>
      </c>
      <c r="I120" s="58">
        <v>43636.4116666667</v>
      </c>
      <c r="J120" s="58">
        <v>43636.4119212963</v>
      </c>
      <c r="K120" s="55" t="s">
        <v>673</v>
      </c>
      <c r="L120" s="55" t="s">
        <v>706</v>
      </c>
      <c r="M120" s="55" t="s">
        <v>49</v>
      </c>
      <c r="N120" s="55" t="s">
        <v>707</v>
      </c>
      <c r="O120" s="55">
        <v>1</v>
      </c>
      <c r="P120" s="55">
        <v>0</v>
      </c>
      <c r="Q120" s="55" t="s">
        <v>51</v>
      </c>
      <c r="R120" s="58">
        <v>43646.6984375</v>
      </c>
    </row>
    <row r="121" s="55" customFormat="1" spans="1:18">
      <c r="A121" s="55" t="e">
        <f>VLOOKUP(B121,[1]天猫!$B$3:$H$258,1,FALSE)</f>
        <v>#N/A</v>
      </c>
      <c r="B121" s="55" t="str">
        <f>"497538307941405260"</f>
        <v>497538307941405260</v>
      </c>
      <c r="C121" s="55" t="s">
        <v>708</v>
      </c>
      <c r="D121" s="55">
        <v>509</v>
      </c>
      <c r="E121" s="55" t="s">
        <v>53</v>
      </c>
      <c r="F121" s="55" t="s">
        <v>709</v>
      </c>
      <c r="G121" s="55" t="s">
        <v>710</v>
      </c>
      <c r="H121" s="55" t="s">
        <v>711</v>
      </c>
      <c r="I121" s="58">
        <v>43636.0216435185</v>
      </c>
      <c r="J121" s="58">
        <v>43636.0218518519</v>
      </c>
      <c r="K121" s="55" t="s">
        <v>619</v>
      </c>
      <c r="L121" s="55" t="s">
        <v>712</v>
      </c>
      <c r="M121" s="55" t="s">
        <v>49</v>
      </c>
      <c r="N121" s="55" t="s">
        <v>713</v>
      </c>
      <c r="O121" s="55">
        <v>1</v>
      </c>
      <c r="P121" s="55">
        <v>0</v>
      </c>
      <c r="Q121" s="55" t="s">
        <v>51</v>
      </c>
      <c r="R121" s="58">
        <v>43646.6984259259</v>
      </c>
    </row>
    <row r="122" s="56" customFormat="1" spans="1:18">
      <c r="A122" s="55" t="e">
        <f>VLOOKUP(B122,[1]天猫!$B$3:$H$258,1,FALSE)</f>
        <v>#N/A</v>
      </c>
      <c r="B122" s="56" t="str">
        <f>"497484227721298989"</f>
        <v>497484227721298989</v>
      </c>
      <c r="C122" s="56" t="s">
        <v>714</v>
      </c>
      <c r="D122" s="56">
        <v>1763.12</v>
      </c>
      <c r="E122" s="56" t="s">
        <v>53</v>
      </c>
      <c r="F122" s="56" t="s">
        <v>715</v>
      </c>
      <c r="G122" s="56" t="s">
        <v>716</v>
      </c>
      <c r="H122" s="56" t="s">
        <v>717</v>
      </c>
      <c r="I122" s="59">
        <v>43635.9735532407</v>
      </c>
      <c r="J122" s="59">
        <v>43635.9763888889</v>
      </c>
      <c r="K122" s="56" t="s">
        <v>634</v>
      </c>
      <c r="L122" s="56" t="s">
        <v>718</v>
      </c>
      <c r="M122" s="56" t="s">
        <v>49</v>
      </c>
      <c r="N122" s="56" t="s">
        <v>644</v>
      </c>
      <c r="O122" s="56">
        <v>1</v>
      </c>
      <c r="P122" s="56">
        <v>0</v>
      </c>
      <c r="Q122" s="56" t="s">
        <v>51</v>
      </c>
      <c r="R122" s="59">
        <v>43646.6984606481</v>
      </c>
    </row>
    <row r="123" s="56" customFormat="1" spans="1:18">
      <c r="A123" s="55" t="e">
        <f>VLOOKUP(B123,[1]天猫!$B$3:$H$258,1,FALSE)</f>
        <v>#N/A</v>
      </c>
      <c r="B123" s="56" t="str">
        <f>"497089731701629938"</f>
        <v>497089731701629938</v>
      </c>
      <c r="C123" s="56" t="s">
        <v>719</v>
      </c>
      <c r="D123" s="56">
        <v>1763.12</v>
      </c>
      <c r="E123" s="56" t="s">
        <v>53</v>
      </c>
      <c r="F123" s="56" t="s">
        <v>720</v>
      </c>
      <c r="G123" s="56" t="s">
        <v>721</v>
      </c>
      <c r="H123" s="56" t="s">
        <v>722</v>
      </c>
      <c r="I123" s="59">
        <v>43635.7575462963</v>
      </c>
      <c r="J123" s="59">
        <v>43635.7575810185</v>
      </c>
      <c r="K123" s="56" t="s">
        <v>634</v>
      </c>
      <c r="L123" s="56" t="s">
        <v>723</v>
      </c>
      <c r="M123" s="56" t="s">
        <v>49</v>
      </c>
      <c r="N123" s="56" t="s">
        <v>724</v>
      </c>
      <c r="O123" s="56">
        <v>1</v>
      </c>
      <c r="P123" s="56">
        <v>0</v>
      </c>
      <c r="Q123" s="56" t="s">
        <v>51</v>
      </c>
      <c r="R123" s="59">
        <v>43640.4692361111</v>
      </c>
    </row>
    <row r="124" s="48" customFormat="1" hidden="1" spans="1:18">
      <c r="A124" s="55" t="str">
        <f>VLOOKUP(B124,[1]天猫!$B$3:$H$258,1,FALSE)</f>
        <v>496333633148609685</v>
      </c>
      <c r="B124" s="48" t="str">
        <f>"496333633148609685"</f>
        <v>496333633148609685</v>
      </c>
      <c r="C124" s="48" t="s">
        <v>725</v>
      </c>
      <c r="D124" s="48">
        <v>2659.2</v>
      </c>
      <c r="E124" s="48" t="s">
        <v>53</v>
      </c>
      <c r="F124" s="48" t="s">
        <v>726</v>
      </c>
      <c r="G124" s="48" t="s">
        <v>727</v>
      </c>
      <c r="H124" s="48" t="s">
        <v>728</v>
      </c>
      <c r="I124" s="51">
        <v>43635.6776157407</v>
      </c>
      <c r="J124" s="51">
        <v>43635.6857523148</v>
      </c>
      <c r="K124" s="48" t="s">
        <v>673</v>
      </c>
      <c r="L124" s="48" t="s">
        <v>729</v>
      </c>
      <c r="M124" s="48" t="s">
        <v>49</v>
      </c>
      <c r="O124" s="48">
        <v>1</v>
      </c>
      <c r="P124" s="48">
        <v>0</v>
      </c>
      <c r="Q124" s="48" t="s">
        <v>51</v>
      </c>
      <c r="R124" s="51">
        <v>43640.6391435185</v>
      </c>
    </row>
    <row r="125" s="55" customFormat="1" spans="1:18">
      <c r="A125" s="55" t="e">
        <f>VLOOKUP(B125,[1]天猫!$B$3:$H$258,1,FALSE)</f>
        <v>#N/A</v>
      </c>
      <c r="B125" s="55" t="str">
        <f>"496924675140293959"</f>
        <v>496924675140293959</v>
      </c>
      <c r="C125" s="55" t="s">
        <v>730</v>
      </c>
      <c r="D125" s="55">
        <v>1750</v>
      </c>
      <c r="E125" s="55" t="s">
        <v>53</v>
      </c>
      <c r="F125" s="55" t="s">
        <v>731</v>
      </c>
      <c r="G125" s="55" t="s">
        <v>732</v>
      </c>
      <c r="H125" s="55" t="s">
        <v>733</v>
      </c>
      <c r="I125" s="58">
        <v>43635.664537037</v>
      </c>
      <c r="J125" s="58">
        <v>43635.6674652778</v>
      </c>
      <c r="K125" s="55" t="s">
        <v>734</v>
      </c>
      <c r="L125" s="55" t="s">
        <v>735</v>
      </c>
      <c r="M125" s="55" t="s">
        <v>49</v>
      </c>
      <c r="N125" s="55" t="s">
        <v>736</v>
      </c>
      <c r="O125" s="55">
        <v>1</v>
      </c>
      <c r="P125" s="55">
        <v>0</v>
      </c>
      <c r="Q125" s="55" t="s">
        <v>51</v>
      </c>
      <c r="R125" s="58">
        <v>43646.5684722222</v>
      </c>
    </row>
    <row r="126" s="48" customFormat="1" hidden="1" spans="1:18">
      <c r="A126" s="55" t="str">
        <f>VLOOKUP(B126,[1]天猫!$B$3:$H$258,1,FALSE)</f>
        <v>496902019274930051</v>
      </c>
      <c r="B126" s="48" t="str">
        <f>"496902019274930051"</f>
        <v>496902019274930051</v>
      </c>
      <c r="C126" s="48" t="s">
        <v>737</v>
      </c>
      <c r="D126" s="48">
        <v>3659.05</v>
      </c>
      <c r="E126" s="48" t="s">
        <v>53</v>
      </c>
      <c r="F126" s="48" t="s">
        <v>738</v>
      </c>
      <c r="G126" s="48" t="s">
        <v>739</v>
      </c>
      <c r="H126" s="48" t="s">
        <v>740</v>
      </c>
      <c r="I126" s="51">
        <v>43635.6540162037</v>
      </c>
      <c r="J126" s="51">
        <v>43635.6692476852</v>
      </c>
      <c r="K126" s="48" t="s">
        <v>649</v>
      </c>
      <c r="L126" s="48" t="s">
        <v>741</v>
      </c>
      <c r="M126" s="48" t="s">
        <v>49</v>
      </c>
      <c r="O126" s="48">
        <v>1</v>
      </c>
      <c r="P126" s="48">
        <v>0</v>
      </c>
      <c r="Q126" s="48" t="s">
        <v>51</v>
      </c>
      <c r="R126" s="51">
        <v>43645.6411689815</v>
      </c>
    </row>
    <row r="127" s="48" customFormat="1" hidden="1" spans="1:18">
      <c r="A127" s="55" t="str">
        <f>VLOOKUP(B127,[1]天猫!$B$3:$H$258,1,FALSE)</f>
        <v>496603618882208016</v>
      </c>
      <c r="B127" s="48" t="str">
        <f>"496603618882208016"</f>
        <v>496603618882208016</v>
      </c>
      <c r="C127" s="48" t="s">
        <v>742</v>
      </c>
      <c r="D127" s="48">
        <v>2386.08</v>
      </c>
      <c r="E127" s="48" t="s">
        <v>53</v>
      </c>
      <c r="F127" s="48" t="s">
        <v>743</v>
      </c>
      <c r="G127" s="48" t="s">
        <v>744</v>
      </c>
      <c r="H127" s="48" t="s">
        <v>745</v>
      </c>
      <c r="I127" s="51">
        <v>43635.6339699074</v>
      </c>
      <c r="J127" s="51">
        <v>43635.639224537</v>
      </c>
      <c r="K127" s="48" t="s">
        <v>69</v>
      </c>
      <c r="L127" s="48" t="s">
        <v>746</v>
      </c>
      <c r="M127" s="48" t="s">
        <v>49</v>
      </c>
      <c r="O127" s="48">
        <v>1</v>
      </c>
      <c r="P127" s="48">
        <v>0</v>
      </c>
      <c r="Q127" s="48" t="s">
        <v>51</v>
      </c>
      <c r="R127" s="51">
        <v>43643.3878240741</v>
      </c>
    </row>
    <row r="128" s="55" customFormat="1" spans="1:18">
      <c r="A128" s="55" t="e">
        <f>VLOOKUP(B128,[1]天猫!$B$3:$H$258,1,FALSE)</f>
        <v>#N/A</v>
      </c>
      <c r="B128" s="55" t="str">
        <f>"307189103856094803"</f>
        <v>307189103856094803</v>
      </c>
      <c r="C128" s="55" t="s">
        <v>747</v>
      </c>
      <c r="D128" s="55">
        <v>2559.2</v>
      </c>
      <c r="E128" s="55" t="s">
        <v>53</v>
      </c>
      <c r="F128" s="55" t="s">
        <v>748</v>
      </c>
      <c r="G128" s="55" t="s">
        <v>749</v>
      </c>
      <c r="H128" s="55" t="s">
        <v>750</v>
      </c>
      <c r="I128" s="58">
        <v>43635.5666435185</v>
      </c>
      <c r="J128" s="58">
        <v>43635.566724537</v>
      </c>
      <c r="K128" s="55" t="s">
        <v>673</v>
      </c>
      <c r="L128" s="55" t="s">
        <v>751</v>
      </c>
      <c r="M128" s="55" t="s">
        <v>49</v>
      </c>
      <c r="N128" s="55" t="s">
        <v>752</v>
      </c>
      <c r="O128" s="55">
        <v>1</v>
      </c>
      <c r="P128" s="55">
        <v>0</v>
      </c>
      <c r="Q128" s="55" t="s">
        <v>51</v>
      </c>
      <c r="R128" s="58">
        <v>43637.4178125</v>
      </c>
    </row>
    <row r="129" s="48" customFormat="1" hidden="1" spans="1:18">
      <c r="A129" s="55" t="str">
        <f>VLOOKUP(B129,[1]天猫!$B$3:$H$258,1,FALSE)</f>
        <v>496003553401185817</v>
      </c>
      <c r="B129" s="48" t="str">
        <f>"496003553401185817"</f>
        <v>496003553401185817</v>
      </c>
      <c r="C129" s="48" t="s">
        <v>753</v>
      </c>
      <c r="D129" s="48">
        <v>936</v>
      </c>
      <c r="E129" s="48" t="s">
        <v>53</v>
      </c>
      <c r="F129" s="48" t="s">
        <v>754</v>
      </c>
      <c r="G129" s="48" t="s">
        <v>755</v>
      </c>
      <c r="H129" s="48" t="s">
        <v>756</v>
      </c>
      <c r="I129" s="51">
        <v>43635.50625</v>
      </c>
      <c r="J129" s="51">
        <v>43635.519224537</v>
      </c>
      <c r="K129" s="48" t="s">
        <v>619</v>
      </c>
      <c r="L129" s="48" t="s">
        <v>757</v>
      </c>
      <c r="M129" s="48" t="s">
        <v>49</v>
      </c>
      <c r="O129" s="48">
        <v>2</v>
      </c>
      <c r="P129" s="48">
        <v>0</v>
      </c>
      <c r="Q129" s="48" t="s">
        <v>51</v>
      </c>
      <c r="R129" s="51">
        <v>43642.6000462963</v>
      </c>
    </row>
    <row r="130" s="55" customFormat="1" hidden="1" spans="1:18">
      <c r="A130" s="1" t="str">
        <f>VLOOKUP(B130,[1]天猫!$B$3:$H$258,1,FALSE)</f>
        <v>495976481778817521</v>
      </c>
      <c r="B130" s="55" t="str">
        <f>"495976481778817521"</f>
        <v>495976481778817521</v>
      </c>
      <c r="C130" s="55" t="s">
        <v>758</v>
      </c>
      <c r="D130" s="55">
        <v>2559.2</v>
      </c>
      <c r="E130" s="55" t="s">
        <v>53</v>
      </c>
      <c r="F130" s="55" t="s">
        <v>759</v>
      </c>
      <c r="G130" s="55" t="s">
        <v>760</v>
      </c>
      <c r="H130" s="55" t="s">
        <v>761</v>
      </c>
      <c r="I130" s="58">
        <v>43635.4931944444</v>
      </c>
      <c r="J130" s="58">
        <v>43635.4962384259</v>
      </c>
      <c r="K130" s="55" t="s">
        <v>673</v>
      </c>
      <c r="L130" s="55" t="s">
        <v>762</v>
      </c>
      <c r="M130" s="55" t="s">
        <v>49</v>
      </c>
      <c r="N130" s="55" t="s">
        <v>763</v>
      </c>
      <c r="O130" s="55">
        <v>1</v>
      </c>
      <c r="P130" s="55">
        <v>0</v>
      </c>
      <c r="Q130" s="55" t="s">
        <v>51</v>
      </c>
      <c r="R130" s="58">
        <v>43637.4745486111</v>
      </c>
    </row>
    <row r="131" s="48" customFormat="1" hidden="1" spans="1:18">
      <c r="A131" s="55" t="str">
        <f>VLOOKUP(B131,[1]天猫!$B$3:$H$258,1,FALSE)</f>
        <v>307170383357135303</v>
      </c>
      <c r="B131" s="48" t="str">
        <f>"307170383357135303"</f>
        <v>307170383357135303</v>
      </c>
      <c r="C131" s="48" t="s">
        <v>764</v>
      </c>
      <c r="D131" s="48">
        <v>1973.12</v>
      </c>
      <c r="E131" s="48" t="s">
        <v>53</v>
      </c>
      <c r="F131" s="48" t="s">
        <v>765</v>
      </c>
      <c r="G131" s="48" t="s">
        <v>766</v>
      </c>
      <c r="H131" s="48" t="s">
        <v>767</v>
      </c>
      <c r="I131" s="51">
        <v>43635.4542824074</v>
      </c>
      <c r="J131" s="51">
        <v>43635.4687847222</v>
      </c>
      <c r="K131" s="48" t="s">
        <v>634</v>
      </c>
      <c r="L131" s="48" t="s">
        <v>768</v>
      </c>
      <c r="M131" s="48" t="s">
        <v>49</v>
      </c>
      <c r="O131" s="48">
        <v>1</v>
      </c>
      <c r="P131" s="48">
        <v>0</v>
      </c>
      <c r="Q131" s="48" t="s">
        <v>51</v>
      </c>
      <c r="R131" s="51">
        <v>43640.1120949074</v>
      </c>
    </row>
    <row r="132" s="48" customFormat="1" hidden="1" spans="1:18">
      <c r="A132" s="55" t="str">
        <f>VLOOKUP(B132,[1]天猫!$B$3:$H$258,1,FALSE)</f>
        <v>284854471415805599</v>
      </c>
      <c r="B132" s="48" t="str">
        <f>"284854471415805599"</f>
        <v>284854471415805599</v>
      </c>
      <c r="C132" s="48" t="s">
        <v>769</v>
      </c>
      <c r="D132" s="48">
        <v>1973.12</v>
      </c>
      <c r="E132" s="48" t="s">
        <v>53</v>
      </c>
      <c r="F132" s="48" t="s">
        <v>770</v>
      </c>
      <c r="G132" s="48" t="s">
        <v>771</v>
      </c>
      <c r="H132" s="48" t="s">
        <v>772</v>
      </c>
      <c r="I132" s="51">
        <v>43635.4490509259</v>
      </c>
      <c r="J132" s="51">
        <v>43635.4527430556</v>
      </c>
      <c r="K132" s="48" t="s">
        <v>634</v>
      </c>
      <c r="L132" s="48" t="s">
        <v>773</v>
      </c>
      <c r="M132" s="48" t="s">
        <v>49</v>
      </c>
      <c r="O132" s="48">
        <v>1</v>
      </c>
      <c r="P132" s="48">
        <v>0</v>
      </c>
      <c r="Q132" s="48" t="s">
        <v>51</v>
      </c>
      <c r="R132" s="51">
        <v>43643.6349537037</v>
      </c>
    </row>
    <row r="133" s="56" customFormat="1" spans="1:18">
      <c r="A133" s="55" t="e">
        <f>VLOOKUP(B133,[1]天猫!$B$3:$H$258,1,FALSE)</f>
        <v>#N/A</v>
      </c>
      <c r="B133" s="56" t="str">
        <f>"495939298663965952"</f>
        <v>495939298663965952</v>
      </c>
      <c r="C133" s="56" t="s">
        <v>774</v>
      </c>
      <c r="D133" s="56">
        <v>591.4</v>
      </c>
      <c r="E133" s="56" t="s">
        <v>53</v>
      </c>
      <c r="F133" s="56" t="s">
        <v>775</v>
      </c>
      <c r="G133" s="56" t="s">
        <v>776</v>
      </c>
      <c r="H133" s="56" t="s">
        <v>777</v>
      </c>
      <c r="I133" s="59">
        <v>43635.0099305556</v>
      </c>
      <c r="J133" s="59">
        <v>43635.0102893518</v>
      </c>
      <c r="K133" s="56" t="s">
        <v>778</v>
      </c>
      <c r="L133" s="56" t="s">
        <v>779</v>
      </c>
      <c r="M133" s="56" t="s">
        <v>49</v>
      </c>
      <c r="N133" s="56" t="s">
        <v>780</v>
      </c>
      <c r="O133" s="56">
        <v>1</v>
      </c>
      <c r="P133" s="56">
        <v>0</v>
      </c>
      <c r="Q133" s="56" t="s">
        <v>51</v>
      </c>
      <c r="R133" s="59">
        <v>43645.714537037</v>
      </c>
    </row>
    <row r="134" s="56" customFormat="1" spans="1:18">
      <c r="A134" s="55" t="e">
        <f>VLOOKUP(B134,[1]天猫!$B$3:$H$258,1,FALSE)</f>
        <v>#N/A</v>
      </c>
      <c r="B134" s="56" t="str">
        <f>"306541324784050602"</f>
        <v>306541324784050602</v>
      </c>
      <c r="C134" s="56" t="s">
        <v>781</v>
      </c>
      <c r="D134" s="56">
        <v>538.4</v>
      </c>
      <c r="E134" s="56" t="s">
        <v>53</v>
      </c>
      <c r="F134" s="56" t="s">
        <v>782</v>
      </c>
      <c r="G134" s="56" t="s">
        <v>783</v>
      </c>
      <c r="H134" s="56" t="s">
        <v>784</v>
      </c>
      <c r="I134" s="59">
        <v>43634.9927199074</v>
      </c>
      <c r="J134" s="59">
        <v>43634.9945833333</v>
      </c>
      <c r="K134" s="56" t="s">
        <v>778</v>
      </c>
      <c r="L134" s="56" t="s">
        <v>785</v>
      </c>
      <c r="M134" s="56" t="s">
        <v>49</v>
      </c>
      <c r="N134" s="56" t="s">
        <v>786</v>
      </c>
      <c r="O134" s="56">
        <v>1</v>
      </c>
      <c r="P134" s="56">
        <v>0</v>
      </c>
      <c r="Q134" s="56" t="s">
        <v>51</v>
      </c>
      <c r="R134" s="59">
        <v>43640.3825115741</v>
      </c>
    </row>
    <row r="135" s="56" customFormat="1" spans="1:18">
      <c r="A135" s="55" t="e">
        <f>VLOOKUP(B135,[1]天猫!$B$3:$H$258,1,FALSE)</f>
        <v>#N/A</v>
      </c>
      <c r="B135" s="56" t="str">
        <f>"495449473313440975"</f>
        <v>495449473313440975</v>
      </c>
      <c r="C135" s="56" t="s">
        <v>787</v>
      </c>
      <c r="D135" s="56">
        <v>646.93</v>
      </c>
      <c r="E135" s="56" t="s">
        <v>53</v>
      </c>
      <c r="F135" s="56" t="s">
        <v>788</v>
      </c>
      <c r="G135" s="56" t="s">
        <v>789</v>
      </c>
      <c r="H135" s="56" t="s">
        <v>131</v>
      </c>
      <c r="I135" s="59">
        <v>43634.9923842593</v>
      </c>
      <c r="J135" s="59">
        <v>43634.9966087963</v>
      </c>
      <c r="K135" s="56" t="s">
        <v>790</v>
      </c>
      <c r="L135" s="56" t="s">
        <v>791</v>
      </c>
      <c r="M135" s="56" t="s">
        <v>49</v>
      </c>
      <c r="N135" s="56" t="s">
        <v>792</v>
      </c>
      <c r="O135" s="56">
        <v>1</v>
      </c>
      <c r="P135" s="56">
        <v>0</v>
      </c>
      <c r="Q135" s="56" t="s">
        <v>51</v>
      </c>
      <c r="R135" s="59">
        <v>43655.7145023148</v>
      </c>
    </row>
    <row r="136" s="56" customFormat="1" spans="1:18">
      <c r="A136" s="55" t="e">
        <f>VLOOKUP(B136,[1]天猫!$B$3:$H$258,1,FALSE)</f>
        <v>#N/A</v>
      </c>
      <c r="B136" s="56" t="str">
        <f>"495778338810854133"</f>
        <v>495778338810854133</v>
      </c>
      <c r="C136" s="56" t="s">
        <v>793</v>
      </c>
      <c r="D136" s="56">
        <v>2719.1</v>
      </c>
      <c r="E136" s="56" t="s">
        <v>53</v>
      </c>
      <c r="F136" s="56" t="s">
        <v>794</v>
      </c>
      <c r="G136" s="56" t="s">
        <v>795</v>
      </c>
      <c r="H136" s="56" t="s">
        <v>796</v>
      </c>
      <c r="I136" s="59">
        <v>43634.9882986111</v>
      </c>
      <c r="J136" s="59">
        <v>43634.9884259259</v>
      </c>
      <c r="K136" s="56" t="s">
        <v>673</v>
      </c>
      <c r="L136" s="56" t="s">
        <v>797</v>
      </c>
      <c r="M136" s="56" t="s">
        <v>49</v>
      </c>
      <c r="N136" s="56" t="s">
        <v>798</v>
      </c>
      <c r="O136" s="56">
        <v>1</v>
      </c>
      <c r="P136" s="56">
        <v>0</v>
      </c>
      <c r="Q136" s="56" t="s">
        <v>51</v>
      </c>
      <c r="R136" s="59">
        <v>43645.7002777778</v>
      </c>
    </row>
    <row r="137" s="56" customFormat="1" spans="1:17">
      <c r="A137" s="55" t="e">
        <f>VLOOKUP(B137,[1]天猫!$B$3:$H$258,1,FALSE)</f>
        <v>#N/A</v>
      </c>
      <c r="B137" s="56" t="str">
        <f>"495268961804052234"</f>
        <v>495268961804052234</v>
      </c>
      <c r="C137" s="56" t="s">
        <v>799</v>
      </c>
      <c r="D137" s="56">
        <v>3029.12</v>
      </c>
      <c r="E137" s="56" t="s">
        <v>630</v>
      </c>
      <c r="F137" s="56" t="s">
        <v>800</v>
      </c>
      <c r="G137" s="56" t="s">
        <v>801</v>
      </c>
      <c r="H137" s="56" t="s">
        <v>802</v>
      </c>
      <c r="I137" s="59">
        <v>43634.9683680556</v>
      </c>
      <c r="J137" s="59">
        <v>43634.9684143519</v>
      </c>
      <c r="K137" s="56" t="s">
        <v>69</v>
      </c>
      <c r="M137" s="56" t="s">
        <v>635</v>
      </c>
      <c r="N137" s="56" t="s">
        <v>803</v>
      </c>
      <c r="O137" s="56">
        <v>1</v>
      </c>
      <c r="P137" s="56">
        <v>0</v>
      </c>
      <c r="Q137" s="56" t="s">
        <v>51</v>
      </c>
    </row>
    <row r="138" s="56" customFormat="1" spans="1:18">
      <c r="A138" s="55" t="e">
        <f>VLOOKUP(B138,[1]天猫!$B$3:$H$258,1,FALSE)</f>
        <v>#N/A</v>
      </c>
      <c r="B138" s="56" t="str">
        <f>"494888608775874166"</f>
        <v>494888608775874166</v>
      </c>
      <c r="C138" s="56" t="s">
        <v>804</v>
      </c>
      <c r="D138" s="56">
        <v>886</v>
      </c>
      <c r="E138" s="56" t="s">
        <v>53</v>
      </c>
      <c r="F138" s="56" t="s">
        <v>805</v>
      </c>
      <c r="G138" s="56" t="s">
        <v>806</v>
      </c>
      <c r="H138" s="56" t="s">
        <v>807</v>
      </c>
      <c r="I138" s="59">
        <v>43634.9661458333</v>
      </c>
      <c r="J138" s="59">
        <v>43634.9662847222</v>
      </c>
      <c r="K138" s="56" t="s">
        <v>626</v>
      </c>
      <c r="L138" s="56" t="s">
        <v>808</v>
      </c>
      <c r="M138" s="56" t="s">
        <v>49</v>
      </c>
      <c r="N138" s="56" t="s">
        <v>809</v>
      </c>
      <c r="O138" s="56">
        <v>1</v>
      </c>
      <c r="P138" s="56">
        <v>0</v>
      </c>
      <c r="Q138" s="56" t="s">
        <v>51</v>
      </c>
      <c r="R138" s="59">
        <v>43639.8163194444</v>
      </c>
    </row>
    <row r="139" s="56" customFormat="1" spans="1:18">
      <c r="A139" s="55" t="e">
        <f>VLOOKUP(B139,[1]天猫!$B$3:$H$258,1,FALSE)</f>
        <v>#N/A</v>
      </c>
      <c r="B139" s="56" t="str">
        <f>"495248257071977754"</f>
        <v>495248257071977754</v>
      </c>
      <c r="C139" s="56" t="s">
        <v>810</v>
      </c>
      <c r="D139" s="56">
        <v>988.6</v>
      </c>
      <c r="E139" s="56" t="s">
        <v>53</v>
      </c>
      <c r="F139" s="56" t="s">
        <v>811</v>
      </c>
      <c r="G139" s="56" t="s">
        <v>812</v>
      </c>
      <c r="H139" s="56" t="s">
        <v>813</v>
      </c>
      <c r="I139" s="59">
        <v>43634.9645949074</v>
      </c>
      <c r="J139" s="59">
        <v>43634.9646643518</v>
      </c>
      <c r="K139" s="56" t="s">
        <v>626</v>
      </c>
      <c r="L139" s="56" t="s">
        <v>814</v>
      </c>
      <c r="M139" s="56" t="s">
        <v>49</v>
      </c>
      <c r="N139" s="56" t="s">
        <v>815</v>
      </c>
      <c r="O139" s="56">
        <v>1</v>
      </c>
      <c r="P139" s="56">
        <v>0</v>
      </c>
      <c r="Q139" s="56" t="s">
        <v>51</v>
      </c>
      <c r="R139" s="59">
        <v>43645.7145486111</v>
      </c>
    </row>
    <row r="140" s="56" customFormat="1" spans="1:18">
      <c r="A140" s="55" t="e">
        <f>VLOOKUP(B140,[1]天猫!$B$3:$H$258,1,FALSE)</f>
        <v>#N/A</v>
      </c>
      <c r="B140" s="56" t="str">
        <f>"495861123249002525"</f>
        <v>495861123249002525</v>
      </c>
      <c r="C140" s="56" t="s">
        <v>816</v>
      </c>
      <c r="D140" s="56">
        <v>846</v>
      </c>
      <c r="E140" s="56" t="s">
        <v>53</v>
      </c>
      <c r="F140" s="56" t="s">
        <v>817</v>
      </c>
      <c r="G140" s="56" t="s">
        <v>818</v>
      </c>
      <c r="H140" s="56" t="s">
        <v>819</v>
      </c>
      <c r="I140" s="59">
        <v>43634.963287037</v>
      </c>
      <c r="J140" s="59">
        <v>43634.9633912037</v>
      </c>
      <c r="K140" s="56" t="s">
        <v>820</v>
      </c>
      <c r="L140" s="56" t="s">
        <v>821</v>
      </c>
      <c r="M140" s="56" t="s">
        <v>49</v>
      </c>
      <c r="N140" s="56" t="s">
        <v>822</v>
      </c>
      <c r="O140" s="56">
        <v>2</v>
      </c>
      <c r="P140" s="56">
        <v>0</v>
      </c>
      <c r="Q140" s="56" t="s">
        <v>51</v>
      </c>
      <c r="R140" s="59">
        <v>43641.5300810185</v>
      </c>
    </row>
    <row r="141" s="56" customFormat="1" spans="1:18">
      <c r="A141" s="55" t="e">
        <f>VLOOKUP(B141,[1]天猫!$B$3:$H$258,1,FALSE)</f>
        <v>#N/A</v>
      </c>
      <c r="B141" s="56" t="str">
        <f>"494830560126028850"</f>
        <v>494830560126028850</v>
      </c>
      <c r="C141" s="56" t="s">
        <v>823</v>
      </c>
      <c r="D141" s="56">
        <v>646.4</v>
      </c>
      <c r="E141" s="56" t="s">
        <v>53</v>
      </c>
      <c r="F141" s="56" t="s">
        <v>824</v>
      </c>
      <c r="G141" s="56" t="s">
        <v>825</v>
      </c>
      <c r="H141" s="56" t="s">
        <v>826</v>
      </c>
      <c r="I141" s="59">
        <v>43634.9569212963</v>
      </c>
      <c r="J141" s="59">
        <v>43634.980462963</v>
      </c>
      <c r="K141" s="56" t="s">
        <v>790</v>
      </c>
      <c r="L141" s="56" t="s">
        <v>827</v>
      </c>
      <c r="M141" s="56" t="s">
        <v>49</v>
      </c>
      <c r="N141" s="56" t="s">
        <v>828</v>
      </c>
      <c r="O141" s="56">
        <v>1</v>
      </c>
      <c r="P141" s="56">
        <v>0</v>
      </c>
      <c r="Q141" s="56" t="s">
        <v>51</v>
      </c>
      <c r="R141" s="59">
        <v>43657.6125231481</v>
      </c>
    </row>
    <row r="142" s="56" customFormat="1" spans="1:18">
      <c r="A142" s="55" t="e">
        <f>VLOOKUP(B142,[1]天猫!$B$3:$H$258,1,FALSE)</f>
        <v>#N/A</v>
      </c>
      <c r="B142" s="56" t="str">
        <f>"494787968415301373"</f>
        <v>494787968415301373</v>
      </c>
      <c r="C142" s="56" t="s">
        <v>829</v>
      </c>
      <c r="D142" s="56">
        <v>1743.6</v>
      </c>
      <c r="E142" s="56" t="s">
        <v>53</v>
      </c>
      <c r="F142" s="56" t="s">
        <v>830</v>
      </c>
      <c r="G142" s="56" t="s">
        <v>831</v>
      </c>
      <c r="H142" s="56" t="s">
        <v>832</v>
      </c>
      <c r="I142" s="59">
        <v>43634.9501041667</v>
      </c>
      <c r="J142" s="59">
        <v>43634.9503703704</v>
      </c>
      <c r="K142" s="56" t="s">
        <v>634</v>
      </c>
      <c r="L142" s="56" t="s">
        <v>833</v>
      </c>
      <c r="M142" s="56" t="s">
        <v>49</v>
      </c>
      <c r="N142" s="56" t="s">
        <v>834</v>
      </c>
      <c r="O142" s="56">
        <v>1</v>
      </c>
      <c r="P142" s="56">
        <v>0</v>
      </c>
      <c r="Q142" s="56" t="s">
        <v>51</v>
      </c>
      <c r="R142" s="59">
        <v>43646.6984606481</v>
      </c>
    </row>
    <row r="143" s="56" customFormat="1" spans="1:18">
      <c r="A143" s="55" t="e">
        <f>VLOOKUP(B143,[1]天猫!$B$3:$H$258,1,FALSE)</f>
        <v>#N/A</v>
      </c>
      <c r="B143" s="56" t="str">
        <f>"495513667921902531"</f>
        <v>495513667921902531</v>
      </c>
      <c r="C143" s="56" t="s">
        <v>835</v>
      </c>
      <c r="D143" s="56">
        <v>2049.1</v>
      </c>
      <c r="E143" s="56" t="s">
        <v>53</v>
      </c>
      <c r="F143" s="56" t="s">
        <v>836</v>
      </c>
      <c r="G143" s="56" t="s">
        <v>837</v>
      </c>
      <c r="H143" s="56" t="s">
        <v>838</v>
      </c>
      <c r="I143" s="59">
        <v>43634.9060532407</v>
      </c>
      <c r="J143" s="59">
        <v>43634.9061921296</v>
      </c>
      <c r="K143" s="56" t="s">
        <v>454</v>
      </c>
      <c r="L143" s="56" t="s">
        <v>839</v>
      </c>
      <c r="M143" s="56" t="s">
        <v>49</v>
      </c>
      <c r="N143" s="56" t="s">
        <v>840</v>
      </c>
      <c r="O143" s="56">
        <v>1</v>
      </c>
      <c r="P143" s="56">
        <v>0</v>
      </c>
      <c r="Q143" s="56" t="s">
        <v>51</v>
      </c>
      <c r="R143" s="59">
        <v>43645.7145601852</v>
      </c>
    </row>
    <row r="144" s="56" customFormat="1" spans="1:18">
      <c r="A144" s="55" t="e">
        <f>VLOOKUP(B144,[1]天猫!$B$3:$H$258,1,FALSE)</f>
        <v>#N/A</v>
      </c>
      <c r="B144" s="56" t="str">
        <f>"494739201606488434"</f>
        <v>494739201606488434</v>
      </c>
      <c r="C144" s="56" t="s">
        <v>841</v>
      </c>
      <c r="D144" s="56">
        <v>645.39</v>
      </c>
      <c r="E144" s="56" t="s">
        <v>53</v>
      </c>
      <c r="F144" s="56" t="s">
        <v>842</v>
      </c>
      <c r="G144" s="56" t="s">
        <v>843</v>
      </c>
      <c r="H144" s="56" t="s">
        <v>844</v>
      </c>
      <c r="I144" s="59">
        <v>43634.8729976852</v>
      </c>
      <c r="J144" s="59">
        <v>43634.8750578704</v>
      </c>
      <c r="K144" s="56" t="s">
        <v>790</v>
      </c>
      <c r="L144" s="56" t="s">
        <v>845</v>
      </c>
      <c r="M144" s="56" t="s">
        <v>49</v>
      </c>
      <c r="N144" s="56" t="s">
        <v>846</v>
      </c>
      <c r="O144" s="56">
        <v>1</v>
      </c>
      <c r="P144" s="56">
        <v>0</v>
      </c>
      <c r="Q144" s="56" t="s">
        <v>51</v>
      </c>
      <c r="R144" s="59">
        <v>43645.7144097222</v>
      </c>
    </row>
    <row r="145" s="56" customFormat="1" spans="1:18">
      <c r="A145" s="55" t="e">
        <f>VLOOKUP(B145,[1]天猫!$B$3:$H$258,1,FALSE)</f>
        <v>#N/A</v>
      </c>
      <c r="B145" s="56" t="str">
        <f>"495283043150254534"</f>
        <v>495283043150254534</v>
      </c>
      <c r="C145" s="56" t="s">
        <v>847</v>
      </c>
      <c r="D145" s="56">
        <v>509</v>
      </c>
      <c r="E145" s="56" t="s">
        <v>53</v>
      </c>
      <c r="F145" s="56" t="s">
        <v>848</v>
      </c>
      <c r="G145" s="56" t="s">
        <v>849</v>
      </c>
      <c r="H145" s="56" t="s">
        <v>850</v>
      </c>
      <c r="I145" s="59">
        <v>43634.8544560185</v>
      </c>
      <c r="J145" s="59">
        <v>43634.8545023148</v>
      </c>
      <c r="K145" s="56" t="s">
        <v>820</v>
      </c>
      <c r="L145" s="56" t="s">
        <v>851</v>
      </c>
      <c r="M145" s="56" t="s">
        <v>49</v>
      </c>
      <c r="N145" s="56" t="s">
        <v>852</v>
      </c>
      <c r="O145" s="56">
        <v>1</v>
      </c>
      <c r="P145" s="56">
        <v>0</v>
      </c>
      <c r="Q145" s="56" t="s">
        <v>51</v>
      </c>
      <c r="R145" s="59">
        <v>43642.4082638889</v>
      </c>
    </row>
    <row r="146" s="56" customFormat="1" spans="1:18">
      <c r="A146" s="55" t="e">
        <f>VLOOKUP(B146,[1]天猫!$B$3:$H$258,1,FALSE)</f>
        <v>#N/A</v>
      </c>
      <c r="B146" s="56" t="str">
        <f>"494287872885919276"</f>
        <v>494287872885919276</v>
      </c>
      <c r="C146" s="56" t="s">
        <v>853</v>
      </c>
      <c r="D146" s="56">
        <v>1981.44</v>
      </c>
      <c r="E146" s="56" t="s">
        <v>53</v>
      </c>
      <c r="F146" s="56" t="s">
        <v>854</v>
      </c>
      <c r="G146" s="56" t="s">
        <v>855</v>
      </c>
      <c r="H146" s="56" t="s">
        <v>856</v>
      </c>
      <c r="I146" s="59">
        <v>43634.8514467593</v>
      </c>
      <c r="J146" s="59">
        <v>43634.8516087963</v>
      </c>
      <c r="K146" s="56" t="s">
        <v>634</v>
      </c>
      <c r="L146" s="56" t="s">
        <v>857</v>
      </c>
      <c r="M146" s="56" t="s">
        <v>49</v>
      </c>
      <c r="N146" s="56" t="s">
        <v>858</v>
      </c>
      <c r="O146" s="56">
        <v>1</v>
      </c>
      <c r="P146" s="56">
        <v>0</v>
      </c>
      <c r="Q146" s="56" t="s">
        <v>51</v>
      </c>
      <c r="R146" s="59">
        <v>43638.5919675926</v>
      </c>
    </row>
    <row r="147" s="55" customFormat="1" spans="1:18">
      <c r="A147" s="55" t="e">
        <f>VLOOKUP(B147,[1]天猫!$B$3:$H$258,1,FALSE)</f>
        <v>#N/A</v>
      </c>
      <c r="B147" s="55" t="str">
        <f>"494853090854936180"</f>
        <v>494853090854936180</v>
      </c>
      <c r="C147" s="55" t="s">
        <v>859</v>
      </c>
      <c r="D147" s="55">
        <v>988.6</v>
      </c>
      <c r="E147" s="55" t="s">
        <v>53</v>
      </c>
      <c r="F147" s="55" t="s">
        <v>860</v>
      </c>
      <c r="G147" s="55" t="s">
        <v>861</v>
      </c>
      <c r="H147" s="55" t="s">
        <v>862</v>
      </c>
      <c r="I147" s="58">
        <v>43634.8071875</v>
      </c>
      <c r="J147" s="58">
        <v>43634.8073726852</v>
      </c>
      <c r="K147" s="55" t="s">
        <v>626</v>
      </c>
      <c r="L147" s="55" t="s">
        <v>863</v>
      </c>
      <c r="M147" s="55" t="s">
        <v>49</v>
      </c>
      <c r="N147" s="55" t="s">
        <v>864</v>
      </c>
      <c r="O147" s="55">
        <v>1</v>
      </c>
      <c r="P147" s="55">
        <v>0</v>
      </c>
      <c r="Q147" s="55" t="s">
        <v>51</v>
      </c>
      <c r="R147" s="58">
        <v>43645.7144560185</v>
      </c>
    </row>
    <row r="148" s="56" customFormat="1" spans="1:18">
      <c r="A148" s="55" t="e">
        <f>VLOOKUP(B148,[1]天猫!$B$3:$H$258,1,FALSE)</f>
        <v>#N/A</v>
      </c>
      <c r="B148" s="56" t="str">
        <f>"494937059464735221"</f>
        <v>494937059464735221</v>
      </c>
      <c r="C148" s="56" t="s">
        <v>865</v>
      </c>
      <c r="D148" s="56">
        <v>1763.12</v>
      </c>
      <c r="E148" s="56" t="s">
        <v>53</v>
      </c>
      <c r="F148" s="56" t="s">
        <v>866</v>
      </c>
      <c r="G148" s="56" t="s">
        <v>867</v>
      </c>
      <c r="H148" s="56" t="s">
        <v>868</v>
      </c>
      <c r="I148" s="59">
        <v>43634.7487384259</v>
      </c>
      <c r="J148" s="59">
        <v>43634.7487731481</v>
      </c>
      <c r="K148" s="56" t="s">
        <v>634</v>
      </c>
      <c r="L148" s="56" t="s">
        <v>869</v>
      </c>
      <c r="M148" s="56" t="s">
        <v>49</v>
      </c>
      <c r="N148" s="56" t="s">
        <v>870</v>
      </c>
      <c r="O148" s="56">
        <v>1</v>
      </c>
      <c r="P148" s="56">
        <v>0</v>
      </c>
      <c r="Q148" s="56" t="s">
        <v>51</v>
      </c>
      <c r="R148" s="59">
        <v>43646.6984143518</v>
      </c>
    </row>
    <row r="149" s="56" customFormat="1" spans="1:18">
      <c r="A149" s="55" t="e">
        <f>VLOOKUP(B149,[1]天猫!$B$3:$H$258,1,FALSE)</f>
        <v>#N/A</v>
      </c>
      <c r="B149" s="56" t="str">
        <f>"494922787883215470"</f>
        <v>494922787883215470</v>
      </c>
      <c r="C149" s="56" t="s">
        <v>871</v>
      </c>
      <c r="D149" s="56">
        <v>1744.93</v>
      </c>
      <c r="E149" s="56" t="s">
        <v>53</v>
      </c>
      <c r="F149" s="56" t="s">
        <v>872</v>
      </c>
      <c r="G149" s="56" t="s">
        <v>873</v>
      </c>
      <c r="H149" s="56" t="s">
        <v>874</v>
      </c>
      <c r="I149" s="59">
        <v>43634.7455671296</v>
      </c>
      <c r="J149" s="59">
        <v>43634.7456712963</v>
      </c>
      <c r="K149" s="56" t="s">
        <v>634</v>
      </c>
      <c r="L149" s="56" t="s">
        <v>875</v>
      </c>
      <c r="M149" s="56" t="s">
        <v>49</v>
      </c>
      <c r="N149" s="56" t="s">
        <v>876</v>
      </c>
      <c r="O149" s="56">
        <v>1</v>
      </c>
      <c r="P149" s="56">
        <v>0</v>
      </c>
      <c r="Q149" s="56" t="s">
        <v>51</v>
      </c>
      <c r="R149" s="59">
        <v>43646.6984722222</v>
      </c>
    </row>
    <row r="150" s="56" customFormat="1" spans="1:18">
      <c r="A150" s="55" t="e">
        <f>VLOOKUP(B150,[1]天猫!$B$3:$H$258,1,FALSE)</f>
        <v>#N/A</v>
      </c>
      <c r="B150" s="56" t="str">
        <f>"284285412781909599"</f>
        <v>284285412781909599</v>
      </c>
      <c r="C150" s="56" t="s">
        <v>877</v>
      </c>
      <c r="D150" s="56">
        <v>1763.12</v>
      </c>
      <c r="E150" s="56" t="s">
        <v>53</v>
      </c>
      <c r="F150" s="56" t="s">
        <v>878</v>
      </c>
      <c r="G150" s="56" t="s">
        <v>879</v>
      </c>
      <c r="H150" s="56" t="s">
        <v>880</v>
      </c>
      <c r="I150" s="59">
        <v>43634.7416203704</v>
      </c>
      <c r="J150" s="59">
        <v>43634.7417824074</v>
      </c>
      <c r="K150" s="56" t="s">
        <v>634</v>
      </c>
      <c r="L150" s="56" t="s">
        <v>881</v>
      </c>
      <c r="M150" s="56" t="s">
        <v>49</v>
      </c>
      <c r="N150" s="56" t="s">
        <v>882</v>
      </c>
      <c r="O150" s="56">
        <v>1</v>
      </c>
      <c r="P150" s="56">
        <v>0</v>
      </c>
      <c r="Q150" s="56" t="s">
        <v>51</v>
      </c>
      <c r="R150" s="59">
        <v>43645.7145023148</v>
      </c>
    </row>
    <row r="151" s="56" customFormat="1" spans="1:18">
      <c r="A151" s="55" t="e">
        <f>VLOOKUP(B151,[1]天猫!$B$3:$H$258,1,FALSE)</f>
        <v>#N/A</v>
      </c>
      <c r="B151" s="56" t="str">
        <f>"284397221711506198"</f>
        <v>284397221711506198</v>
      </c>
      <c r="C151" s="56" t="s">
        <v>883</v>
      </c>
      <c r="D151" s="56">
        <v>685.53</v>
      </c>
      <c r="E151" s="56" t="s">
        <v>53</v>
      </c>
      <c r="F151" s="56" t="s">
        <v>884</v>
      </c>
      <c r="G151" s="56" t="s">
        <v>885</v>
      </c>
      <c r="H151" s="56" t="s">
        <v>886</v>
      </c>
      <c r="I151" s="59">
        <v>43634.7314930556</v>
      </c>
      <c r="J151" s="59">
        <v>43634.7315393519</v>
      </c>
      <c r="K151" s="56" t="s">
        <v>820</v>
      </c>
      <c r="L151" s="56" t="s">
        <v>887</v>
      </c>
      <c r="M151" s="56" t="s">
        <v>49</v>
      </c>
      <c r="N151" s="56" t="s">
        <v>888</v>
      </c>
      <c r="O151" s="56">
        <v>1</v>
      </c>
      <c r="P151" s="56">
        <v>0</v>
      </c>
      <c r="Q151" s="56" t="s">
        <v>51</v>
      </c>
      <c r="R151" s="59">
        <v>43637.8339930556</v>
      </c>
    </row>
    <row r="152" s="55" customFormat="1" spans="1:18">
      <c r="A152" s="55" t="e">
        <f>VLOOKUP(B152,[1]天猫!$B$3:$H$258,1,FALSE)</f>
        <v>#N/A</v>
      </c>
      <c r="B152" s="55" t="str">
        <f>"494546978752370526"</f>
        <v>494546978752370526</v>
      </c>
      <c r="C152" s="55" t="s">
        <v>889</v>
      </c>
      <c r="D152" s="55">
        <v>730.4</v>
      </c>
      <c r="E152" s="55" t="s">
        <v>53</v>
      </c>
      <c r="F152" s="55" t="s">
        <v>890</v>
      </c>
      <c r="G152" s="55" t="s">
        <v>891</v>
      </c>
      <c r="H152" s="55" t="s">
        <v>892</v>
      </c>
      <c r="I152" s="58">
        <v>43634.707025463</v>
      </c>
      <c r="J152" s="58">
        <v>43634.7082175926</v>
      </c>
      <c r="K152" s="55" t="s">
        <v>893</v>
      </c>
      <c r="L152" s="55" t="s">
        <v>894</v>
      </c>
      <c r="M152" s="55" t="s">
        <v>49</v>
      </c>
      <c r="N152" s="55" t="s">
        <v>895</v>
      </c>
      <c r="O152" s="55">
        <v>1</v>
      </c>
      <c r="P152" s="55">
        <v>0</v>
      </c>
      <c r="Q152" s="55" t="s">
        <v>51</v>
      </c>
      <c r="R152" s="58">
        <v>43644.722962963</v>
      </c>
    </row>
    <row r="153" s="55" customFormat="1" spans="1:18">
      <c r="A153" s="55" t="e">
        <f>VLOOKUP(B153,[1]天猫!$B$3:$H$258,1,FALSE)</f>
        <v>#N/A</v>
      </c>
      <c r="B153" s="55" t="str">
        <f>"494167169469125872"</f>
        <v>494167169469125872</v>
      </c>
      <c r="C153" s="55" t="s">
        <v>896</v>
      </c>
      <c r="D153" s="55">
        <v>3132.36</v>
      </c>
      <c r="E153" s="55" t="s">
        <v>53</v>
      </c>
      <c r="F153" s="55" t="s">
        <v>897</v>
      </c>
      <c r="G153" s="55" t="s">
        <v>898</v>
      </c>
      <c r="H153" s="55" t="s">
        <v>899</v>
      </c>
      <c r="I153" s="58">
        <v>43634.701412037</v>
      </c>
      <c r="J153" s="58">
        <v>43634.7015046296</v>
      </c>
      <c r="K153" s="55" t="s">
        <v>900</v>
      </c>
      <c r="L153" s="55" t="s">
        <v>901</v>
      </c>
      <c r="M153" s="55" t="s">
        <v>49</v>
      </c>
      <c r="N153" s="55" t="s">
        <v>902</v>
      </c>
      <c r="O153" s="55">
        <v>2</v>
      </c>
      <c r="P153" s="55">
        <v>0</v>
      </c>
      <c r="Q153" s="55" t="s">
        <v>51</v>
      </c>
      <c r="R153" s="58">
        <v>43644.7230208333</v>
      </c>
    </row>
    <row r="154" s="55" customFormat="1" spans="1:18">
      <c r="A154" s="55" t="e">
        <f>VLOOKUP(B154,[1]天猫!$B$3:$H$258,1,FALSE)</f>
        <v>#N/A</v>
      </c>
      <c r="B154" s="55" t="str">
        <f>"494063297098384424"</f>
        <v>494063297098384424</v>
      </c>
      <c r="C154" s="55" t="s">
        <v>903</v>
      </c>
      <c r="D154" s="55">
        <v>1209.4</v>
      </c>
      <c r="E154" s="55" t="s">
        <v>53</v>
      </c>
      <c r="F154" s="55" t="s">
        <v>904</v>
      </c>
      <c r="G154" s="55" t="s">
        <v>905</v>
      </c>
      <c r="H154" s="55" t="s">
        <v>906</v>
      </c>
      <c r="I154" s="58">
        <v>43634.6692013889</v>
      </c>
      <c r="J154" s="58">
        <v>43634.6692939815</v>
      </c>
      <c r="K154" s="55" t="s">
        <v>907</v>
      </c>
      <c r="L154" s="55" t="s">
        <v>908</v>
      </c>
      <c r="M154" s="55" t="s">
        <v>49</v>
      </c>
      <c r="N154" s="55" t="s">
        <v>909</v>
      </c>
      <c r="O154" s="55">
        <v>1</v>
      </c>
      <c r="P154" s="55">
        <v>0</v>
      </c>
      <c r="Q154" s="55" t="s">
        <v>51</v>
      </c>
      <c r="R154" s="58">
        <v>43644.7230092593</v>
      </c>
    </row>
    <row r="155" s="55" customFormat="1" spans="1:18">
      <c r="A155" s="55" t="e">
        <f>VLOOKUP(B155,[1]天猫!$B$3:$H$258,1,FALSE)</f>
        <v>#N/A</v>
      </c>
      <c r="B155" s="55" t="str">
        <f>"494371714423755488"</f>
        <v>494371714423755488</v>
      </c>
      <c r="C155" s="55" t="s">
        <v>910</v>
      </c>
      <c r="D155" s="55">
        <v>960.4</v>
      </c>
      <c r="E155" s="55" t="s">
        <v>53</v>
      </c>
      <c r="F155" s="55" t="s">
        <v>911</v>
      </c>
      <c r="G155" s="55" t="s">
        <v>912</v>
      </c>
      <c r="H155" s="55" t="s">
        <v>913</v>
      </c>
      <c r="I155" s="58">
        <v>43634.6552199074</v>
      </c>
      <c r="J155" s="58">
        <v>43634.6623263889</v>
      </c>
      <c r="K155" s="55" t="s">
        <v>914</v>
      </c>
      <c r="L155" s="55" t="s">
        <v>915</v>
      </c>
      <c r="M155" s="55" t="s">
        <v>49</v>
      </c>
      <c r="N155" s="55" t="s">
        <v>916</v>
      </c>
      <c r="O155" s="55">
        <v>1</v>
      </c>
      <c r="P155" s="55">
        <v>0</v>
      </c>
      <c r="Q155" s="55" t="s">
        <v>51</v>
      </c>
      <c r="R155" s="58">
        <v>43644.7230439815</v>
      </c>
    </row>
    <row r="156" s="55" customFormat="1" spans="1:18">
      <c r="A156" s="55" t="e">
        <f>VLOOKUP(B156,[1]天猫!$B$3:$H$258,1,FALSE)</f>
        <v>#N/A</v>
      </c>
      <c r="B156" s="55" t="str">
        <f>"493615264695133822"</f>
        <v>493615264695133822</v>
      </c>
      <c r="C156" s="55" t="s">
        <v>917</v>
      </c>
      <c r="D156" s="55">
        <v>5539.05</v>
      </c>
      <c r="E156" s="55" t="s">
        <v>53</v>
      </c>
      <c r="F156" s="55" t="s">
        <v>918</v>
      </c>
      <c r="G156" s="55" t="s">
        <v>919</v>
      </c>
      <c r="H156" s="55" t="s">
        <v>920</v>
      </c>
      <c r="I156" s="58">
        <v>43634.6422222222</v>
      </c>
      <c r="J156" s="58">
        <v>43634.6427662037</v>
      </c>
      <c r="K156" s="55" t="s">
        <v>921</v>
      </c>
      <c r="L156" s="55" t="s">
        <v>922</v>
      </c>
      <c r="M156" s="55" t="s">
        <v>49</v>
      </c>
      <c r="N156" s="55" t="s">
        <v>923</v>
      </c>
      <c r="O156" s="55">
        <v>1</v>
      </c>
      <c r="P156" s="55">
        <v>0</v>
      </c>
      <c r="Q156" s="55" t="s">
        <v>51</v>
      </c>
      <c r="R156" s="58">
        <v>43644.7228819444</v>
      </c>
    </row>
    <row r="157" s="55" customFormat="1" hidden="1" spans="1:18">
      <c r="A157" s="1" t="str">
        <f>VLOOKUP(B157,[1]天猫!$B$3:$H$258,1,FALSE)</f>
        <v>494316610700071545</v>
      </c>
      <c r="B157" s="55" t="str">
        <f>"494316610700071545"</f>
        <v>494316610700071545</v>
      </c>
      <c r="C157" s="55" t="s">
        <v>924</v>
      </c>
      <c r="D157" s="55">
        <v>1008.6</v>
      </c>
      <c r="E157" s="55" t="s">
        <v>53</v>
      </c>
      <c r="F157" s="55" t="s">
        <v>925</v>
      </c>
      <c r="G157" s="55" t="s">
        <v>926</v>
      </c>
      <c r="H157" s="55" t="s">
        <v>927</v>
      </c>
      <c r="I157" s="58">
        <v>43634.6404861111</v>
      </c>
      <c r="J157" s="58">
        <v>43634.646087963</v>
      </c>
      <c r="K157" s="55" t="s">
        <v>626</v>
      </c>
      <c r="L157" s="55" t="s">
        <v>928</v>
      </c>
      <c r="M157" s="55" t="s">
        <v>49</v>
      </c>
      <c r="N157" s="55" t="s">
        <v>929</v>
      </c>
      <c r="O157" s="55">
        <v>1</v>
      </c>
      <c r="P157" s="55">
        <v>0</v>
      </c>
      <c r="Q157" s="55" t="s">
        <v>51</v>
      </c>
      <c r="R157" s="58">
        <v>43638.7074305556</v>
      </c>
    </row>
    <row r="158" s="48" customFormat="1" hidden="1" spans="1:18">
      <c r="A158" s="55" t="str">
        <f>VLOOKUP(B158,[1]天猫!$B$3:$H$258,1,FALSE)</f>
        <v>494437027398743950</v>
      </c>
      <c r="B158" s="48" t="str">
        <f>"494437027398743950"</f>
        <v>494437027398743950</v>
      </c>
      <c r="C158" s="48" t="s">
        <v>930</v>
      </c>
      <c r="D158" s="48">
        <v>866</v>
      </c>
      <c r="E158" s="48" t="s">
        <v>53</v>
      </c>
      <c r="F158" s="48" t="s">
        <v>931</v>
      </c>
      <c r="G158" s="48" t="s">
        <v>932</v>
      </c>
      <c r="H158" s="48" t="s">
        <v>933</v>
      </c>
      <c r="I158" s="51">
        <v>43634.5995023148</v>
      </c>
      <c r="J158" s="51">
        <v>43634.6057523148</v>
      </c>
      <c r="K158" s="48" t="s">
        <v>820</v>
      </c>
      <c r="L158" s="48" t="s">
        <v>934</v>
      </c>
      <c r="M158" s="48" t="s">
        <v>49</v>
      </c>
      <c r="O158" s="48">
        <v>2</v>
      </c>
      <c r="P158" s="48">
        <v>0</v>
      </c>
      <c r="Q158" s="48" t="s">
        <v>51</v>
      </c>
      <c r="R158" s="51">
        <v>43640.8438888889</v>
      </c>
    </row>
    <row r="159" s="48" customFormat="1" hidden="1" spans="1:18">
      <c r="A159" s="55" t="str">
        <f>VLOOKUP(B159,[1]天猫!$B$3:$H$258,1,FALSE)</f>
        <v>494375811042623442</v>
      </c>
      <c r="B159" s="48" t="str">
        <f>"494375811042623442"</f>
        <v>494375811042623442</v>
      </c>
      <c r="C159" s="48" t="s">
        <v>935</v>
      </c>
      <c r="D159" s="48">
        <v>2689.2</v>
      </c>
      <c r="E159" s="48" t="s">
        <v>53</v>
      </c>
      <c r="F159" s="48" t="s">
        <v>936</v>
      </c>
      <c r="G159" s="48" t="s">
        <v>937</v>
      </c>
      <c r="H159" s="48" t="s">
        <v>938</v>
      </c>
      <c r="I159" s="51">
        <v>43634.5809143518</v>
      </c>
      <c r="J159" s="51">
        <v>43634.5880902778</v>
      </c>
      <c r="K159" s="48" t="s">
        <v>673</v>
      </c>
      <c r="L159" s="48" t="s">
        <v>939</v>
      </c>
      <c r="M159" s="48" t="s">
        <v>49</v>
      </c>
      <c r="O159" s="48">
        <v>1</v>
      </c>
      <c r="P159" s="48">
        <v>0</v>
      </c>
      <c r="Q159" s="48" t="s">
        <v>51</v>
      </c>
      <c r="R159" s="51">
        <v>43643.9373842593</v>
      </c>
    </row>
    <row r="160" s="55" customFormat="1" spans="1:18">
      <c r="A160" s="55" t="e">
        <f>VLOOKUP(B160,[1]天猫!$B$3:$H$258,1,FALSE)</f>
        <v>#N/A</v>
      </c>
      <c r="B160" s="55" t="str">
        <f>"493667233110169408"</f>
        <v>493667233110169408</v>
      </c>
      <c r="C160" s="55" t="s">
        <v>940</v>
      </c>
      <c r="D160" s="55">
        <v>2711</v>
      </c>
      <c r="E160" s="55" t="s">
        <v>53</v>
      </c>
      <c r="F160" s="55" t="s">
        <v>941</v>
      </c>
      <c r="G160" s="55" t="s">
        <v>942</v>
      </c>
      <c r="H160" s="55" t="s">
        <v>943</v>
      </c>
      <c r="I160" s="58">
        <v>43634.5537847222</v>
      </c>
      <c r="J160" s="58">
        <v>43634.5539930556</v>
      </c>
      <c r="K160" s="55" t="s">
        <v>673</v>
      </c>
      <c r="L160" s="55" t="s">
        <v>944</v>
      </c>
      <c r="M160" s="55" t="s">
        <v>49</v>
      </c>
      <c r="N160" s="55" t="s">
        <v>945</v>
      </c>
      <c r="O160" s="55">
        <v>1</v>
      </c>
      <c r="P160" s="55">
        <v>0</v>
      </c>
      <c r="Q160" s="55" t="s">
        <v>51</v>
      </c>
      <c r="R160" s="58">
        <v>43644.722974537</v>
      </c>
    </row>
    <row r="161" s="56" customFormat="1" spans="1:17">
      <c r="A161" s="55" t="e">
        <f>VLOOKUP(B161,[1]天猫!$B$3:$H$258,1,FALSE)</f>
        <v>#N/A</v>
      </c>
      <c r="B161" s="56" t="str">
        <f>"493567809240834880"</f>
        <v>493567809240834880</v>
      </c>
      <c r="C161" s="56" t="s">
        <v>946</v>
      </c>
      <c r="D161" s="56">
        <v>1162.52</v>
      </c>
      <c r="E161" s="56" t="s">
        <v>630</v>
      </c>
      <c r="F161" s="56" t="s">
        <v>947</v>
      </c>
      <c r="G161" s="56" t="s">
        <v>948</v>
      </c>
      <c r="H161" s="56" t="s">
        <v>949</v>
      </c>
      <c r="I161" s="59">
        <v>43634.5255902778</v>
      </c>
      <c r="J161" s="59">
        <v>43634.5284606482</v>
      </c>
      <c r="K161" s="56" t="s">
        <v>900</v>
      </c>
      <c r="M161" s="56" t="s">
        <v>635</v>
      </c>
      <c r="N161" s="56" t="s">
        <v>950</v>
      </c>
      <c r="O161" s="56">
        <v>1</v>
      </c>
      <c r="P161" s="56">
        <v>0</v>
      </c>
      <c r="Q161" s="56" t="s">
        <v>51</v>
      </c>
    </row>
    <row r="162" s="55" customFormat="1" spans="1:17">
      <c r="A162" s="55" t="e">
        <f>VLOOKUP(B162,[1]天猫!$B$3:$H$258,1,FALSE)</f>
        <v>#N/A</v>
      </c>
      <c r="B162" s="55" t="str">
        <f>"493139616451096448"</f>
        <v>493139616451096448</v>
      </c>
      <c r="C162" s="55" t="s">
        <v>951</v>
      </c>
      <c r="D162" s="55">
        <v>2719.1</v>
      </c>
      <c r="E162" s="55" t="s">
        <v>43</v>
      </c>
      <c r="F162" s="55" t="s">
        <v>952</v>
      </c>
      <c r="G162" s="55" t="s">
        <v>953</v>
      </c>
      <c r="H162" s="55" t="s">
        <v>46</v>
      </c>
      <c r="I162" s="58">
        <v>43634.5042708333</v>
      </c>
      <c r="J162" s="58">
        <v>43634.5043634259</v>
      </c>
      <c r="K162" s="55" t="s">
        <v>673</v>
      </c>
      <c r="L162" s="55" t="s">
        <v>954</v>
      </c>
      <c r="M162" s="55" t="s">
        <v>49</v>
      </c>
      <c r="N162" s="55" t="s">
        <v>955</v>
      </c>
      <c r="O162" s="55">
        <v>1</v>
      </c>
      <c r="P162" s="55">
        <v>0</v>
      </c>
      <c r="Q162" s="55" t="s">
        <v>51</v>
      </c>
    </row>
    <row r="163" s="55" customFormat="1" spans="1:18">
      <c r="A163" s="55" t="e">
        <f>VLOOKUP(B163,[1]天猫!$B$3:$H$258,1,FALSE)</f>
        <v>#N/A</v>
      </c>
      <c r="B163" s="55" t="str">
        <f>"494079363904201943"</f>
        <v>494079363904201943</v>
      </c>
      <c r="C163" s="55" t="s">
        <v>956</v>
      </c>
      <c r="D163" s="55">
        <v>5539.05</v>
      </c>
      <c r="E163" s="55" t="s">
        <v>53</v>
      </c>
      <c r="F163" s="55" t="s">
        <v>957</v>
      </c>
      <c r="G163" s="55" t="s">
        <v>958</v>
      </c>
      <c r="H163" s="55" t="s">
        <v>959</v>
      </c>
      <c r="I163" s="58">
        <v>43634.4943402778</v>
      </c>
      <c r="J163" s="58">
        <v>43634.4946643518</v>
      </c>
      <c r="K163" s="55" t="s">
        <v>921</v>
      </c>
      <c r="L163" s="55" t="s">
        <v>960</v>
      </c>
      <c r="M163" s="55" t="s">
        <v>49</v>
      </c>
      <c r="N163" s="55" t="s">
        <v>961</v>
      </c>
      <c r="O163" s="55">
        <v>1</v>
      </c>
      <c r="P163" s="55">
        <v>0</v>
      </c>
      <c r="Q163" s="55" t="s">
        <v>51</v>
      </c>
      <c r="R163" s="58">
        <v>43644.7229976852</v>
      </c>
    </row>
    <row r="164" s="55" customFormat="1" spans="1:18">
      <c r="A164" s="55" t="e">
        <f>VLOOKUP(B164,[1]天猫!$B$3:$H$258,1,FALSE)</f>
        <v>#N/A</v>
      </c>
      <c r="B164" s="55" t="str">
        <f>"494049443774339120"</f>
        <v>494049443774339120</v>
      </c>
      <c r="C164" s="55" t="s">
        <v>962</v>
      </c>
      <c r="D164" s="55">
        <v>423</v>
      </c>
      <c r="E164" s="55" t="s">
        <v>53</v>
      </c>
      <c r="F164" s="55" t="s">
        <v>963</v>
      </c>
      <c r="G164" s="55" t="s">
        <v>964</v>
      </c>
      <c r="H164" s="55" t="s">
        <v>965</v>
      </c>
      <c r="I164" s="58">
        <v>43634.4856712963</v>
      </c>
      <c r="J164" s="58">
        <v>43634.4859027778</v>
      </c>
      <c r="K164" s="55" t="s">
        <v>820</v>
      </c>
      <c r="L164" s="55" t="s">
        <v>966</v>
      </c>
      <c r="M164" s="55" t="s">
        <v>49</v>
      </c>
      <c r="N164" s="55" t="s">
        <v>967</v>
      </c>
      <c r="O164" s="55">
        <v>1</v>
      </c>
      <c r="P164" s="55">
        <v>0</v>
      </c>
      <c r="Q164" s="55" t="s">
        <v>51</v>
      </c>
      <c r="R164" s="58">
        <v>43636.6149305556</v>
      </c>
    </row>
    <row r="165" s="55" customFormat="1" spans="1:18">
      <c r="A165" s="55" t="e">
        <f>VLOOKUP(B165,[1]天猫!$B$3:$H$258,1,FALSE)</f>
        <v>#N/A</v>
      </c>
      <c r="B165" s="55" t="str">
        <f>"493983331838089186"</f>
        <v>493983331838089186</v>
      </c>
      <c r="C165" s="55" t="s">
        <v>968</v>
      </c>
      <c r="D165" s="55">
        <v>1713.12</v>
      </c>
      <c r="E165" s="55" t="s">
        <v>53</v>
      </c>
      <c r="F165" s="55" t="s">
        <v>969</v>
      </c>
      <c r="G165" s="55" t="s">
        <v>970</v>
      </c>
      <c r="H165" s="55" t="s">
        <v>971</v>
      </c>
      <c r="I165" s="58">
        <v>43634.4670949074</v>
      </c>
      <c r="J165" s="58">
        <v>43634.4699884259</v>
      </c>
      <c r="K165" s="55" t="s">
        <v>634</v>
      </c>
      <c r="L165" s="55" t="s">
        <v>972</v>
      </c>
      <c r="M165" s="55" t="s">
        <v>49</v>
      </c>
      <c r="N165" s="55" t="s">
        <v>973</v>
      </c>
      <c r="O165" s="55">
        <v>1</v>
      </c>
      <c r="P165" s="55">
        <v>0</v>
      </c>
      <c r="Q165" s="55" t="s">
        <v>341</v>
      </c>
      <c r="R165" s="58">
        <v>43649.6984259259</v>
      </c>
    </row>
    <row r="166" s="48" customFormat="1" hidden="1" spans="1:18">
      <c r="A166" s="55" t="str">
        <f>VLOOKUP(B166,[1]天猫!$B$3:$H$258,1,FALSE)</f>
        <v>493605506191744537</v>
      </c>
      <c r="B166" s="48" t="str">
        <f>"493605506191744537"</f>
        <v>493605506191744537</v>
      </c>
      <c r="C166" s="48" t="s">
        <v>974</v>
      </c>
      <c r="D166" s="48">
        <v>1755.2</v>
      </c>
      <c r="E166" s="48" t="s">
        <v>53</v>
      </c>
      <c r="F166" s="48" t="s">
        <v>975</v>
      </c>
      <c r="G166" s="48" t="s">
        <v>976</v>
      </c>
      <c r="H166" s="48" t="s">
        <v>977</v>
      </c>
      <c r="I166" s="51">
        <v>43634.4334143518</v>
      </c>
      <c r="J166" s="51">
        <v>43634.4392939815</v>
      </c>
      <c r="K166" s="48" t="s">
        <v>634</v>
      </c>
      <c r="L166" s="48" t="s">
        <v>978</v>
      </c>
      <c r="M166" s="48" t="s">
        <v>49</v>
      </c>
      <c r="O166" s="48">
        <v>1</v>
      </c>
      <c r="P166" s="48">
        <v>0</v>
      </c>
      <c r="Q166" s="48" t="s">
        <v>51</v>
      </c>
      <c r="R166" s="51">
        <v>43638.3814467593</v>
      </c>
    </row>
    <row r="167" s="48" customFormat="1" hidden="1" spans="1:18">
      <c r="A167" s="55" t="str">
        <f>VLOOKUP(B167,[1]天猫!$B$3:$H$258,1,FALSE)</f>
        <v>493602626347746671</v>
      </c>
      <c r="B167" s="48" t="str">
        <f>"493602626347746671"</f>
        <v>493602626347746671</v>
      </c>
      <c r="C167" s="48" t="s">
        <v>979</v>
      </c>
      <c r="D167" s="48">
        <v>1763.12</v>
      </c>
      <c r="E167" s="48" t="s">
        <v>53</v>
      </c>
      <c r="F167" s="48" t="s">
        <v>980</v>
      </c>
      <c r="G167" s="48" t="s">
        <v>981</v>
      </c>
      <c r="H167" s="48" t="s">
        <v>982</v>
      </c>
      <c r="I167" s="51">
        <v>43634.4325578704</v>
      </c>
      <c r="J167" s="51">
        <v>43634.4514467593</v>
      </c>
      <c r="K167" s="48" t="s">
        <v>634</v>
      </c>
      <c r="L167" s="48" t="s">
        <v>983</v>
      </c>
      <c r="M167" s="48" t="s">
        <v>49</v>
      </c>
      <c r="O167" s="48">
        <v>1</v>
      </c>
      <c r="P167" s="48">
        <v>0</v>
      </c>
      <c r="Q167" s="48" t="s">
        <v>51</v>
      </c>
      <c r="R167" s="51">
        <v>43639.6170833333</v>
      </c>
    </row>
    <row r="168" s="55" customFormat="1" spans="1:18">
      <c r="A168" s="55" t="e">
        <f>VLOOKUP(B168,[1]天猫!$B$3:$H$258,1,FALSE)</f>
        <v>#N/A</v>
      </c>
      <c r="B168" s="55" t="str">
        <f>"492838496009975611"</f>
        <v>492838496009975611</v>
      </c>
      <c r="C168" s="55" t="s">
        <v>984</v>
      </c>
      <c r="D168" s="55">
        <v>2566.08</v>
      </c>
      <c r="E168" s="55" t="s">
        <v>53</v>
      </c>
      <c r="F168" s="55" t="s">
        <v>985</v>
      </c>
      <c r="G168" s="55" t="s">
        <v>986</v>
      </c>
      <c r="H168" s="55" t="s">
        <v>987</v>
      </c>
      <c r="I168" s="58">
        <v>43634.4193634259</v>
      </c>
      <c r="J168" s="58">
        <v>43634.4194328704</v>
      </c>
      <c r="K168" s="55" t="s">
        <v>69</v>
      </c>
      <c r="L168" s="55" t="s">
        <v>988</v>
      </c>
      <c r="M168" s="55" t="s">
        <v>49</v>
      </c>
      <c r="N168" s="55" t="s">
        <v>989</v>
      </c>
      <c r="O168" s="55">
        <v>1</v>
      </c>
      <c r="P168" s="55">
        <v>0</v>
      </c>
      <c r="Q168" s="55" t="s">
        <v>51</v>
      </c>
      <c r="R168" s="58">
        <v>43650.6904282407</v>
      </c>
    </row>
    <row r="169" s="55" customFormat="1" spans="1:18">
      <c r="A169" s="55" t="e">
        <f>VLOOKUP(B169,[1]天猫!$B$3:$H$258,1,FALSE)</f>
        <v>#N/A</v>
      </c>
      <c r="B169" s="55" t="str">
        <f>"493681379703070987"</f>
        <v>493681379703070987</v>
      </c>
      <c r="C169" s="55" t="s">
        <v>990</v>
      </c>
      <c r="D169" s="55">
        <v>1438</v>
      </c>
      <c r="E169" s="55" t="s">
        <v>53</v>
      </c>
      <c r="F169" s="55" t="s">
        <v>991</v>
      </c>
      <c r="G169" s="55" t="s">
        <v>992</v>
      </c>
      <c r="H169" s="55" t="s">
        <v>993</v>
      </c>
      <c r="I169" s="58">
        <v>43634.3820023148</v>
      </c>
      <c r="J169" s="58">
        <v>43634.3822106481</v>
      </c>
      <c r="K169" s="55" t="s">
        <v>900</v>
      </c>
      <c r="L169" s="55" t="s">
        <v>994</v>
      </c>
      <c r="M169" s="55" t="s">
        <v>49</v>
      </c>
      <c r="N169" s="55" t="s">
        <v>995</v>
      </c>
      <c r="O169" s="55">
        <v>1</v>
      </c>
      <c r="P169" s="55">
        <v>0</v>
      </c>
      <c r="Q169" s="55" t="s">
        <v>51</v>
      </c>
      <c r="R169" s="58">
        <v>43650.6895717593</v>
      </c>
    </row>
    <row r="170" s="55" customFormat="1" spans="1:18">
      <c r="A170" s="55" t="e">
        <f>VLOOKUP(B170,[1]天猫!$B$3:$H$258,1,FALSE)</f>
        <v>#N/A</v>
      </c>
      <c r="B170" s="55" t="str">
        <f>"492707424310077532"</f>
        <v>492707424310077532</v>
      </c>
      <c r="C170" s="55" t="s">
        <v>996</v>
      </c>
      <c r="D170" s="55">
        <v>2532.77</v>
      </c>
      <c r="E170" s="55" t="s">
        <v>53</v>
      </c>
      <c r="F170" s="55" t="s">
        <v>997</v>
      </c>
      <c r="G170" s="55" t="s">
        <v>998</v>
      </c>
      <c r="H170" s="55" t="s">
        <v>999</v>
      </c>
      <c r="I170" s="58">
        <v>43634.3796643519</v>
      </c>
      <c r="J170" s="58">
        <v>43634.382974537</v>
      </c>
      <c r="K170" s="55" t="s">
        <v>673</v>
      </c>
      <c r="L170" s="55" t="s">
        <v>1000</v>
      </c>
      <c r="M170" s="55" t="s">
        <v>49</v>
      </c>
      <c r="N170" s="55" t="s">
        <v>1001</v>
      </c>
      <c r="O170" s="55">
        <v>1</v>
      </c>
      <c r="P170" s="55">
        <v>0</v>
      </c>
      <c r="Q170" s="55" t="s">
        <v>51</v>
      </c>
      <c r="R170" s="58">
        <v>43646.4371064815</v>
      </c>
    </row>
    <row r="171" s="55" customFormat="1" spans="1:18">
      <c r="A171" s="55" t="e">
        <f>VLOOKUP(B171,[1]天猫!$B$3:$H$258,1,FALSE)</f>
        <v>#N/A</v>
      </c>
      <c r="B171" s="55" t="str">
        <f>"492658912506437682"</f>
        <v>492658912506437682</v>
      </c>
      <c r="C171" s="55" t="s">
        <v>1002</v>
      </c>
      <c r="D171" s="55">
        <v>1841.44</v>
      </c>
      <c r="E171" s="55" t="s">
        <v>53</v>
      </c>
      <c r="F171" s="55" t="s">
        <v>1003</v>
      </c>
      <c r="G171" s="55" t="s">
        <v>1004</v>
      </c>
      <c r="H171" s="55" t="s">
        <v>1005</v>
      </c>
      <c r="I171" s="58">
        <v>43634.3606365741</v>
      </c>
      <c r="J171" s="58">
        <v>43634.3607060185</v>
      </c>
      <c r="K171" s="55" t="s">
        <v>634</v>
      </c>
      <c r="L171" s="55" t="s">
        <v>1006</v>
      </c>
      <c r="M171" s="55" t="s">
        <v>49</v>
      </c>
      <c r="N171" s="55" t="s">
        <v>1007</v>
      </c>
      <c r="O171" s="55">
        <v>1</v>
      </c>
      <c r="P171" s="55">
        <v>0</v>
      </c>
      <c r="Q171" s="55" t="s">
        <v>51</v>
      </c>
      <c r="R171" s="58">
        <v>43644.7228472222</v>
      </c>
    </row>
    <row r="172" s="55" customFormat="1" spans="1:18">
      <c r="A172" s="55" t="e">
        <f>VLOOKUP(B172,[1]天猫!$B$3:$H$258,1,FALSE)</f>
        <v>#N/A</v>
      </c>
      <c r="B172" s="55" t="str">
        <f>"493578531099924663"</f>
        <v>493578531099924663</v>
      </c>
      <c r="C172" s="55" t="s">
        <v>1008</v>
      </c>
      <c r="D172" s="55">
        <v>1494</v>
      </c>
      <c r="E172" s="55" t="s">
        <v>53</v>
      </c>
      <c r="F172" s="55" t="s">
        <v>1009</v>
      </c>
      <c r="G172" s="55" t="s">
        <v>1010</v>
      </c>
      <c r="H172" s="55" t="s">
        <v>1011</v>
      </c>
      <c r="I172" s="58">
        <v>43634.3298842593</v>
      </c>
      <c r="J172" s="58">
        <v>43634.3299421296</v>
      </c>
      <c r="K172" s="55" t="s">
        <v>900</v>
      </c>
      <c r="L172" s="55" t="s">
        <v>1012</v>
      </c>
      <c r="M172" s="55" t="s">
        <v>49</v>
      </c>
      <c r="N172" s="55" t="s">
        <v>1013</v>
      </c>
      <c r="O172" s="55">
        <v>1</v>
      </c>
      <c r="P172" s="55">
        <v>0</v>
      </c>
      <c r="Q172" s="55" t="s">
        <v>51</v>
      </c>
      <c r="R172" s="58">
        <v>43644.7229050926</v>
      </c>
    </row>
    <row r="173" s="55" customFormat="1" spans="1:18">
      <c r="A173" s="55" t="e">
        <f>VLOOKUP(B173,[1]天猫!$B$3:$H$258,1,FALSE)</f>
        <v>#N/A</v>
      </c>
      <c r="B173" s="55" t="str">
        <f>"492598656261955910"</f>
        <v>492598656261955910</v>
      </c>
      <c r="C173" s="55" t="s">
        <v>1014</v>
      </c>
      <c r="D173" s="55">
        <v>1052.8</v>
      </c>
      <c r="E173" s="55" t="s">
        <v>53</v>
      </c>
      <c r="F173" s="55" t="s">
        <v>1015</v>
      </c>
      <c r="G173" s="55" t="s">
        <v>1016</v>
      </c>
      <c r="H173" s="55" t="s">
        <v>1017</v>
      </c>
      <c r="I173" s="58">
        <v>43634.3246180556</v>
      </c>
      <c r="J173" s="58">
        <v>43634.3247916667</v>
      </c>
      <c r="K173" s="55" t="s">
        <v>893</v>
      </c>
      <c r="L173" s="55" t="s">
        <v>1018</v>
      </c>
      <c r="M173" s="55" t="s">
        <v>49</v>
      </c>
      <c r="N173" s="55" t="s">
        <v>1019</v>
      </c>
      <c r="O173" s="55">
        <v>1</v>
      </c>
      <c r="P173" s="55">
        <v>0</v>
      </c>
      <c r="Q173" s="55" t="s">
        <v>51</v>
      </c>
      <c r="R173" s="58">
        <v>43644.7229050926</v>
      </c>
    </row>
    <row r="174" s="55" customFormat="1" spans="1:18">
      <c r="A174" s="55" t="e">
        <f>VLOOKUP(B174,[1]天猫!$B$3:$H$258,1,FALSE)</f>
        <v>#N/A</v>
      </c>
      <c r="B174" s="55" t="str">
        <f>"493264578508767812"</f>
        <v>493264578508767812</v>
      </c>
      <c r="C174" s="55" t="s">
        <v>1020</v>
      </c>
      <c r="D174" s="55">
        <v>1693.83</v>
      </c>
      <c r="E174" s="55" t="s">
        <v>53</v>
      </c>
      <c r="F174" s="55" t="s">
        <v>1021</v>
      </c>
      <c r="G174" s="55" t="s">
        <v>1022</v>
      </c>
      <c r="H174" s="55" t="s">
        <v>1023</v>
      </c>
      <c r="I174" s="58">
        <v>43634.2842592593</v>
      </c>
      <c r="J174" s="58">
        <v>43634.2846064815</v>
      </c>
      <c r="K174" s="55" t="s">
        <v>634</v>
      </c>
      <c r="L174" s="55" t="s">
        <v>1024</v>
      </c>
      <c r="M174" s="55" t="s">
        <v>49</v>
      </c>
      <c r="N174" s="55" t="s">
        <v>1025</v>
      </c>
      <c r="O174" s="55">
        <v>1</v>
      </c>
      <c r="P174" s="55">
        <v>0</v>
      </c>
      <c r="Q174" s="55" t="s">
        <v>51</v>
      </c>
      <c r="R174" s="58">
        <v>43640.8854976852</v>
      </c>
    </row>
    <row r="175" s="55" customFormat="1" spans="1:18">
      <c r="A175" s="55" t="e">
        <f>VLOOKUP(B175,[1]天猫!$B$3:$H$258,1,FALSE)</f>
        <v>#N/A</v>
      </c>
      <c r="B175" s="55" t="str">
        <f>"492277856636358663"</f>
        <v>492277856636358663</v>
      </c>
      <c r="C175" s="55" t="s">
        <v>1026</v>
      </c>
      <c r="D175" s="55">
        <v>1763.12</v>
      </c>
      <c r="E175" s="55" t="s">
        <v>53</v>
      </c>
      <c r="F175" s="55" t="s">
        <v>1027</v>
      </c>
      <c r="G175" s="55" t="s">
        <v>1028</v>
      </c>
      <c r="H175" s="55" t="s">
        <v>1029</v>
      </c>
      <c r="I175" s="58">
        <v>43633.9994212963</v>
      </c>
      <c r="J175" s="58">
        <v>43634.0003819444</v>
      </c>
      <c r="K175" s="55" t="s">
        <v>634</v>
      </c>
      <c r="L175" s="55" t="s">
        <v>1030</v>
      </c>
      <c r="M175" s="55" t="s">
        <v>49</v>
      </c>
      <c r="N175" s="55" t="s">
        <v>1031</v>
      </c>
      <c r="O175" s="55">
        <v>1</v>
      </c>
      <c r="P175" s="55">
        <v>0</v>
      </c>
      <c r="Q175" s="55" t="s">
        <v>51</v>
      </c>
      <c r="R175" s="58">
        <v>43644.7229976852</v>
      </c>
    </row>
    <row r="176" s="56" customFormat="1" spans="1:17">
      <c r="A176" s="55" t="e">
        <f>VLOOKUP(B176,[1]天猫!$B$3:$H$258,1,FALSE)</f>
        <v>#N/A</v>
      </c>
      <c r="B176" s="56" t="str">
        <f>"492874594246834880"</f>
        <v>492874594246834880</v>
      </c>
      <c r="C176" s="56" t="s">
        <v>946</v>
      </c>
      <c r="D176" s="56">
        <v>7652.48</v>
      </c>
      <c r="E176" s="56" t="s">
        <v>630</v>
      </c>
      <c r="F176" s="56" t="s">
        <v>947</v>
      </c>
      <c r="G176" s="56" t="s">
        <v>1032</v>
      </c>
      <c r="H176" s="56" t="s">
        <v>949</v>
      </c>
      <c r="I176" s="59">
        <v>43633.9541666667</v>
      </c>
      <c r="J176" s="59">
        <v>43633.9663541667</v>
      </c>
      <c r="K176" s="56" t="s">
        <v>634</v>
      </c>
      <c r="M176" s="56" t="s">
        <v>635</v>
      </c>
      <c r="N176" s="56" t="s">
        <v>1033</v>
      </c>
      <c r="O176" s="56">
        <v>4</v>
      </c>
      <c r="P176" s="56">
        <v>0</v>
      </c>
      <c r="Q176" s="56" t="s">
        <v>51</v>
      </c>
    </row>
    <row r="177" s="56" customFormat="1" spans="1:18">
      <c r="A177" s="55" t="e">
        <f>VLOOKUP(B177,[1]天猫!$B$3:$H$258,1,FALSE)</f>
        <v>#N/A</v>
      </c>
      <c r="B177" s="56" t="str">
        <f>"493043267489003482"</f>
        <v>493043267489003482</v>
      </c>
      <c r="C177" s="56" t="s">
        <v>1034</v>
      </c>
      <c r="D177" s="56">
        <v>2037.86</v>
      </c>
      <c r="E177" s="56" t="s">
        <v>53</v>
      </c>
      <c r="F177" s="56" t="s">
        <v>1035</v>
      </c>
      <c r="G177" s="56" t="s">
        <v>1036</v>
      </c>
      <c r="H177" s="56" t="s">
        <v>1037</v>
      </c>
      <c r="I177" s="59">
        <v>43633.9226041667</v>
      </c>
      <c r="J177" s="59">
        <v>43633.9228356481</v>
      </c>
      <c r="K177" s="56" t="s">
        <v>454</v>
      </c>
      <c r="L177" s="56" t="s">
        <v>1038</v>
      </c>
      <c r="M177" s="56" t="s">
        <v>49</v>
      </c>
      <c r="N177" s="56" t="s">
        <v>1039</v>
      </c>
      <c r="O177" s="56">
        <v>1</v>
      </c>
      <c r="P177" s="56">
        <v>0</v>
      </c>
      <c r="Q177" s="56" t="s">
        <v>51</v>
      </c>
      <c r="R177" s="59">
        <v>43644.7228935185</v>
      </c>
    </row>
    <row r="178" s="56" customFormat="1" spans="1:18">
      <c r="A178" s="55" t="e">
        <f>VLOOKUP(B178,[1]天猫!$B$3:$H$258,1,FALSE)</f>
        <v>#N/A</v>
      </c>
      <c r="B178" s="56" t="str">
        <f>"492610402834618767"</f>
        <v>492610402834618767</v>
      </c>
      <c r="C178" s="56" t="s">
        <v>1040</v>
      </c>
      <c r="D178" s="56">
        <v>988</v>
      </c>
      <c r="E178" s="56" t="s">
        <v>53</v>
      </c>
      <c r="F178" s="56" t="s">
        <v>1041</v>
      </c>
      <c r="G178" s="56" t="s">
        <v>1042</v>
      </c>
      <c r="H178" s="56" t="s">
        <v>1043</v>
      </c>
      <c r="I178" s="59">
        <v>43633.8662731481</v>
      </c>
      <c r="J178" s="59">
        <v>43633.8663425926</v>
      </c>
      <c r="K178" s="56" t="s">
        <v>900</v>
      </c>
      <c r="L178" s="56" t="s">
        <v>1044</v>
      </c>
      <c r="M178" s="56" t="s">
        <v>49</v>
      </c>
      <c r="N178" s="56" t="s">
        <v>1045</v>
      </c>
      <c r="O178" s="56">
        <v>1</v>
      </c>
      <c r="P178" s="56">
        <v>0</v>
      </c>
      <c r="Q178" s="56" t="s">
        <v>51</v>
      </c>
      <c r="R178" s="59">
        <v>43644.7228935185</v>
      </c>
    </row>
    <row r="179" s="56" customFormat="1" spans="1:18">
      <c r="A179" s="55" t="e">
        <f>VLOOKUP(B179,[1]天猫!$B$3:$H$258,1,FALSE)</f>
        <v>#N/A</v>
      </c>
      <c r="B179" s="56" t="str">
        <f>"492677923653068837"</f>
        <v>492677923653068837</v>
      </c>
      <c r="C179" s="56" t="s">
        <v>1046</v>
      </c>
      <c r="D179" s="56">
        <v>988.6</v>
      </c>
      <c r="E179" s="56" t="s">
        <v>53</v>
      </c>
      <c r="F179" s="56" t="s">
        <v>1047</v>
      </c>
      <c r="G179" s="56" t="s">
        <v>1048</v>
      </c>
      <c r="H179" s="56" t="s">
        <v>1049</v>
      </c>
      <c r="I179" s="59">
        <v>43633.7890972222</v>
      </c>
      <c r="J179" s="59">
        <v>43633.7892708333</v>
      </c>
      <c r="K179" s="56" t="s">
        <v>626</v>
      </c>
      <c r="L179" s="56" t="s">
        <v>1050</v>
      </c>
      <c r="M179" s="56" t="s">
        <v>49</v>
      </c>
      <c r="N179" s="56" t="s">
        <v>815</v>
      </c>
      <c r="O179" s="56">
        <v>1</v>
      </c>
      <c r="P179" s="56">
        <v>0</v>
      </c>
      <c r="Q179" s="56" t="s">
        <v>51</v>
      </c>
      <c r="R179" s="59">
        <v>43644.7228819444</v>
      </c>
    </row>
    <row r="180" s="56" customFormat="1" spans="1:18">
      <c r="A180" s="55" t="e">
        <f>VLOOKUP(B180,[1]天猫!$B$3:$H$258,1,FALSE)</f>
        <v>#N/A</v>
      </c>
      <c r="B180" s="56" t="str">
        <f>"492387810022860913"</f>
        <v>492387810022860913</v>
      </c>
      <c r="C180" s="56" t="s">
        <v>1051</v>
      </c>
      <c r="D180" s="56">
        <v>443</v>
      </c>
      <c r="E180" s="56" t="s">
        <v>53</v>
      </c>
      <c r="F180" s="56" t="s">
        <v>1052</v>
      </c>
      <c r="G180" s="56" t="s">
        <v>1053</v>
      </c>
      <c r="H180" s="56" t="s">
        <v>1054</v>
      </c>
      <c r="I180" s="59">
        <v>43633.773125</v>
      </c>
      <c r="J180" s="59">
        <v>43633.773275463</v>
      </c>
      <c r="K180" s="56" t="s">
        <v>820</v>
      </c>
      <c r="L180" s="56" t="s">
        <v>1055</v>
      </c>
      <c r="M180" s="56" t="s">
        <v>49</v>
      </c>
      <c r="N180" s="56" t="s">
        <v>1056</v>
      </c>
      <c r="O180" s="56">
        <v>1</v>
      </c>
      <c r="P180" s="56">
        <v>0</v>
      </c>
      <c r="Q180" s="56" t="s">
        <v>51</v>
      </c>
      <c r="R180" s="59">
        <v>43644.7228703704</v>
      </c>
    </row>
    <row r="181" s="56" customFormat="1" spans="1:18">
      <c r="A181" s="55" t="e">
        <f>VLOOKUP(B181,[1]天猫!$B$3:$H$258,1,FALSE)</f>
        <v>#N/A</v>
      </c>
      <c r="B181" s="56" t="str">
        <f>"491672096495247686"</f>
        <v>491672096495247686</v>
      </c>
      <c r="C181" s="56" t="s">
        <v>1057</v>
      </c>
      <c r="D181" s="56">
        <v>2559.2</v>
      </c>
      <c r="E181" s="56" t="s">
        <v>53</v>
      </c>
      <c r="F181" s="56" t="s">
        <v>1058</v>
      </c>
      <c r="G181" s="56" t="s">
        <v>1059</v>
      </c>
      <c r="H181" s="56" t="s">
        <v>1060</v>
      </c>
      <c r="I181" s="59">
        <v>43633.766875</v>
      </c>
      <c r="J181" s="59">
        <v>43633.7669675926</v>
      </c>
      <c r="K181" s="56" t="s">
        <v>673</v>
      </c>
      <c r="L181" s="56" t="s">
        <v>1061</v>
      </c>
      <c r="M181" s="56" t="s">
        <v>49</v>
      </c>
      <c r="N181" s="56" t="s">
        <v>1062</v>
      </c>
      <c r="O181" s="56">
        <v>1</v>
      </c>
      <c r="P181" s="56">
        <v>0</v>
      </c>
      <c r="Q181" s="56" t="s">
        <v>51</v>
      </c>
      <c r="R181" s="59">
        <v>43644.7229050926</v>
      </c>
    </row>
    <row r="182" s="57" customFormat="1" spans="1:18">
      <c r="A182" s="55" t="e">
        <f>VLOOKUP(B182,[1]天猫!$B$3:$H$258,1,FALSE)</f>
        <v>#N/A</v>
      </c>
      <c r="B182" s="57" t="str">
        <f>"491908865138397617"</f>
        <v>491908865138397617</v>
      </c>
      <c r="C182" s="57" t="s">
        <v>1063</v>
      </c>
      <c r="D182" s="57">
        <v>137</v>
      </c>
      <c r="E182" s="57" t="s">
        <v>53</v>
      </c>
      <c r="F182" s="57" t="s">
        <v>1064</v>
      </c>
      <c r="G182" s="57" t="s">
        <v>1065</v>
      </c>
      <c r="H182" s="57" t="s">
        <v>1066</v>
      </c>
      <c r="I182" s="60">
        <v>43633.7172916667</v>
      </c>
      <c r="J182" s="60">
        <v>43633.717349537</v>
      </c>
      <c r="K182" s="57" t="s">
        <v>95</v>
      </c>
      <c r="L182" s="57" t="s">
        <v>1067</v>
      </c>
      <c r="M182" s="57" t="s">
        <v>89</v>
      </c>
      <c r="N182" s="57" t="s">
        <v>1068</v>
      </c>
      <c r="O182" s="57">
        <v>137</v>
      </c>
      <c r="P182" s="57">
        <v>0</v>
      </c>
      <c r="Q182" s="57" t="s">
        <v>51</v>
      </c>
      <c r="R182" s="60">
        <v>43644.7235763889</v>
      </c>
    </row>
    <row r="183" s="56" customFormat="1" spans="1:18">
      <c r="A183" s="55" t="e">
        <f>VLOOKUP(B183,[1]天猫!$B$3:$H$258,1,FALSE)</f>
        <v>#N/A</v>
      </c>
      <c r="B183" s="56" t="str">
        <f>"491533408510397617"</f>
        <v>491533408510397617</v>
      </c>
      <c r="C183" s="56" t="s">
        <v>1063</v>
      </c>
      <c r="D183" s="56">
        <v>1763.12</v>
      </c>
      <c r="E183" s="56" t="s">
        <v>53</v>
      </c>
      <c r="F183" s="56" t="s">
        <v>1064</v>
      </c>
      <c r="G183" s="56" t="s">
        <v>1069</v>
      </c>
      <c r="H183" s="56" t="s">
        <v>1066</v>
      </c>
      <c r="I183" s="59">
        <v>43633.7071064815</v>
      </c>
      <c r="J183" s="59">
        <v>43633.7072106482</v>
      </c>
      <c r="K183" s="56" t="s">
        <v>634</v>
      </c>
      <c r="L183" s="56" t="s">
        <v>1067</v>
      </c>
      <c r="M183" s="56" t="s">
        <v>89</v>
      </c>
      <c r="N183" s="56" t="s">
        <v>1070</v>
      </c>
      <c r="O183" s="56">
        <v>1</v>
      </c>
      <c r="P183" s="56">
        <v>0</v>
      </c>
      <c r="Q183" s="56" t="s">
        <v>51</v>
      </c>
      <c r="R183" s="59">
        <v>43644.7235763889</v>
      </c>
    </row>
    <row r="184" s="48" customFormat="1" hidden="1" spans="1:18">
      <c r="A184" s="55" t="str">
        <f>VLOOKUP(B184,[1]天猫!$B$3:$H$258,1,FALSE)</f>
        <v>491488640389915318</v>
      </c>
      <c r="B184" s="48" t="str">
        <f>"491488640389915318"</f>
        <v>491488640389915318</v>
      </c>
      <c r="C184" s="48" t="s">
        <v>1071</v>
      </c>
      <c r="D184" s="48">
        <v>3999.05</v>
      </c>
      <c r="E184" s="48" t="s">
        <v>53</v>
      </c>
      <c r="F184" s="48" t="s">
        <v>1072</v>
      </c>
      <c r="G184" s="48" t="s">
        <v>1073</v>
      </c>
      <c r="H184" s="48" t="s">
        <v>1074</v>
      </c>
      <c r="I184" s="51">
        <v>43633.6891203704</v>
      </c>
      <c r="J184" s="51">
        <v>43633.703275463</v>
      </c>
      <c r="K184" s="48" t="s">
        <v>649</v>
      </c>
      <c r="L184" s="48" t="s">
        <v>1075</v>
      </c>
      <c r="M184" s="48" t="s">
        <v>49</v>
      </c>
      <c r="O184" s="48">
        <v>1</v>
      </c>
      <c r="P184" s="48">
        <v>0</v>
      </c>
      <c r="Q184" s="48" t="s">
        <v>51</v>
      </c>
      <c r="R184" s="51">
        <v>43639.4487152778</v>
      </c>
    </row>
    <row r="185" s="48" customFormat="1" hidden="1" spans="1:18">
      <c r="A185" s="55" t="str">
        <f>VLOOKUP(B185,[1]天猫!$B$3:$H$258,1,FALSE)</f>
        <v>491686561598226720</v>
      </c>
      <c r="B185" s="48" t="str">
        <f>"491686561598226720"</f>
        <v>491686561598226720</v>
      </c>
      <c r="C185" s="48" t="s">
        <v>1076</v>
      </c>
      <c r="D185" s="48">
        <v>2386.08</v>
      </c>
      <c r="E185" s="48" t="s">
        <v>53</v>
      </c>
      <c r="F185" s="48" t="s">
        <v>1077</v>
      </c>
      <c r="G185" s="48" t="s">
        <v>1078</v>
      </c>
      <c r="H185" s="48" t="s">
        <v>1079</v>
      </c>
      <c r="I185" s="51">
        <v>43633.6349189815</v>
      </c>
      <c r="J185" s="51">
        <v>43633.6538773148</v>
      </c>
      <c r="K185" s="48" t="s">
        <v>69</v>
      </c>
      <c r="L185" s="48" t="s">
        <v>1080</v>
      </c>
      <c r="M185" s="48" t="s">
        <v>49</v>
      </c>
      <c r="O185" s="48">
        <v>1</v>
      </c>
      <c r="P185" s="48">
        <v>0</v>
      </c>
      <c r="Q185" s="48" t="s">
        <v>51</v>
      </c>
      <c r="R185" s="51">
        <v>43638.3613888889</v>
      </c>
    </row>
    <row r="186" s="55" customFormat="1" spans="1:18">
      <c r="A186" s="55" t="e">
        <f>VLOOKUP(B186,[1]天猫!$B$3:$H$258,1,FALSE)</f>
        <v>#N/A</v>
      </c>
      <c r="B186" s="55" t="str">
        <f>"492218755896322482"</f>
        <v>492218755896322482</v>
      </c>
      <c r="C186" s="55" t="s">
        <v>1081</v>
      </c>
      <c r="D186" s="55">
        <v>1744.44</v>
      </c>
      <c r="E186" s="55" t="s">
        <v>53</v>
      </c>
      <c r="F186" s="55" t="s">
        <v>1082</v>
      </c>
      <c r="G186" s="55" t="s">
        <v>1083</v>
      </c>
      <c r="H186" s="55" t="s">
        <v>1084</v>
      </c>
      <c r="I186" s="58">
        <v>43633.6038078704</v>
      </c>
      <c r="J186" s="58">
        <v>43633.6038773148</v>
      </c>
      <c r="K186" s="55" t="s">
        <v>634</v>
      </c>
      <c r="L186" s="55" t="s">
        <v>1085</v>
      </c>
      <c r="M186" s="55" t="s">
        <v>49</v>
      </c>
      <c r="N186" s="55" t="s">
        <v>1086</v>
      </c>
      <c r="O186" s="55">
        <v>1</v>
      </c>
      <c r="P186" s="55">
        <v>0</v>
      </c>
      <c r="Q186" s="55" t="s">
        <v>51</v>
      </c>
      <c r="R186" s="58">
        <v>43643.7274768519</v>
      </c>
    </row>
    <row r="187" s="55" customFormat="1" spans="1:18">
      <c r="A187" s="55" t="e">
        <f>VLOOKUP(B187,[1]天猫!$B$3:$H$258,1,FALSE)</f>
        <v>#N/A</v>
      </c>
      <c r="B187" s="55" t="str">
        <f>"492032739652307575"</f>
        <v>492032739652307575</v>
      </c>
      <c r="C187" s="55" t="s">
        <v>1087</v>
      </c>
      <c r="D187" s="55">
        <v>1818.18</v>
      </c>
      <c r="E187" s="55" t="s">
        <v>53</v>
      </c>
      <c r="F187" s="55" t="s">
        <v>1088</v>
      </c>
      <c r="G187" s="55" t="s">
        <v>1089</v>
      </c>
      <c r="H187" s="55" t="s">
        <v>1090</v>
      </c>
      <c r="I187" s="58">
        <v>43633.5322222222</v>
      </c>
      <c r="J187" s="58">
        <v>43633.5333680556</v>
      </c>
      <c r="K187" s="55" t="s">
        <v>634</v>
      </c>
      <c r="L187" s="55" t="s">
        <v>1091</v>
      </c>
      <c r="M187" s="55" t="s">
        <v>49</v>
      </c>
      <c r="N187" s="55" t="s">
        <v>1092</v>
      </c>
      <c r="O187" s="55">
        <v>1</v>
      </c>
      <c r="P187" s="55">
        <v>0</v>
      </c>
      <c r="Q187" s="55" t="s">
        <v>51</v>
      </c>
      <c r="R187" s="58">
        <v>43643.7275462963</v>
      </c>
    </row>
    <row r="188" s="55" customFormat="1" spans="1:18">
      <c r="A188" s="55" t="e">
        <f>VLOOKUP(B188,[1]天猫!$B$3:$H$258,1,FALSE)</f>
        <v>#N/A</v>
      </c>
      <c r="B188" s="55" t="str">
        <f>"491012480389604419"</f>
        <v>491012480389604419</v>
      </c>
      <c r="C188" s="55" t="s">
        <v>1093</v>
      </c>
      <c r="D188" s="55">
        <v>5</v>
      </c>
      <c r="E188" s="55" t="s">
        <v>53</v>
      </c>
      <c r="F188" s="55" t="s">
        <v>1094</v>
      </c>
      <c r="G188" s="55" t="s">
        <v>1095</v>
      </c>
      <c r="H188" s="55" t="s">
        <v>1096</v>
      </c>
      <c r="I188" s="58">
        <v>43633.5040856482</v>
      </c>
      <c r="J188" s="58">
        <v>43633.5041319444</v>
      </c>
      <c r="K188" s="55" t="s">
        <v>95</v>
      </c>
      <c r="L188" s="55" t="s">
        <v>1097</v>
      </c>
      <c r="M188" s="55" t="s">
        <v>49</v>
      </c>
      <c r="N188" s="55" t="s">
        <v>1098</v>
      </c>
      <c r="O188" s="55">
        <v>5</v>
      </c>
      <c r="P188" s="55">
        <v>0</v>
      </c>
      <c r="Q188" s="55" t="s">
        <v>51</v>
      </c>
      <c r="R188" s="58">
        <v>43644.7233333333</v>
      </c>
    </row>
    <row r="189" s="55" customFormat="1" spans="1:18">
      <c r="A189" s="55" t="e">
        <f>VLOOKUP(B189,[1]天猫!$B$3:$H$258,1,FALSE)</f>
        <v>#N/A</v>
      </c>
      <c r="B189" s="55" t="str">
        <f>"491697218929604419"</f>
        <v>491697218929604419</v>
      </c>
      <c r="C189" s="55" t="s">
        <v>1093</v>
      </c>
      <c r="D189" s="55">
        <v>3523</v>
      </c>
      <c r="E189" s="55" t="s">
        <v>53</v>
      </c>
      <c r="F189" s="55" t="s">
        <v>1094</v>
      </c>
      <c r="G189" s="55" t="s">
        <v>1095</v>
      </c>
      <c r="H189" s="55" t="s">
        <v>1096</v>
      </c>
      <c r="I189" s="58">
        <v>43633.5026041667</v>
      </c>
      <c r="J189" s="58">
        <v>43633.5038657407</v>
      </c>
      <c r="K189" s="55" t="s">
        <v>634</v>
      </c>
      <c r="L189" s="55" t="s">
        <v>1097</v>
      </c>
      <c r="M189" s="55" t="s">
        <v>49</v>
      </c>
      <c r="N189" s="55" t="s">
        <v>1099</v>
      </c>
      <c r="O189" s="55">
        <v>1</v>
      </c>
      <c r="P189" s="55">
        <v>0</v>
      </c>
      <c r="Q189" s="55" t="s">
        <v>51</v>
      </c>
      <c r="R189" s="58">
        <v>43644.7233217593</v>
      </c>
    </row>
    <row r="190" s="55" customFormat="1" spans="1:18">
      <c r="A190" s="55" t="e">
        <f>VLOOKUP(B190,[1]天猫!$B$3:$H$258,1,FALSE)</f>
        <v>#N/A</v>
      </c>
      <c r="B190" s="55" t="str">
        <f>"491897571675880933"</f>
        <v>491897571675880933</v>
      </c>
      <c r="C190" s="55" t="s">
        <v>1100</v>
      </c>
      <c r="D190" s="55">
        <v>632.8</v>
      </c>
      <c r="E190" s="55" t="s">
        <v>53</v>
      </c>
      <c r="F190" s="55" t="s">
        <v>1101</v>
      </c>
      <c r="G190" s="55" t="s">
        <v>1102</v>
      </c>
      <c r="H190" s="55" t="s">
        <v>1103</v>
      </c>
      <c r="I190" s="58">
        <v>43633.4790740741</v>
      </c>
      <c r="J190" s="58">
        <v>43633.4797916667</v>
      </c>
      <c r="K190" s="55" t="s">
        <v>1104</v>
      </c>
      <c r="L190" s="55" t="s">
        <v>1105</v>
      </c>
      <c r="M190" s="55" t="s">
        <v>49</v>
      </c>
      <c r="N190" s="55" t="s">
        <v>1106</v>
      </c>
      <c r="O190" s="55">
        <v>1</v>
      </c>
      <c r="P190" s="55">
        <v>0</v>
      </c>
      <c r="Q190" s="55" t="s">
        <v>51</v>
      </c>
      <c r="R190" s="58">
        <v>43643.7275</v>
      </c>
    </row>
    <row r="191" s="55" customFormat="1" spans="1:18">
      <c r="A191" s="55" t="e">
        <f>VLOOKUP(B191,[1]天猫!$B$3:$H$258,1,FALSE)</f>
        <v>#N/A</v>
      </c>
      <c r="B191" s="55" t="str">
        <f>"284273190704696094"</f>
        <v>284273190704696094</v>
      </c>
      <c r="C191" s="55" t="s">
        <v>1107</v>
      </c>
      <c r="D191" s="55">
        <v>451.57</v>
      </c>
      <c r="E191" s="55" t="s">
        <v>53</v>
      </c>
      <c r="F191" s="55" t="s">
        <v>1108</v>
      </c>
      <c r="G191" s="55" t="s">
        <v>1109</v>
      </c>
      <c r="H191" s="55" t="s">
        <v>1110</v>
      </c>
      <c r="I191" s="58">
        <v>43633.478125</v>
      </c>
      <c r="J191" s="58">
        <v>43633.4782060185</v>
      </c>
      <c r="K191" s="55" t="s">
        <v>820</v>
      </c>
      <c r="L191" s="55" t="s">
        <v>1111</v>
      </c>
      <c r="M191" s="55" t="s">
        <v>49</v>
      </c>
      <c r="N191" s="55" t="s">
        <v>1112</v>
      </c>
      <c r="O191" s="55">
        <v>1</v>
      </c>
      <c r="P191" s="55">
        <v>0</v>
      </c>
      <c r="Q191" s="55" t="s">
        <v>51</v>
      </c>
      <c r="R191" s="58">
        <v>43640.7223032407</v>
      </c>
    </row>
    <row r="192" s="55" customFormat="1" spans="1:18">
      <c r="A192" s="55" t="e">
        <f>VLOOKUP(B192,[1]天猫!$B$3:$H$258,1,FALSE)</f>
        <v>#N/A</v>
      </c>
      <c r="B192" s="55" t="str">
        <f>"490940320046207248"</f>
        <v>490940320046207248</v>
      </c>
      <c r="C192" s="55" t="s">
        <v>1113</v>
      </c>
      <c r="D192" s="55">
        <v>2839.4</v>
      </c>
      <c r="E192" s="55" t="s">
        <v>53</v>
      </c>
      <c r="F192" s="55" t="s">
        <v>1114</v>
      </c>
      <c r="G192" s="55" t="s">
        <v>1115</v>
      </c>
      <c r="H192" s="55" t="s">
        <v>1116</v>
      </c>
      <c r="I192" s="58">
        <v>43633.4746527778</v>
      </c>
      <c r="J192" s="58">
        <v>43633.4746990741</v>
      </c>
      <c r="K192" s="55" t="s">
        <v>673</v>
      </c>
      <c r="L192" s="55" t="s">
        <v>1117</v>
      </c>
      <c r="M192" s="55" t="s">
        <v>49</v>
      </c>
      <c r="N192" s="55" t="s">
        <v>1118</v>
      </c>
      <c r="O192" s="55">
        <v>1</v>
      </c>
      <c r="P192" s="55">
        <v>0</v>
      </c>
      <c r="Q192" s="55" t="s">
        <v>51</v>
      </c>
      <c r="R192" s="58">
        <v>43640.2811921296</v>
      </c>
    </row>
    <row r="193" s="48" customFormat="1" hidden="1" spans="1:18">
      <c r="A193" s="55" t="str">
        <f>VLOOKUP(B193,[1]天猫!$B$3:$H$258,1,FALSE)</f>
        <v>490936352443448625</v>
      </c>
      <c r="B193" s="48" t="str">
        <f>"490936352443448625"</f>
        <v>490936352443448625</v>
      </c>
      <c r="C193" s="48" t="s">
        <v>1119</v>
      </c>
      <c r="D193" s="48">
        <v>2829.2</v>
      </c>
      <c r="E193" s="48" t="s">
        <v>53</v>
      </c>
      <c r="F193" s="48" t="s">
        <v>1120</v>
      </c>
      <c r="G193" s="48" t="s">
        <v>1121</v>
      </c>
      <c r="H193" s="48" t="s">
        <v>1122</v>
      </c>
      <c r="I193" s="51">
        <v>43633.474212963</v>
      </c>
      <c r="J193" s="51">
        <v>43633.4795138889</v>
      </c>
      <c r="K193" s="48" t="s">
        <v>673</v>
      </c>
      <c r="L193" s="48" t="s">
        <v>1123</v>
      </c>
      <c r="M193" s="48" t="s">
        <v>49</v>
      </c>
      <c r="O193" s="48">
        <v>1</v>
      </c>
      <c r="P193" s="48">
        <v>0</v>
      </c>
      <c r="Q193" s="48" t="s">
        <v>51</v>
      </c>
      <c r="R193" s="51">
        <v>43638.4378472222</v>
      </c>
    </row>
    <row r="194" s="48" customFormat="1" hidden="1" spans="1:18">
      <c r="A194" s="55" t="str">
        <f>VLOOKUP(B194,[1]天猫!$B$3:$H$258,1,FALSE)</f>
        <v>491274945415699943</v>
      </c>
      <c r="B194" s="48" t="str">
        <f>"491274945415699943"</f>
        <v>491274945415699943</v>
      </c>
      <c r="C194" s="48" t="s">
        <v>1124</v>
      </c>
      <c r="D194" s="48">
        <v>1755.2</v>
      </c>
      <c r="E194" s="48" t="s">
        <v>53</v>
      </c>
      <c r="F194" s="48" t="s">
        <v>1125</v>
      </c>
      <c r="G194" s="48" t="s">
        <v>1126</v>
      </c>
      <c r="H194" s="48" t="s">
        <v>1127</v>
      </c>
      <c r="I194" s="51">
        <v>43633.4721412037</v>
      </c>
      <c r="J194" s="51">
        <v>43633.4764583333</v>
      </c>
      <c r="K194" s="48" t="s">
        <v>634</v>
      </c>
      <c r="L194" s="48" t="s">
        <v>1128</v>
      </c>
      <c r="M194" s="48" t="s">
        <v>49</v>
      </c>
      <c r="O194" s="48">
        <v>1</v>
      </c>
      <c r="P194" s="48">
        <v>0</v>
      </c>
      <c r="Q194" s="48" t="s">
        <v>51</v>
      </c>
      <c r="R194" s="51">
        <v>43638.5869907407</v>
      </c>
    </row>
    <row r="195" s="48" customFormat="1" hidden="1" spans="1:18">
      <c r="A195" s="55" t="str">
        <f>VLOOKUP(B195,[1]天猫!$B$3:$H$258,1,FALSE)</f>
        <v>491619970109495880</v>
      </c>
      <c r="B195" s="48" t="str">
        <f>"491619970109495880"</f>
        <v>491619970109495880</v>
      </c>
      <c r="C195" s="48" t="s">
        <v>1129</v>
      </c>
      <c r="D195" s="48">
        <v>976</v>
      </c>
      <c r="E195" s="48" t="s">
        <v>53</v>
      </c>
      <c r="F195" s="48" t="s">
        <v>1130</v>
      </c>
      <c r="G195" s="48" t="s">
        <v>1131</v>
      </c>
      <c r="H195" s="48" t="s">
        <v>1132</v>
      </c>
      <c r="I195" s="51">
        <v>43633.4704050926</v>
      </c>
      <c r="J195" s="51">
        <v>43633.4808101852</v>
      </c>
      <c r="K195" s="48" t="s">
        <v>820</v>
      </c>
      <c r="L195" s="48" t="s">
        <v>1133</v>
      </c>
      <c r="M195" s="48" t="s">
        <v>49</v>
      </c>
      <c r="O195" s="48">
        <v>2</v>
      </c>
      <c r="P195" s="48">
        <v>0</v>
      </c>
      <c r="Q195" s="48" t="s">
        <v>51</v>
      </c>
      <c r="R195" s="51">
        <v>43636.5297106481</v>
      </c>
    </row>
    <row r="196" s="56" customFormat="1" spans="1:18">
      <c r="A196" s="55" t="e">
        <f>VLOOKUP(B196,[1]天猫!$B$3:$H$258,1,FALSE)</f>
        <v>#N/A</v>
      </c>
      <c r="B196" s="56" t="str">
        <f>"491861155307331311"</f>
        <v>491861155307331311</v>
      </c>
      <c r="C196" s="56" t="s">
        <v>1134</v>
      </c>
      <c r="D196" s="56">
        <v>4324.4</v>
      </c>
      <c r="E196" s="56" t="s">
        <v>53</v>
      </c>
      <c r="F196" s="56" t="s">
        <v>1135</v>
      </c>
      <c r="G196" s="56" t="s">
        <v>1136</v>
      </c>
      <c r="H196" s="56" t="s">
        <v>1137</v>
      </c>
      <c r="I196" s="59">
        <v>43633.464375</v>
      </c>
      <c r="J196" s="59">
        <v>43633.4644675926</v>
      </c>
      <c r="K196" s="56" t="s">
        <v>626</v>
      </c>
      <c r="L196" s="56" t="s">
        <v>1138</v>
      </c>
      <c r="M196" s="56" t="s">
        <v>49</v>
      </c>
      <c r="N196" s="56" t="s">
        <v>1139</v>
      </c>
      <c r="O196" s="56">
        <v>4</v>
      </c>
      <c r="P196" s="56">
        <v>0</v>
      </c>
      <c r="Q196" s="56" t="s">
        <v>51</v>
      </c>
      <c r="R196" s="59">
        <v>43643.7275</v>
      </c>
    </row>
    <row r="197" s="48" customFormat="1" hidden="1" spans="1:18">
      <c r="A197" s="55" t="str">
        <f>VLOOKUP(B197,[1]天猫!$B$3:$H$258,1,FALSE)</f>
        <v>491778627541655109</v>
      </c>
      <c r="B197" s="48" t="str">
        <f>"491778627541655109"</f>
        <v>491778627541655109</v>
      </c>
      <c r="C197" s="48" t="s">
        <v>1140</v>
      </c>
      <c r="D197" s="48">
        <v>1973.12</v>
      </c>
      <c r="E197" s="48" t="s">
        <v>53</v>
      </c>
      <c r="F197" s="48" t="s">
        <v>1141</v>
      </c>
      <c r="G197" s="48" t="s">
        <v>1142</v>
      </c>
      <c r="H197" s="48" t="s">
        <v>1143</v>
      </c>
      <c r="I197" s="51">
        <v>43633.4361111111</v>
      </c>
      <c r="J197" s="51">
        <v>43633.4441435185</v>
      </c>
      <c r="K197" s="48" t="s">
        <v>634</v>
      </c>
      <c r="L197" s="48" t="s">
        <v>1144</v>
      </c>
      <c r="M197" s="48" t="s">
        <v>49</v>
      </c>
      <c r="O197" s="48">
        <v>1</v>
      </c>
      <c r="P197" s="48">
        <v>0</v>
      </c>
      <c r="Q197" s="48" t="s">
        <v>51</v>
      </c>
      <c r="R197" s="51">
        <v>43638.35</v>
      </c>
    </row>
    <row r="198" s="55" customFormat="1" spans="1:18">
      <c r="A198" s="55" t="e">
        <f>VLOOKUP(B198,[1]天猫!$B$3:$H$258,1,FALSE)</f>
        <v>#N/A</v>
      </c>
      <c r="B198" s="55" t="str">
        <f>"306115628336406503"</f>
        <v>306115628336406503</v>
      </c>
      <c r="C198" s="55" t="s">
        <v>1145</v>
      </c>
      <c r="D198" s="55">
        <v>458</v>
      </c>
      <c r="E198" s="55" t="s">
        <v>53</v>
      </c>
      <c r="F198" s="55" t="s">
        <v>1146</v>
      </c>
      <c r="G198" s="55" t="s">
        <v>1147</v>
      </c>
      <c r="H198" s="55" t="s">
        <v>1148</v>
      </c>
      <c r="I198" s="58">
        <v>43633.3797685185</v>
      </c>
      <c r="J198" s="58">
        <v>43633.381099537</v>
      </c>
      <c r="K198" s="55" t="s">
        <v>820</v>
      </c>
      <c r="L198" s="55" t="s">
        <v>1149</v>
      </c>
      <c r="M198" s="55" t="s">
        <v>49</v>
      </c>
      <c r="N198" s="55" t="s">
        <v>1150</v>
      </c>
      <c r="O198" s="55">
        <v>1</v>
      </c>
      <c r="P198" s="55">
        <v>0</v>
      </c>
      <c r="Q198" s="55" t="s">
        <v>341</v>
      </c>
      <c r="R198" s="58">
        <v>43643.7274074074</v>
      </c>
    </row>
    <row r="199" s="56" customFormat="1" spans="1:18">
      <c r="A199" s="55" t="e">
        <f>VLOOKUP(B199,[1]天猫!$B$3:$H$258,1,FALSE)</f>
        <v>#N/A</v>
      </c>
      <c r="B199" s="56" t="str">
        <f>"491097762592237451"</f>
        <v>491097762592237451</v>
      </c>
      <c r="C199" s="56" t="s">
        <v>1151</v>
      </c>
      <c r="D199" s="56">
        <v>2701.98</v>
      </c>
      <c r="E199" s="56" t="s">
        <v>53</v>
      </c>
      <c r="F199" s="56" t="s">
        <v>1152</v>
      </c>
      <c r="G199" s="56" t="s">
        <v>1153</v>
      </c>
      <c r="H199" s="56" t="s">
        <v>1154</v>
      </c>
      <c r="I199" s="59">
        <v>43632.9915277778</v>
      </c>
      <c r="J199" s="59">
        <v>43632.9916087963</v>
      </c>
      <c r="K199" s="56" t="s">
        <v>673</v>
      </c>
      <c r="L199" s="56" t="s">
        <v>1155</v>
      </c>
      <c r="M199" s="56" t="s">
        <v>49</v>
      </c>
      <c r="N199" s="56" t="s">
        <v>798</v>
      </c>
      <c r="O199" s="56">
        <v>1</v>
      </c>
      <c r="P199" s="56">
        <v>0</v>
      </c>
      <c r="Q199" s="56" t="s">
        <v>51</v>
      </c>
      <c r="R199" s="59">
        <v>43643.7274189815</v>
      </c>
    </row>
    <row r="200" s="56" customFormat="1" spans="1:18">
      <c r="A200" s="55" t="e">
        <f>VLOOKUP(B200,[1]天猫!$B$3:$H$258,1,FALSE)</f>
        <v>#N/A</v>
      </c>
      <c r="B200" s="56" t="str">
        <f>"490747265105263162"</f>
        <v>490747265105263162</v>
      </c>
      <c r="C200" s="56" t="s">
        <v>1156</v>
      </c>
      <c r="D200" s="56">
        <v>1050</v>
      </c>
      <c r="E200" s="56" t="s">
        <v>53</v>
      </c>
      <c r="F200" s="56" t="s">
        <v>1157</v>
      </c>
      <c r="G200" s="56" t="s">
        <v>1158</v>
      </c>
      <c r="H200" s="56" t="s">
        <v>1159</v>
      </c>
      <c r="I200" s="59">
        <v>43632.9855092593</v>
      </c>
      <c r="J200" s="59">
        <v>43632.9856481481</v>
      </c>
      <c r="K200" s="56" t="s">
        <v>900</v>
      </c>
      <c r="L200" s="56" t="s">
        <v>1160</v>
      </c>
      <c r="M200" s="56" t="s">
        <v>49</v>
      </c>
      <c r="N200" s="56" t="s">
        <v>1161</v>
      </c>
      <c r="O200" s="56">
        <v>1</v>
      </c>
      <c r="P200" s="56">
        <v>0</v>
      </c>
      <c r="Q200" s="56" t="s">
        <v>51</v>
      </c>
      <c r="R200" s="59">
        <v>43643.7273958333</v>
      </c>
    </row>
    <row r="201" s="56" customFormat="1" spans="1:18">
      <c r="A201" s="55" t="e">
        <f>VLOOKUP(B201,[1]天猫!$B$3:$H$258,1,FALSE)</f>
        <v>#N/A</v>
      </c>
      <c r="B201" s="56" t="str">
        <f>"491228803935078884"</f>
        <v>491228803935078884</v>
      </c>
      <c r="C201" s="56" t="s">
        <v>1162</v>
      </c>
      <c r="D201" s="56">
        <v>949.2</v>
      </c>
      <c r="E201" s="56" t="s">
        <v>53</v>
      </c>
      <c r="F201" s="56" t="s">
        <v>1163</v>
      </c>
      <c r="G201" s="56" t="s">
        <v>1164</v>
      </c>
      <c r="H201" s="56" t="s">
        <v>1165</v>
      </c>
      <c r="I201" s="59">
        <v>43632.9679398148</v>
      </c>
      <c r="J201" s="59">
        <v>43632.9680439815</v>
      </c>
      <c r="K201" s="56" t="s">
        <v>1166</v>
      </c>
      <c r="L201" s="56" t="s">
        <v>1167</v>
      </c>
      <c r="M201" s="56" t="s">
        <v>49</v>
      </c>
      <c r="N201" s="56" t="s">
        <v>1168</v>
      </c>
      <c r="O201" s="56">
        <v>1</v>
      </c>
      <c r="P201" s="56">
        <v>0</v>
      </c>
      <c r="Q201" s="56" t="s">
        <v>51</v>
      </c>
      <c r="R201" s="59">
        <v>43643.7275</v>
      </c>
    </row>
    <row r="202" s="56" customFormat="1" spans="1:18">
      <c r="A202" s="55" t="e">
        <f>VLOOKUP(B202,[1]天猫!$B$3:$H$258,1,FALSE)</f>
        <v>#N/A</v>
      </c>
      <c r="B202" s="56" t="str">
        <f>"490589025099839815"</f>
        <v>490589025099839815</v>
      </c>
      <c r="C202" s="56" t="s">
        <v>1169</v>
      </c>
      <c r="D202" s="56">
        <v>1594</v>
      </c>
      <c r="E202" s="56" t="s">
        <v>53</v>
      </c>
      <c r="F202" s="56" t="s">
        <v>1170</v>
      </c>
      <c r="G202" s="56" t="s">
        <v>1171</v>
      </c>
      <c r="H202" s="56" t="s">
        <v>1172</v>
      </c>
      <c r="I202" s="59">
        <v>43632.927037037</v>
      </c>
      <c r="J202" s="59">
        <v>43632.9271875</v>
      </c>
      <c r="K202" s="56" t="s">
        <v>900</v>
      </c>
      <c r="L202" s="56" t="s">
        <v>1173</v>
      </c>
      <c r="M202" s="56" t="s">
        <v>49</v>
      </c>
      <c r="N202" s="56" t="s">
        <v>1174</v>
      </c>
      <c r="O202" s="56">
        <v>1</v>
      </c>
      <c r="P202" s="56">
        <v>0</v>
      </c>
      <c r="Q202" s="56" t="s">
        <v>51</v>
      </c>
      <c r="R202" s="59">
        <v>43636.8550347222</v>
      </c>
    </row>
    <row r="203" s="56" customFormat="1" spans="1:18">
      <c r="A203" s="55" t="e">
        <f>VLOOKUP(B203,[1]天猫!$B$3:$H$258,1,FALSE)</f>
        <v>#N/A</v>
      </c>
      <c r="B203" s="56" t="str">
        <f>"490252609254825369"</f>
        <v>490252609254825369</v>
      </c>
      <c r="C203" s="56" t="s">
        <v>1175</v>
      </c>
      <c r="D203" s="56">
        <v>435.7</v>
      </c>
      <c r="E203" s="56" t="s">
        <v>53</v>
      </c>
      <c r="F203" s="56" t="s">
        <v>1176</v>
      </c>
      <c r="G203" s="56" t="s">
        <v>1177</v>
      </c>
      <c r="H203" s="56" t="s">
        <v>1178</v>
      </c>
      <c r="I203" s="59">
        <v>43632.8171643519</v>
      </c>
      <c r="J203" s="59">
        <v>43632.817337963</v>
      </c>
      <c r="K203" s="56" t="s">
        <v>820</v>
      </c>
      <c r="L203" s="56" t="s">
        <v>1179</v>
      </c>
      <c r="M203" s="56" t="s">
        <v>49</v>
      </c>
      <c r="N203" s="56" t="s">
        <v>1180</v>
      </c>
      <c r="O203" s="56">
        <v>1</v>
      </c>
      <c r="P203" s="56">
        <v>0</v>
      </c>
      <c r="Q203" s="56" t="s">
        <v>51</v>
      </c>
      <c r="R203" s="59">
        <v>43637.5211689815</v>
      </c>
    </row>
    <row r="204" s="56" customFormat="1" spans="1:18">
      <c r="A204" s="55" t="e">
        <f>VLOOKUP(B204,[1]天猫!$B$3:$H$258,1,FALSE)</f>
        <v>#N/A</v>
      </c>
      <c r="B204" s="56" t="str">
        <f>"490720195425088267"</f>
        <v>490720195425088267</v>
      </c>
      <c r="C204" s="56" t="s">
        <v>1181</v>
      </c>
      <c r="D204" s="56">
        <v>489.4</v>
      </c>
      <c r="E204" s="56" t="s">
        <v>53</v>
      </c>
      <c r="F204" s="56" t="s">
        <v>1182</v>
      </c>
      <c r="G204" s="56" t="s">
        <v>1183</v>
      </c>
      <c r="H204" s="56" t="s">
        <v>1184</v>
      </c>
      <c r="I204" s="59">
        <v>43632.7671875</v>
      </c>
      <c r="J204" s="59">
        <v>43632.7672453704</v>
      </c>
      <c r="K204" s="56" t="s">
        <v>778</v>
      </c>
      <c r="L204" s="56" t="s">
        <v>1185</v>
      </c>
      <c r="M204" s="56" t="s">
        <v>49</v>
      </c>
      <c r="N204" s="56" t="s">
        <v>1186</v>
      </c>
      <c r="O204" s="56">
        <v>1</v>
      </c>
      <c r="P204" s="56">
        <v>0</v>
      </c>
      <c r="Q204" s="56" t="s">
        <v>51</v>
      </c>
      <c r="R204" s="59">
        <v>43641.9177662037</v>
      </c>
    </row>
    <row r="205" s="56" customFormat="1" spans="1:18">
      <c r="A205" s="55" t="e">
        <f>VLOOKUP(B205,[1]天猫!$B$3:$H$258,1,FALSE)</f>
        <v>#N/A</v>
      </c>
      <c r="B205" s="56" t="str">
        <f>"490410082509051024"</f>
        <v>490410082509051024</v>
      </c>
      <c r="C205" s="56" t="s">
        <v>1187</v>
      </c>
      <c r="D205" s="56">
        <v>1046.5</v>
      </c>
      <c r="E205" s="56" t="s">
        <v>53</v>
      </c>
      <c r="F205" s="56" t="s">
        <v>1188</v>
      </c>
      <c r="G205" s="56" t="s">
        <v>1189</v>
      </c>
      <c r="H205" s="56" t="s">
        <v>1190</v>
      </c>
      <c r="I205" s="59">
        <v>43632.7506134259</v>
      </c>
      <c r="J205" s="59">
        <v>43632.7507523148</v>
      </c>
      <c r="K205" s="56" t="s">
        <v>893</v>
      </c>
      <c r="L205" s="56" t="s">
        <v>1191</v>
      </c>
      <c r="M205" s="56" t="s">
        <v>49</v>
      </c>
      <c r="N205" s="56" t="s">
        <v>1192</v>
      </c>
      <c r="O205" s="56">
        <v>1</v>
      </c>
      <c r="P205" s="56">
        <v>0</v>
      </c>
      <c r="Q205" s="56" t="s">
        <v>51</v>
      </c>
      <c r="R205" s="59">
        <v>43638.8905671296</v>
      </c>
    </row>
    <row r="206" s="56" customFormat="1" spans="1:18">
      <c r="A206" s="55" t="e">
        <f>VLOOKUP(B206,[1]天猫!$B$3:$H$258,1,FALSE)</f>
        <v>#N/A</v>
      </c>
      <c r="B206" s="56" t="str">
        <f>"489711712980156027"</f>
        <v>489711712980156027</v>
      </c>
      <c r="C206" s="56" t="s">
        <v>1193</v>
      </c>
      <c r="D206" s="56">
        <v>436.74</v>
      </c>
      <c r="E206" s="56" t="s">
        <v>53</v>
      </c>
      <c r="F206" s="56" t="s">
        <v>1194</v>
      </c>
      <c r="G206" s="56" t="s">
        <v>1195</v>
      </c>
      <c r="H206" s="56" t="s">
        <v>1196</v>
      </c>
      <c r="I206" s="59">
        <v>43632.7481712963</v>
      </c>
      <c r="J206" s="59">
        <v>43632.7483217593</v>
      </c>
      <c r="K206" s="56" t="s">
        <v>820</v>
      </c>
      <c r="L206" s="56" t="s">
        <v>1197</v>
      </c>
      <c r="M206" s="56" t="s">
        <v>49</v>
      </c>
      <c r="N206" s="56" t="s">
        <v>1198</v>
      </c>
      <c r="O206" s="56">
        <v>1</v>
      </c>
      <c r="P206" s="56">
        <v>0</v>
      </c>
      <c r="Q206" s="56" t="s">
        <v>51</v>
      </c>
      <c r="R206" s="59">
        <v>43636.8555671296</v>
      </c>
    </row>
    <row r="207" s="56" customFormat="1" spans="1:18">
      <c r="A207" s="55" t="e">
        <f>VLOOKUP(B207,[1]天猫!$B$3:$H$258,1,FALSE)</f>
        <v>#N/A</v>
      </c>
      <c r="B207" s="56" t="str">
        <f>"490363362065103427"</f>
        <v>490363362065103427</v>
      </c>
      <c r="C207" s="56" t="s">
        <v>1199</v>
      </c>
      <c r="D207" s="56">
        <v>1744.22</v>
      </c>
      <c r="E207" s="56" t="s">
        <v>53</v>
      </c>
      <c r="F207" s="56" t="s">
        <v>1200</v>
      </c>
      <c r="G207" s="56" t="s">
        <v>1201</v>
      </c>
      <c r="H207" s="56" t="s">
        <v>1202</v>
      </c>
      <c r="I207" s="59">
        <v>43632.7315162037</v>
      </c>
      <c r="J207" s="59">
        <v>43632.7765856481</v>
      </c>
      <c r="K207" s="56" t="s">
        <v>634</v>
      </c>
      <c r="L207" s="56" t="s">
        <v>1203</v>
      </c>
      <c r="M207" s="56" t="s">
        <v>49</v>
      </c>
      <c r="N207" s="56" t="s">
        <v>644</v>
      </c>
      <c r="O207" s="56">
        <v>1</v>
      </c>
      <c r="P207" s="56">
        <v>0</v>
      </c>
      <c r="Q207" s="56" t="s">
        <v>51</v>
      </c>
      <c r="R207" s="59">
        <v>43643.8313078704</v>
      </c>
    </row>
    <row r="208" s="55" customFormat="1" spans="1:18">
      <c r="A208" s="55" t="e">
        <f>VLOOKUP(B208,[1]天猫!$B$3:$H$258,1,FALSE)</f>
        <v>#N/A</v>
      </c>
      <c r="B208" s="55" t="str">
        <f>"488786624458132266"</f>
        <v>488786624458132266</v>
      </c>
      <c r="C208" s="55" t="s">
        <v>1204</v>
      </c>
      <c r="D208" s="55">
        <v>443</v>
      </c>
      <c r="E208" s="55" t="s">
        <v>53</v>
      </c>
      <c r="F208" s="55" t="s">
        <v>1205</v>
      </c>
      <c r="G208" s="55" t="s">
        <v>1206</v>
      </c>
      <c r="H208" s="55" t="s">
        <v>1207</v>
      </c>
      <c r="I208" s="58">
        <v>43632.7061226852</v>
      </c>
      <c r="J208" s="58">
        <v>43632.7064930556</v>
      </c>
      <c r="K208" s="55" t="s">
        <v>820</v>
      </c>
      <c r="L208" s="55" t="s">
        <v>1208</v>
      </c>
      <c r="M208" s="55" t="s">
        <v>49</v>
      </c>
      <c r="N208" s="55" t="s">
        <v>1209</v>
      </c>
      <c r="O208" s="55">
        <v>1</v>
      </c>
      <c r="P208" s="55">
        <v>0</v>
      </c>
      <c r="Q208" s="55" t="s">
        <v>51</v>
      </c>
      <c r="R208" s="58">
        <v>43642.7286342593</v>
      </c>
    </row>
    <row r="209" s="55" customFormat="1" spans="1:18">
      <c r="A209" s="55" t="e">
        <f>VLOOKUP(B209,[1]天猫!$B$3:$H$258,1,FALSE)</f>
        <v>#N/A</v>
      </c>
      <c r="B209" s="55" t="str">
        <f>"489904417880898113"</f>
        <v>489904417880898113</v>
      </c>
      <c r="C209" s="55" t="s">
        <v>1210</v>
      </c>
      <c r="D209" s="55">
        <v>1763.12</v>
      </c>
      <c r="E209" s="55" t="s">
        <v>53</v>
      </c>
      <c r="F209" s="55" t="s">
        <v>1211</v>
      </c>
      <c r="G209" s="55" t="s">
        <v>1212</v>
      </c>
      <c r="H209" s="55" t="s">
        <v>1213</v>
      </c>
      <c r="I209" s="58">
        <v>43632.6990393518</v>
      </c>
      <c r="J209" s="58">
        <v>43632.6996990741</v>
      </c>
      <c r="K209" s="55" t="s">
        <v>634</v>
      </c>
      <c r="L209" s="55" t="s">
        <v>1214</v>
      </c>
      <c r="M209" s="55" t="s">
        <v>49</v>
      </c>
      <c r="N209" s="55" t="s">
        <v>1215</v>
      </c>
      <c r="O209" s="55">
        <v>1</v>
      </c>
      <c r="P209" s="55">
        <v>0</v>
      </c>
      <c r="Q209" s="55" t="s">
        <v>51</v>
      </c>
      <c r="R209" s="58">
        <v>43642.7286458333</v>
      </c>
    </row>
    <row r="210" s="55" customFormat="1" spans="1:18">
      <c r="A210" s="55" t="e">
        <f>VLOOKUP(B210,[1]天猫!$B$3:$H$258,1,FALSE)</f>
        <v>#N/A</v>
      </c>
      <c r="B210" s="55" t="str">
        <f>"490215074456794554"</f>
        <v>490215074456794554</v>
      </c>
      <c r="C210" s="55" t="s">
        <v>1216</v>
      </c>
      <c r="D210" s="55">
        <v>1634</v>
      </c>
      <c r="E210" s="55" t="s">
        <v>53</v>
      </c>
      <c r="F210" s="55" t="s">
        <v>1217</v>
      </c>
      <c r="G210" s="55" t="s">
        <v>1218</v>
      </c>
      <c r="H210" s="55" t="s">
        <v>1219</v>
      </c>
      <c r="I210" s="58">
        <v>43632.6962962963</v>
      </c>
      <c r="J210" s="58">
        <v>43632.6993634259</v>
      </c>
      <c r="K210" s="55" t="s">
        <v>900</v>
      </c>
      <c r="L210" s="55" t="s">
        <v>1220</v>
      </c>
      <c r="M210" s="55" t="s">
        <v>49</v>
      </c>
      <c r="N210" s="55" t="s">
        <v>1221</v>
      </c>
      <c r="O210" s="55">
        <v>1</v>
      </c>
      <c r="P210" s="55">
        <v>0</v>
      </c>
      <c r="Q210" s="55" t="s">
        <v>51</v>
      </c>
      <c r="R210" s="58">
        <v>43634.697025463</v>
      </c>
    </row>
    <row r="211" s="48" customFormat="1" hidden="1" spans="1:18">
      <c r="A211" s="55" t="str">
        <f>VLOOKUP(B211,[1]天猫!$B$3:$H$258,1,FALSE)</f>
        <v>490210819009396782</v>
      </c>
      <c r="B211" s="48" t="str">
        <f>"490210819009396782"</f>
        <v>490210819009396782</v>
      </c>
      <c r="C211" s="48" t="s">
        <v>1222</v>
      </c>
      <c r="D211" s="48">
        <v>908</v>
      </c>
      <c r="E211" s="48" t="s">
        <v>53</v>
      </c>
      <c r="F211" s="48" t="s">
        <v>1223</v>
      </c>
      <c r="G211" s="48" t="s">
        <v>1224</v>
      </c>
      <c r="H211" s="48" t="s">
        <v>1225</v>
      </c>
      <c r="I211" s="51">
        <v>43632.6026041667</v>
      </c>
      <c r="J211" s="51">
        <v>43632.6046990741</v>
      </c>
      <c r="K211" s="48" t="s">
        <v>1226</v>
      </c>
      <c r="L211" s="48" t="s">
        <v>1227</v>
      </c>
      <c r="M211" s="48" t="s">
        <v>49</v>
      </c>
      <c r="N211" s="48" t="s">
        <v>540</v>
      </c>
      <c r="O211" s="48">
        <v>2</v>
      </c>
      <c r="P211" s="48">
        <v>0</v>
      </c>
      <c r="Q211" s="48" t="s">
        <v>51</v>
      </c>
      <c r="R211" s="51">
        <v>43640.3842476852</v>
      </c>
    </row>
    <row r="212" s="48" customFormat="1" hidden="1" spans="1:18">
      <c r="A212" s="55" t="str">
        <f>VLOOKUP(B212,[1]天猫!$B$3:$H$258,1,FALSE)</f>
        <v>489606306862995915</v>
      </c>
      <c r="B212" s="48" t="str">
        <f>"489606306862995915"</f>
        <v>489606306862995915</v>
      </c>
      <c r="C212" s="48" t="s">
        <v>1228</v>
      </c>
      <c r="D212" s="48">
        <v>2859.2</v>
      </c>
      <c r="E212" s="48" t="s">
        <v>53</v>
      </c>
      <c r="F212" s="48" t="s">
        <v>1229</v>
      </c>
      <c r="G212" s="48" t="s">
        <v>1230</v>
      </c>
      <c r="H212" s="48" t="s">
        <v>1231</v>
      </c>
      <c r="I212" s="51">
        <v>43632.4972569444</v>
      </c>
      <c r="J212" s="51">
        <v>43632.5070023148</v>
      </c>
      <c r="K212" s="48" t="s">
        <v>673</v>
      </c>
      <c r="L212" s="48" t="s">
        <v>1232</v>
      </c>
      <c r="M212" s="48" t="s">
        <v>49</v>
      </c>
      <c r="O212" s="48">
        <v>1</v>
      </c>
      <c r="P212" s="48">
        <v>0</v>
      </c>
      <c r="Q212" s="48" t="s">
        <v>51</v>
      </c>
      <c r="R212" s="51">
        <v>43634.5281944444</v>
      </c>
    </row>
    <row r="213" s="55" customFormat="1" spans="1:18">
      <c r="A213" s="55" t="e">
        <f>VLOOKUP(B213,[1]天猫!$B$3:$H$258,1,FALSE)</f>
        <v>#N/A</v>
      </c>
      <c r="B213" s="55" t="str">
        <f>"305943628945186702"</f>
        <v>305943628945186702</v>
      </c>
      <c r="C213" s="55" t="s">
        <v>1233</v>
      </c>
      <c r="D213" s="55">
        <v>1763.12</v>
      </c>
      <c r="E213" s="55" t="s">
        <v>53</v>
      </c>
      <c r="F213" s="55" t="s">
        <v>1234</v>
      </c>
      <c r="G213" s="55" t="s">
        <v>1235</v>
      </c>
      <c r="H213" s="55" t="s">
        <v>1236</v>
      </c>
      <c r="I213" s="58">
        <v>43632.4896064815</v>
      </c>
      <c r="J213" s="58">
        <v>43632.4897569444</v>
      </c>
      <c r="K213" s="55" t="s">
        <v>634</v>
      </c>
      <c r="L213" s="55" t="s">
        <v>1237</v>
      </c>
      <c r="M213" s="55" t="s">
        <v>49</v>
      </c>
      <c r="N213" s="55" t="s">
        <v>1238</v>
      </c>
      <c r="O213" s="55">
        <v>1</v>
      </c>
      <c r="P213" s="55">
        <v>0</v>
      </c>
      <c r="Q213" s="55" t="s">
        <v>51</v>
      </c>
      <c r="R213" s="58">
        <v>43653.7074768519</v>
      </c>
    </row>
    <row r="214" s="48" customFormat="1" hidden="1" spans="1:18">
      <c r="A214" s="55" t="str">
        <f>VLOOKUP(B214,[1]天猫!$B$3:$H$258,1,FALSE)</f>
        <v>306079661999545506</v>
      </c>
      <c r="B214" s="48" t="str">
        <f>"306079661999545506"</f>
        <v>306079661999545506</v>
      </c>
      <c r="C214" s="48" t="s">
        <v>1239</v>
      </c>
      <c r="D214" s="48">
        <v>1763.12</v>
      </c>
      <c r="E214" s="48" t="s">
        <v>53</v>
      </c>
      <c r="F214" s="48" t="s">
        <v>1240</v>
      </c>
      <c r="G214" s="48" t="s">
        <v>1241</v>
      </c>
      <c r="H214" s="48" t="s">
        <v>1242</v>
      </c>
      <c r="I214" s="51">
        <v>43632.4847337963</v>
      </c>
      <c r="J214" s="51">
        <v>43632.4883564815</v>
      </c>
      <c r="K214" s="48" t="s">
        <v>634</v>
      </c>
      <c r="L214" s="48" t="s">
        <v>1243</v>
      </c>
      <c r="M214" s="48" t="s">
        <v>49</v>
      </c>
      <c r="O214" s="48">
        <v>1</v>
      </c>
      <c r="P214" s="48">
        <v>0</v>
      </c>
      <c r="Q214" s="48" t="s">
        <v>51</v>
      </c>
      <c r="R214" s="51">
        <v>43636.6194560185</v>
      </c>
    </row>
    <row r="215" s="48" customFormat="1" hidden="1" spans="1:18">
      <c r="A215" s="55" t="str">
        <f>VLOOKUP(B215,[1]天猫!$B$3:$H$258,1,FALSE)</f>
        <v>489544994869861449</v>
      </c>
      <c r="B215" s="48" t="str">
        <f>"489544994869861449"</f>
        <v>489544994869861449</v>
      </c>
      <c r="C215" s="48" t="s">
        <v>1244</v>
      </c>
      <c r="D215" s="48">
        <v>1763.12</v>
      </c>
      <c r="E215" s="48" t="s">
        <v>53</v>
      </c>
      <c r="F215" s="48" t="s">
        <v>1245</v>
      </c>
      <c r="G215" s="48" t="s">
        <v>1246</v>
      </c>
      <c r="H215" s="48" t="s">
        <v>1247</v>
      </c>
      <c r="I215" s="51">
        <v>43632.4781944444</v>
      </c>
      <c r="J215" s="51">
        <v>43632.4839467593</v>
      </c>
      <c r="K215" s="48" t="s">
        <v>634</v>
      </c>
      <c r="L215" s="48" t="s">
        <v>1248</v>
      </c>
      <c r="M215" s="48" t="s">
        <v>49</v>
      </c>
      <c r="O215" s="48">
        <v>1</v>
      </c>
      <c r="P215" s="48">
        <v>0</v>
      </c>
      <c r="Q215" s="48" t="s">
        <v>51</v>
      </c>
      <c r="R215" s="51">
        <v>43638.6028009259</v>
      </c>
    </row>
    <row r="216" s="55" customFormat="1" spans="1:18">
      <c r="A216" s="55" t="e">
        <f>VLOOKUP(B216,[1]天猫!$B$3:$H$258,1,FALSE)</f>
        <v>#N/A</v>
      </c>
      <c r="B216" s="55" t="str">
        <f>"488857984774071452"</f>
        <v>488857984774071452</v>
      </c>
      <c r="C216" s="55" t="s">
        <v>1249</v>
      </c>
      <c r="D216" s="55">
        <v>611.46</v>
      </c>
      <c r="E216" s="55" t="s">
        <v>53</v>
      </c>
      <c r="F216" s="55" t="s">
        <v>1250</v>
      </c>
      <c r="G216" s="55" t="s">
        <v>1251</v>
      </c>
      <c r="H216" s="55" t="s">
        <v>1252</v>
      </c>
      <c r="I216" s="58">
        <v>43632.4774074074</v>
      </c>
      <c r="J216" s="58">
        <v>43632.4775347222</v>
      </c>
      <c r="K216" s="55" t="s">
        <v>790</v>
      </c>
      <c r="L216" s="55" t="s">
        <v>1253</v>
      </c>
      <c r="M216" s="55" t="s">
        <v>49</v>
      </c>
      <c r="N216" s="55" t="s">
        <v>1254</v>
      </c>
      <c r="O216" s="55">
        <v>1</v>
      </c>
      <c r="P216" s="55">
        <v>0</v>
      </c>
      <c r="Q216" s="55" t="s">
        <v>51</v>
      </c>
      <c r="R216" s="58">
        <v>43642.7286805556</v>
      </c>
    </row>
    <row r="217" s="55" customFormat="1" spans="1:18">
      <c r="A217" s="55" t="e">
        <f>VLOOKUP(B217,[1]天猫!$B$3:$H$258,1,FALSE)</f>
        <v>#N/A</v>
      </c>
      <c r="B217" s="55" t="str">
        <f>"488647232871725950"</f>
        <v>488647232871725950</v>
      </c>
      <c r="C217" s="55" t="s">
        <v>1255</v>
      </c>
      <c r="D217" s="55">
        <v>488.95</v>
      </c>
      <c r="E217" s="55" t="s">
        <v>53</v>
      </c>
      <c r="F217" s="55" t="s">
        <v>1256</v>
      </c>
      <c r="G217" s="55" t="s">
        <v>1257</v>
      </c>
      <c r="H217" s="55" t="s">
        <v>1258</v>
      </c>
      <c r="I217" s="58">
        <v>43632.4309606481</v>
      </c>
      <c r="J217" s="58">
        <v>43632.4310648148</v>
      </c>
      <c r="K217" s="55" t="s">
        <v>790</v>
      </c>
      <c r="L217" s="55" t="s">
        <v>1259</v>
      </c>
      <c r="M217" s="55" t="s">
        <v>49</v>
      </c>
      <c r="N217" s="55" t="s">
        <v>1260</v>
      </c>
      <c r="O217" s="55">
        <v>1</v>
      </c>
      <c r="P217" s="55">
        <v>0</v>
      </c>
      <c r="Q217" s="55" t="s">
        <v>51</v>
      </c>
      <c r="R217" s="58">
        <v>43642.7286689815</v>
      </c>
    </row>
    <row r="218" s="55" customFormat="1" spans="1:18">
      <c r="A218" s="55" t="e">
        <f>VLOOKUP(B218,[1]天猫!$B$3:$H$258,1,FALSE)</f>
        <v>#N/A</v>
      </c>
      <c r="B218" s="55" t="str">
        <f>"489518883540744870"</f>
        <v>489518883540744870</v>
      </c>
      <c r="C218" s="55" t="s">
        <v>1261</v>
      </c>
      <c r="D218" s="55">
        <v>2380.8</v>
      </c>
      <c r="E218" s="55" t="s">
        <v>53</v>
      </c>
      <c r="F218" s="55" t="s">
        <v>1262</v>
      </c>
      <c r="G218" s="55" t="s">
        <v>1263</v>
      </c>
      <c r="H218" s="55" t="s">
        <v>1264</v>
      </c>
      <c r="I218" s="58">
        <v>43632.4125347222</v>
      </c>
      <c r="J218" s="58">
        <v>43632.4133217593</v>
      </c>
      <c r="K218" s="55" t="s">
        <v>69</v>
      </c>
      <c r="L218" s="55" t="s">
        <v>1265</v>
      </c>
      <c r="M218" s="55" t="s">
        <v>49</v>
      </c>
      <c r="N218" s="55" t="s">
        <v>1266</v>
      </c>
      <c r="O218" s="55">
        <v>1</v>
      </c>
      <c r="P218" s="55">
        <v>0</v>
      </c>
      <c r="Q218" s="55" t="s">
        <v>51</v>
      </c>
      <c r="R218" s="58">
        <v>43635.4845601852</v>
      </c>
    </row>
    <row r="219" s="55" customFormat="1" spans="1:18">
      <c r="A219" s="55" t="e">
        <f>VLOOKUP(B219,[1]天猫!$B$3:$H$258,1,FALSE)</f>
        <v>#N/A</v>
      </c>
      <c r="B219" s="55" t="str">
        <f>"489232194096547782"</f>
        <v>489232194096547782</v>
      </c>
      <c r="C219" s="55" t="s">
        <v>1267</v>
      </c>
      <c r="D219" s="55">
        <v>1763.12</v>
      </c>
      <c r="E219" s="55" t="s">
        <v>53</v>
      </c>
      <c r="F219" s="55" t="s">
        <v>1268</v>
      </c>
      <c r="G219" s="55" t="s">
        <v>1269</v>
      </c>
      <c r="H219" s="55" t="s">
        <v>1270</v>
      </c>
      <c r="I219" s="58">
        <v>43632.4049884259</v>
      </c>
      <c r="J219" s="58">
        <v>43632.5172569444</v>
      </c>
      <c r="K219" s="55" t="s">
        <v>634</v>
      </c>
      <c r="L219" s="55" t="s">
        <v>1271</v>
      </c>
      <c r="M219" s="55" t="s">
        <v>49</v>
      </c>
      <c r="N219" s="55" t="s">
        <v>1272</v>
      </c>
      <c r="O219" s="55">
        <v>1</v>
      </c>
      <c r="P219" s="55">
        <v>0</v>
      </c>
      <c r="Q219" s="55" t="s">
        <v>51</v>
      </c>
      <c r="R219" s="58">
        <v>43640.807349537</v>
      </c>
    </row>
    <row r="220" s="55" customFormat="1" spans="1:18">
      <c r="A220" s="55" t="e">
        <f>VLOOKUP(B220,[1]天猫!$B$3:$H$258,1,FALSE)</f>
        <v>#N/A</v>
      </c>
      <c r="B220" s="55" t="str">
        <f>"488850433046786542"</f>
        <v>488850433046786542</v>
      </c>
      <c r="C220" s="55" t="s">
        <v>1273</v>
      </c>
      <c r="D220" s="55">
        <v>5209</v>
      </c>
      <c r="E220" s="55" t="s">
        <v>53</v>
      </c>
      <c r="F220" s="55" t="s">
        <v>1274</v>
      </c>
      <c r="G220" s="55" t="s">
        <v>1275</v>
      </c>
      <c r="H220" s="55" t="s">
        <v>1276</v>
      </c>
      <c r="I220" s="58">
        <v>43632.3905902778</v>
      </c>
      <c r="J220" s="58">
        <v>43632.3919675926</v>
      </c>
      <c r="K220" s="55" t="s">
        <v>634</v>
      </c>
      <c r="L220" s="55" t="s">
        <v>1277</v>
      </c>
      <c r="M220" s="55" t="s">
        <v>49</v>
      </c>
      <c r="N220" s="55" t="s">
        <v>1278</v>
      </c>
      <c r="O220" s="55">
        <v>2</v>
      </c>
      <c r="P220" s="55">
        <v>0</v>
      </c>
      <c r="Q220" s="55" t="s">
        <v>51</v>
      </c>
      <c r="R220" s="58">
        <v>43642.7286689815</v>
      </c>
    </row>
    <row r="221" s="55" customFormat="1" spans="1:18">
      <c r="A221" s="55" t="e">
        <f>VLOOKUP(B221,[1]天猫!$B$3:$H$258,1,FALSE)</f>
        <v>#N/A</v>
      </c>
      <c r="B221" s="55" t="str">
        <f>"488812897117278115"</f>
        <v>488812897117278115</v>
      </c>
      <c r="C221" s="55" t="s">
        <v>1279</v>
      </c>
      <c r="D221" s="55">
        <v>647.79</v>
      </c>
      <c r="E221" s="55" t="s">
        <v>53</v>
      </c>
      <c r="F221" s="55" t="s">
        <v>1280</v>
      </c>
      <c r="G221" s="55" t="s">
        <v>1281</v>
      </c>
      <c r="H221" s="55" t="s">
        <v>1282</v>
      </c>
      <c r="I221" s="58">
        <v>43632.3757638889</v>
      </c>
      <c r="J221" s="58">
        <v>43632.3758217593</v>
      </c>
      <c r="K221" s="55" t="s">
        <v>790</v>
      </c>
      <c r="L221" s="55" t="s">
        <v>1283</v>
      </c>
      <c r="M221" s="55" t="s">
        <v>49</v>
      </c>
      <c r="N221" s="55" t="s">
        <v>1284</v>
      </c>
      <c r="O221" s="55">
        <v>1</v>
      </c>
      <c r="P221" s="55">
        <v>0</v>
      </c>
      <c r="Q221" s="55" t="s">
        <v>51</v>
      </c>
      <c r="R221" s="58">
        <v>43642.7286342593</v>
      </c>
    </row>
    <row r="222" s="55" customFormat="1" spans="1:18">
      <c r="A222" s="55" t="e">
        <f>VLOOKUP(B222,[1]天猫!$B$3:$H$258,1,FALSE)</f>
        <v>#N/A</v>
      </c>
      <c r="B222" s="55" t="str">
        <f>"489321731701922751"</f>
        <v>489321731701922751</v>
      </c>
      <c r="C222" s="55" t="s">
        <v>1285</v>
      </c>
      <c r="D222" s="55">
        <v>1052.8</v>
      </c>
      <c r="E222" s="55" t="s">
        <v>53</v>
      </c>
      <c r="F222" s="55" t="s">
        <v>1286</v>
      </c>
      <c r="G222" s="55" t="s">
        <v>1287</v>
      </c>
      <c r="H222" s="55" t="s">
        <v>1288</v>
      </c>
      <c r="I222" s="58">
        <v>43632.3375115741</v>
      </c>
      <c r="J222" s="58">
        <v>43632.3440625</v>
      </c>
      <c r="K222" s="55" t="s">
        <v>893</v>
      </c>
      <c r="L222" s="55" t="s">
        <v>1289</v>
      </c>
      <c r="M222" s="55" t="s">
        <v>49</v>
      </c>
      <c r="N222" s="55" t="s">
        <v>1290</v>
      </c>
      <c r="O222" s="55">
        <v>1</v>
      </c>
      <c r="P222" s="55">
        <v>0</v>
      </c>
      <c r="Q222" s="55" t="s">
        <v>51</v>
      </c>
      <c r="R222" s="58">
        <v>43634.8425347222</v>
      </c>
    </row>
    <row r="223" s="55" customFormat="1" spans="1:18">
      <c r="A223" s="55" t="e">
        <f>VLOOKUP(B223,[1]天猫!$B$3:$H$258,1,FALSE)</f>
        <v>#N/A</v>
      </c>
      <c r="B223" s="55" t="str">
        <f>"488290944214038035"</f>
        <v>488290944214038035</v>
      </c>
      <c r="C223" s="55" t="s">
        <v>1291</v>
      </c>
      <c r="D223" s="55">
        <v>728.9</v>
      </c>
      <c r="E223" s="55" t="s">
        <v>53</v>
      </c>
      <c r="F223" s="55" t="s">
        <v>1292</v>
      </c>
      <c r="G223" s="55" t="s">
        <v>1293</v>
      </c>
      <c r="H223" s="55" t="s">
        <v>1294</v>
      </c>
      <c r="I223" s="58">
        <v>43632.3104976852</v>
      </c>
      <c r="J223" s="58">
        <v>43632.3775462963</v>
      </c>
      <c r="K223" s="55" t="s">
        <v>790</v>
      </c>
      <c r="L223" s="55" t="s">
        <v>1295</v>
      </c>
      <c r="M223" s="55" t="s">
        <v>49</v>
      </c>
      <c r="N223" s="55" t="s">
        <v>1296</v>
      </c>
      <c r="O223" s="55">
        <v>1</v>
      </c>
      <c r="P223" s="55">
        <v>0</v>
      </c>
      <c r="Q223" s="55" t="s">
        <v>51</v>
      </c>
      <c r="R223" s="58">
        <v>43636.7598726852</v>
      </c>
    </row>
    <row r="224" s="55" customFormat="1" spans="1:18">
      <c r="A224" s="55" t="e">
        <f>VLOOKUP(B224,[1]天猫!$B$3:$H$258,1,FALSE)</f>
        <v>#N/A</v>
      </c>
      <c r="B224" s="55" t="str">
        <f>"488176608533920950"</f>
        <v>488176608533920950</v>
      </c>
      <c r="C224" s="55" t="s">
        <v>1297</v>
      </c>
      <c r="D224" s="55">
        <v>2129.2</v>
      </c>
      <c r="E224" s="55" t="s">
        <v>53</v>
      </c>
      <c r="F224" s="55" t="s">
        <v>1298</v>
      </c>
      <c r="G224" s="55" t="s">
        <v>1299</v>
      </c>
      <c r="H224" s="55" t="s">
        <v>1300</v>
      </c>
      <c r="I224" s="58">
        <v>43632.1318402778</v>
      </c>
      <c r="J224" s="58">
        <v>43632.1319791667</v>
      </c>
      <c r="K224" s="55" t="s">
        <v>454</v>
      </c>
      <c r="L224" s="55" t="s">
        <v>1301</v>
      </c>
      <c r="M224" s="55" t="s">
        <v>49</v>
      </c>
      <c r="N224" s="55" t="s">
        <v>1302</v>
      </c>
      <c r="O224" s="55">
        <v>1</v>
      </c>
      <c r="P224" s="55">
        <v>0</v>
      </c>
      <c r="Q224" s="55" t="s">
        <v>51</v>
      </c>
      <c r="R224" s="58">
        <v>43635.9390393519</v>
      </c>
    </row>
    <row r="225" s="56" customFormat="1" spans="1:18">
      <c r="A225" s="55" t="e">
        <f>VLOOKUP(B225,[1]天猫!$B$3:$H$258,1,FALSE)</f>
        <v>#N/A</v>
      </c>
      <c r="B225" s="56" t="str">
        <f>"488746722928473388"</f>
        <v>488746722928473388</v>
      </c>
      <c r="C225" s="56" t="s">
        <v>609</v>
      </c>
      <c r="D225" s="56">
        <v>1209.4</v>
      </c>
      <c r="E225" s="56" t="s">
        <v>53</v>
      </c>
      <c r="F225" s="56" t="s">
        <v>610</v>
      </c>
      <c r="G225" s="56" t="s">
        <v>611</v>
      </c>
      <c r="H225" s="56" t="s">
        <v>612</v>
      </c>
      <c r="I225" s="59">
        <v>43632.0513888889</v>
      </c>
      <c r="J225" s="59">
        <v>43632.0531712963</v>
      </c>
      <c r="K225" s="56" t="s">
        <v>1303</v>
      </c>
      <c r="L225" s="56" t="s">
        <v>1304</v>
      </c>
      <c r="M225" s="56" t="s">
        <v>49</v>
      </c>
      <c r="N225" s="56" t="s">
        <v>1305</v>
      </c>
      <c r="O225" s="56">
        <v>2</v>
      </c>
      <c r="P225" s="56">
        <v>0</v>
      </c>
      <c r="Q225" s="56" t="s">
        <v>51</v>
      </c>
      <c r="R225" s="59">
        <v>43635.8801273148</v>
      </c>
    </row>
    <row r="226" s="57" customFormat="1" spans="1:18">
      <c r="A226" s="55" t="e">
        <f>VLOOKUP(B226,[1]天猫!$B$3:$H$258,1,FALSE)</f>
        <v>#N/A</v>
      </c>
      <c r="B226" s="57" t="str">
        <f>"488044897800116277"</f>
        <v>488044897800116277</v>
      </c>
      <c r="C226" s="57" t="s">
        <v>1306</v>
      </c>
      <c r="D226" s="57">
        <v>399</v>
      </c>
      <c r="E226" s="57" t="s">
        <v>53</v>
      </c>
      <c r="F226" s="57" t="s">
        <v>1307</v>
      </c>
      <c r="G226" s="57" t="s">
        <v>1308</v>
      </c>
      <c r="H226" s="57" t="s">
        <v>1309</v>
      </c>
      <c r="I226" s="60">
        <v>43632.0105324074</v>
      </c>
      <c r="J226" s="60">
        <v>43632.0126851852</v>
      </c>
      <c r="K226" s="57" t="s">
        <v>95</v>
      </c>
      <c r="L226" s="57" t="s">
        <v>1310</v>
      </c>
      <c r="M226" s="57" t="s">
        <v>49</v>
      </c>
      <c r="N226" s="57" t="s">
        <v>1311</v>
      </c>
      <c r="O226" s="57">
        <v>399</v>
      </c>
      <c r="P226" s="57">
        <v>0</v>
      </c>
      <c r="Q226" s="57" t="s">
        <v>51</v>
      </c>
      <c r="R226" s="60">
        <v>43650.5970601852</v>
      </c>
    </row>
    <row r="227" s="55" customFormat="1" spans="1:18">
      <c r="A227" s="55" t="e">
        <f>VLOOKUP(B227,[1]天猫!$B$3:$H$258,1,FALSE)</f>
        <v>#N/A</v>
      </c>
      <c r="B227" s="55" t="str">
        <f>"488031617056555479"</f>
        <v>488031617056555479</v>
      </c>
      <c r="C227" s="55" t="s">
        <v>1312</v>
      </c>
      <c r="D227" s="55">
        <v>1426.62</v>
      </c>
      <c r="E227" s="55" t="s">
        <v>53</v>
      </c>
      <c r="F227" s="55" t="s">
        <v>1313</v>
      </c>
      <c r="G227" s="55" t="s">
        <v>1314</v>
      </c>
      <c r="H227" s="55" t="s">
        <v>1315</v>
      </c>
      <c r="I227" s="58">
        <v>43632.0066087963</v>
      </c>
      <c r="J227" s="58">
        <v>43632.0066666667</v>
      </c>
      <c r="K227" s="55" t="s">
        <v>900</v>
      </c>
      <c r="L227" s="55" t="s">
        <v>1316</v>
      </c>
      <c r="M227" s="55" t="s">
        <v>49</v>
      </c>
      <c r="N227" s="55" t="s">
        <v>1221</v>
      </c>
      <c r="O227" s="55">
        <v>1</v>
      </c>
      <c r="P227" s="55">
        <v>0</v>
      </c>
      <c r="Q227" s="55" t="s">
        <v>51</v>
      </c>
      <c r="R227" s="58">
        <v>43660.7286226852</v>
      </c>
    </row>
    <row r="228" s="56" customFormat="1" spans="1:18">
      <c r="A228" s="55" t="e">
        <f>VLOOKUP(B228,[1]天猫!$B$3:$H$258,1,FALSE)</f>
        <v>#N/A</v>
      </c>
      <c r="B228" s="56" t="str">
        <f>"487516832570633047"</f>
        <v>487516832570633047</v>
      </c>
      <c r="C228" s="56" t="s">
        <v>1317</v>
      </c>
      <c r="D228" s="56">
        <v>424.85</v>
      </c>
      <c r="E228" s="56" t="s">
        <v>53</v>
      </c>
      <c r="F228" s="56" t="s">
        <v>1318</v>
      </c>
      <c r="G228" s="56" t="s">
        <v>1319</v>
      </c>
      <c r="H228" s="56" t="s">
        <v>1320</v>
      </c>
      <c r="I228" s="59">
        <v>43632.0034837963</v>
      </c>
      <c r="J228" s="59">
        <v>43632.0136689815</v>
      </c>
      <c r="K228" s="56" t="s">
        <v>820</v>
      </c>
      <c r="L228" s="56" t="s">
        <v>1321</v>
      </c>
      <c r="M228" s="56" t="s">
        <v>49</v>
      </c>
      <c r="N228" s="56" t="s">
        <v>1322</v>
      </c>
      <c r="O228" s="56">
        <v>1</v>
      </c>
      <c r="P228" s="56">
        <v>0</v>
      </c>
      <c r="Q228" s="56" t="s">
        <v>51</v>
      </c>
      <c r="R228" s="59">
        <v>43641.8225231481</v>
      </c>
    </row>
    <row r="229" s="55" customFormat="1" spans="1:18">
      <c r="A229" s="55" t="e">
        <f>VLOOKUP(B229,[1]天猫!$B$3:$H$258,1,FALSE)</f>
        <v>#N/A</v>
      </c>
      <c r="B229" s="55" t="str">
        <f>"487902498979123615"</f>
        <v>487902498979123615</v>
      </c>
      <c r="C229" s="55" t="s">
        <v>1323</v>
      </c>
      <c r="D229" s="55">
        <v>1799</v>
      </c>
      <c r="E229" s="55" t="s">
        <v>53</v>
      </c>
      <c r="F229" s="55" t="s">
        <v>1324</v>
      </c>
      <c r="G229" s="55" t="s">
        <v>1325</v>
      </c>
      <c r="H229" s="55" t="s">
        <v>1326</v>
      </c>
      <c r="I229" s="58">
        <v>43631.9505324074</v>
      </c>
      <c r="J229" s="58">
        <v>43631.9507638889</v>
      </c>
      <c r="K229" s="55" t="s">
        <v>57</v>
      </c>
      <c r="L229" s="55" t="s">
        <v>1327</v>
      </c>
      <c r="M229" s="55" t="s">
        <v>49</v>
      </c>
      <c r="N229" s="55" t="s">
        <v>1328</v>
      </c>
      <c r="O229" s="55">
        <v>3</v>
      </c>
      <c r="P229" s="55">
        <v>0</v>
      </c>
      <c r="Q229" s="55" t="s">
        <v>51</v>
      </c>
      <c r="R229" s="58">
        <v>43646.6984259259</v>
      </c>
    </row>
    <row r="230" s="48" customFormat="1" spans="1:18">
      <c r="A230" s="55" t="e">
        <f>VLOOKUP(B230,[1]天猫!$B$3:$H$258,1,FALSE)</f>
        <v>#N/A</v>
      </c>
      <c r="B230" s="48" t="str">
        <f>"487209344098123615"</f>
        <v>487209344098123615</v>
      </c>
      <c r="C230" s="48" t="s">
        <v>1323</v>
      </c>
      <c r="D230" s="48">
        <v>1</v>
      </c>
      <c r="E230" s="48" t="s">
        <v>53</v>
      </c>
      <c r="F230" s="48" t="s">
        <v>1329</v>
      </c>
      <c r="G230" s="48" t="s">
        <v>1330</v>
      </c>
      <c r="H230" s="48" t="s">
        <v>1326</v>
      </c>
      <c r="I230" s="51">
        <v>43631.9398148148</v>
      </c>
      <c r="J230" s="51">
        <v>43631.9399305556</v>
      </c>
      <c r="K230" s="48" t="s">
        <v>1331</v>
      </c>
      <c r="M230" s="48" t="s">
        <v>635</v>
      </c>
      <c r="N230" s="48" t="s">
        <v>699</v>
      </c>
      <c r="O230" s="48">
        <v>1</v>
      </c>
      <c r="P230" s="48">
        <v>0</v>
      </c>
      <c r="Q230" s="48" t="s">
        <v>51</v>
      </c>
      <c r="R230" s="51">
        <v>43631.9402662037</v>
      </c>
    </row>
    <row r="231" s="56" customFormat="1" spans="1:18">
      <c r="A231" s="55" t="e">
        <f>VLOOKUP(B231,[1]天猫!$B$3:$H$258,1,FALSE)</f>
        <v>#N/A</v>
      </c>
      <c r="B231" s="56" t="str">
        <f>"487550817772784364"</f>
        <v>487550817772784364</v>
      </c>
      <c r="C231" s="56" t="s">
        <v>1332</v>
      </c>
      <c r="D231" s="56">
        <v>616</v>
      </c>
      <c r="E231" s="56" t="s">
        <v>53</v>
      </c>
      <c r="F231" s="56" t="s">
        <v>1333</v>
      </c>
      <c r="G231" s="56" t="s">
        <v>1334</v>
      </c>
      <c r="H231" s="56" t="s">
        <v>1335</v>
      </c>
      <c r="I231" s="59">
        <v>43631.9120486111</v>
      </c>
      <c r="J231" s="59">
        <v>43631.9121412037</v>
      </c>
      <c r="K231" s="56" t="s">
        <v>790</v>
      </c>
      <c r="L231" s="56" t="s">
        <v>1336</v>
      </c>
      <c r="M231" s="56" t="s">
        <v>49</v>
      </c>
      <c r="N231" s="56" t="s">
        <v>1337</v>
      </c>
      <c r="O231" s="56">
        <v>1</v>
      </c>
      <c r="P231" s="56">
        <v>0</v>
      </c>
      <c r="Q231" s="56" t="s">
        <v>51</v>
      </c>
      <c r="R231" s="59">
        <v>43636.5892708333</v>
      </c>
    </row>
    <row r="232" s="48" customFormat="1" hidden="1" spans="1:18">
      <c r="A232" s="55" t="str">
        <f>VLOOKUP(B232,[1]天猫!$B$3:$H$258,1,FALSE)</f>
        <v>283641988106585297</v>
      </c>
      <c r="B232" s="48" t="str">
        <f>"283641988106585297"</f>
        <v>283641988106585297</v>
      </c>
      <c r="C232" s="48" t="s">
        <v>1338</v>
      </c>
      <c r="D232" s="48">
        <v>2788</v>
      </c>
      <c r="E232" s="48" t="s">
        <v>53</v>
      </c>
      <c r="F232" s="48" t="s">
        <v>1339</v>
      </c>
      <c r="G232" s="48" t="s">
        <v>1340</v>
      </c>
      <c r="H232" s="48" t="s">
        <v>1341</v>
      </c>
      <c r="I232" s="51">
        <v>43631.8141203704</v>
      </c>
      <c r="J232" s="51">
        <v>43631.8190856481</v>
      </c>
      <c r="K232" s="48" t="s">
        <v>673</v>
      </c>
      <c r="L232" s="48" t="s">
        <v>1342</v>
      </c>
      <c r="M232" s="48" t="s">
        <v>49</v>
      </c>
      <c r="O232" s="48">
        <v>1</v>
      </c>
      <c r="P232" s="48">
        <v>0</v>
      </c>
      <c r="Q232" s="48" t="s">
        <v>51</v>
      </c>
      <c r="R232" s="51">
        <v>43640.6725925926</v>
      </c>
    </row>
    <row r="233" s="48" customFormat="1" spans="1:18">
      <c r="A233" s="55" t="e">
        <f>VLOOKUP(B233,[1]天猫!$B$3:$H$258,1,FALSE)</f>
        <v>#N/A</v>
      </c>
      <c r="B233" s="48" t="str">
        <f>"283903430070585297"</f>
        <v>283903430070585297</v>
      </c>
      <c r="C233" s="48" t="s">
        <v>1338</v>
      </c>
      <c r="D233" s="48">
        <v>1</v>
      </c>
      <c r="E233" s="48" t="s">
        <v>53</v>
      </c>
      <c r="F233" s="48" t="s">
        <v>1339</v>
      </c>
      <c r="G233" s="48" t="s">
        <v>1340</v>
      </c>
      <c r="H233" s="48" t="s">
        <v>1341</v>
      </c>
      <c r="I233" s="51">
        <v>43631.8102893519</v>
      </c>
      <c r="J233" s="51">
        <v>43631.8116782407</v>
      </c>
      <c r="K233" s="48" t="s">
        <v>1331</v>
      </c>
      <c r="M233" s="48" t="s">
        <v>635</v>
      </c>
      <c r="N233" s="48" t="s">
        <v>699</v>
      </c>
      <c r="O233" s="48">
        <v>1</v>
      </c>
      <c r="P233" s="48">
        <v>0</v>
      </c>
      <c r="Q233" s="48" t="s">
        <v>51</v>
      </c>
      <c r="R233" s="51">
        <v>43631.8119907407</v>
      </c>
    </row>
    <row r="234" s="48" customFormat="1" spans="1:18">
      <c r="A234" s="55" t="e">
        <f>VLOOKUP(B234,[1]天猫!$B$3:$H$258,1,FALSE)</f>
        <v>#N/A</v>
      </c>
      <c r="B234" s="48" t="str">
        <f>"305888557294567503"</f>
        <v>305888557294567503</v>
      </c>
      <c r="C234" s="48" t="s">
        <v>1343</v>
      </c>
      <c r="D234" s="48">
        <v>1</v>
      </c>
      <c r="E234" s="48" t="s">
        <v>53</v>
      </c>
      <c r="F234" s="48" t="s">
        <v>1344</v>
      </c>
      <c r="G234" s="48" t="s">
        <v>1345</v>
      </c>
      <c r="H234" s="48" t="s">
        <v>1346</v>
      </c>
      <c r="I234" s="51">
        <v>43631.700162037</v>
      </c>
      <c r="J234" s="51">
        <v>43631.7006018519</v>
      </c>
      <c r="K234" s="48" t="s">
        <v>1331</v>
      </c>
      <c r="M234" s="48" t="s">
        <v>635</v>
      </c>
      <c r="N234" s="48" t="s">
        <v>699</v>
      </c>
      <c r="O234" s="48">
        <v>1</v>
      </c>
      <c r="P234" s="48">
        <v>0</v>
      </c>
      <c r="Q234" s="48" t="s">
        <v>51</v>
      </c>
      <c r="R234" s="51">
        <v>43631.7009490741</v>
      </c>
    </row>
    <row r="235" s="48" customFormat="1" hidden="1" spans="1:18">
      <c r="A235" s="55" t="str">
        <f>VLOOKUP(B235,[1]天猫!$B$3:$H$258,1,FALSE)</f>
        <v>487631395383963963</v>
      </c>
      <c r="B235" s="48" t="str">
        <f>"487631395383963963"</f>
        <v>487631395383963963</v>
      </c>
      <c r="C235" s="48" t="s">
        <v>1347</v>
      </c>
      <c r="D235" s="48">
        <v>1236</v>
      </c>
      <c r="E235" s="48" t="s">
        <v>53</v>
      </c>
      <c r="F235" s="48" t="s">
        <v>1348</v>
      </c>
      <c r="G235" s="48" t="s">
        <v>1349</v>
      </c>
      <c r="H235" s="48" t="s">
        <v>1350</v>
      </c>
      <c r="I235" s="51">
        <v>43631.6207407407</v>
      </c>
      <c r="J235" s="51">
        <v>43631.6259375</v>
      </c>
      <c r="K235" s="48" t="s">
        <v>1351</v>
      </c>
      <c r="L235" s="48" t="s">
        <v>1352</v>
      </c>
      <c r="M235" s="48" t="s">
        <v>49</v>
      </c>
      <c r="O235" s="48">
        <v>2</v>
      </c>
      <c r="P235" s="48">
        <v>0</v>
      </c>
      <c r="Q235" s="48" t="s">
        <v>51</v>
      </c>
      <c r="R235" s="51">
        <v>43639.581412037</v>
      </c>
    </row>
    <row r="236" s="48" customFormat="1" hidden="1" spans="1:18">
      <c r="A236" s="55" t="str">
        <f>VLOOKUP(B236,[1]天猫!$B$3:$H$258,1,FALSE)</f>
        <v>487029153036160590</v>
      </c>
      <c r="B236" s="48" t="str">
        <f>"487029153036160590"</f>
        <v>487029153036160590</v>
      </c>
      <c r="C236" s="48" t="s">
        <v>1353</v>
      </c>
      <c r="D236" s="48">
        <v>1899</v>
      </c>
      <c r="E236" s="48" t="s">
        <v>53</v>
      </c>
      <c r="F236" s="48" t="s">
        <v>1354</v>
      </c>
      <c r="G236" s="48" t="s">
        <v>1355</v>
      </c>
      <c r="H236" s="48" t="s">
        <v>1356</v>
      </c>
      <c r="I236" s="51">
        <v>43631.6165509259</v>
      </c>
      <c r="J236" s="51">
        <v>43631.6247453704</v>
      </c>
      <c r="K236" s="48" t="s">
        <v>1357</v>
      </c>
      <c r="L236" s="48" t="s">
        <v>1358</v>
      </c>
      <c r="M236" s="48" t="s">
        <v>49</v>
      </c>
      <c r="O236" s="48">
        <v>1</v>
      </c>
      <c r="P236" s="48">
        <v>0</v>
      </c>
      <c r="Q236" s="48" t="s">
        <v>51</v>
      </c>
      <c r="R236" s="51">
        <v>43638.3671643519</v>
      </c>
    </row>
    <row r="237" s="48" customFormat="1" spans="1:18">
      <c r="A237" s="55" t="e">
        <f>VLOOKUP(B237,[1]天猫!$B$3:$H$258,1,FALSE)</f>
        <v>#N/A</v>
      </c>
      <c r="B237" s="48" t="str">
        <f>"487320579259116277"</f>
        <v>487320579259116277</v>
      </c>
      <c r="C237" s="48" t="s">
        <v>1306</v>
      </c>
      <c r="D237" s="48">
        <v>1</v>
      </c>
      <c r="E237" s="48" t="s">
        <v>53</v>
      </c>
      <c r="F237" s="48" t="s">
        <v>1307</v>
      </c>
      <c r="G237" s="48" t="s">
        <v>1359</v>
      </c>
      <c r="H237" s="48" t="s">
        <v>1309</v>
      </c>
      <c r="I237" s="51">
        <v>43631.5968402778</v>
      </c>
      <c r="J237" s="51">
        <v>43631.5969444444</v>
      </c>
      <c r="K237" s="48" t="s">
        <v>1331</v>
      </c>
      <c r="M237" s="48" t="s">
        <v>635</v>
      </c>
      <c r="O237" s="48">
        <v>1</v>
      </c>
      <c r="P237" s="48">
        <v>0</v>
      </c>
      <c r="Q237" s="48" t="s">
        <v>51</v>
      </c>
      <c r="R237" s="51">
        <v>43631.5972569444</v>
      </c>
    </row>
    <row r="238" s="48" customFormat="1" spans="1:18">
      <c r="A238" s="55" t="e">
        <f>VLOOKUP(B238,[1]天猫!$B$3:$H$258,1,FALSE)</f>
        <v>#N/A</v>
      </c>
      <c r="B238" s="48" t="str">
        <f>"486367008675250070"</f>
        <v>486367008675250070</v>
      </c>
      <c r="C238" s="48" t="s">
        <v>1360</v>
      </c>
      <c r="D238" s="48">
        <v>1</v>
      </c>
      <c r="E238" s="48" t="s">
        <v>53</v>
      </c>
      <c r="F238" s="48" t="s">
        <v>1361</v>
      </c>
      <c r="G238" s="48" t="s">
        <v>1362</v>
      </c>
      <c r="H238" s="48" t="s">
        <v>1363</v>
      </c>
      <c r="I238" s="51">
        <v>43631.5490740741</v>
      </c>
      <c r="J238" s="51">
        <v>43631.549224537</v>
      </c>
      <c r="K238" s="48" t="s">
        <v>1331</v>
      </c>
      <c r="M238" s="48" t="s">
        <v>635</v>
      </c>
      <c r="O238" s="48">
        <v>1</v>
      </c>
      <c r="P238" s="48">
        <v>0</v>
      </c>
      <c r="Q238" s="48" t="s">
        <v>51</v>
      </c>
      <c r="R238" s="51">
        <v>43631.5495601852</v>
      </c>
    </row>
    <row r="239" s="56" customFormat="1" spans="1:18">
      <c r="A239" s="55" t="e">
        <f>VLOOKUP(B239,[1]天猫!$B$3:$H$258,1,FALSE)</f>
        <v>#N/A</v>
      </c>
      <c r="B239" s="56" t="str">
        <f>"487494979338965656"</f>
        <v>487494979338965656</v>
      </c>
      <c r="C239" s="56" t="s">
        <v>1364</v>
      </c>
      <c r="D239" s="56">
        <v>1799</v>
      </c>
      <c r="E239" s="56" t="s">
        <v>53</v>
      </c>
      <c r="F239" s="56" t="s">
        <v>1365</v>
      </c>
      <c r="G239" s="56" t="s">
        <v>1366</v>
      </c>
      <c r="H239" s="56" t="s">
        <v>1367</v>
      </c>
      <c r="I239" s="59">
        <v>43631.5413078704</v>
      </c>
      <c r="J239" s="59">
        <v>43631.5416435185</v>
      </c>
      <c r="K239" s="56" t="s">
        <v>57</v>
      </c>
      <c r="L239" s="56" t="s">
        <v>1368</v>
      </c>
      <c r="M239" s="56" t="s">
        <v>49</v>
      </c>
      <c r="N239" s="56" t="s">
        <v>1369</v>
      </c>
      <c r="O239" s="56">
        <v>3</v>
      </c>
      <c r="P239" s="56">
        <v>0</v>
      </c>
      <c r="Q239" s="56" t="s">
        <v>51</v>
      </c>
      <c r="R239" s="59">
        <v>43634.7914583333</v>
      </c>
    </row>
    <row r="240" s="48" customFormat="1" hidden="1" spans="1:18">
      <c r="A240" s="55" t="str">
        <f>VLOOKUP(B240,[1]天猫!$B$3:$H$258,1,FALSE)</f>
        <v>486695329336792684</v>
      </c>
      <c r="B240" s="48" t="str">
        <f>"486695329336792684"</f>
        <v>486695329336792684</v>
      </c>
      <c r="C240" s="48" t="s">
        <v>1370</v>
      </c>
      <c r="D240" s="48">
        <v>1799</v>
      </c>
      <c r="E240" s="48" t="s">
        <v>53</v>
      </c>
      <c r="F240" s="48" t="s">
        <v>1371</v>
      </c>
      <c r="G240" s="48" t="s">
        <v>1372</v>
      </c>
      <c r="H240" s="48" t="s">
        <v>1373</v>
      </c>
      <c r="I240" s="51">
        <v>43631.4391550926</v>
      </c>
      <c r="J240" s="51">
        <v>43631.4888194444</v>
      </c>
      <c r="K240" s="48" t="s">
        <v>57</v>
      </c>
      <c r="L240" s="48" t="s">
        <v>1374</v>
      </c>
      <c r="M240" s="48" t="s">
        <v>49</v>
      </c>
      <c r="O240" s="48">
        <v>3</v>
      </c>
      <c r="P240" s="48">
        <v>0</v>
      </c>
      <c r="Q240" s="48" t="s">
        <v>51</v>
      </c>
      <c r="R240" s="51">
        <v>43636.3411226852</v>
      </c>
    </row>
    <row r="241" s="48" customFormat="1" spans="1:18">
      <c r="A241" s="55" t="e">
        <f>VLOOKUP(B241,[1]天猫!$B$3:$H$258,1,FALSE)</f>
        <v>#N/A</v>
      </c>
      <c r="B241" s="48" t="str">
        <f>"486682721322792684"</f>
        <v>486682721322792684</v>
      </c>
      <c r="C241" s="48" t="s">
        <v>1370</v>
      </c>
      <c r="D241" s="48">
        <v>1</v>
      </c>
      <c r="E241" s="48" t="s">
        <v>53</v>
      </c>
      <c r="F241" s="48" t="s">
        <v>1371</v>
      </c>
      <c r="G241" s="48" t="s">
        <v>1372</v>
      </c>
      <c r="H241" s="48" t="s">
        <v>1373</v>
      </c>
      <c r="I241" s="51">
        <v>43631.432974537</v>
      </c>
      <c r="J241" s="51">
        <v>43631.4330671296</v>
      </c>
      <c r="K241" s="48" t="s">
        <v>1331</v>
      </c>
      <c r="M241" s="48" t="s">
        <v>635</v>
      </c>
      <c r="N241" s="48" t="s">
        <v>699</v>
      </c>
      <c r="O241" s="48">
        <v>1</v>
      </c>
      <c r="P241" s="48">
        <v>0</v>
      </c>
      <c r="Q241" s="48" t="s">
        <v>51</v>
      </c>
      <c r="R241" s="51">
        <v>43631.4333912037</v>
      </c>
    </row>
    <row r="242" s="48" customFormat="1" hidden="1" spans="1:18">
      <c r="A242" s="55" t="str">
        <f>VLOOKUP(B242,[1]天猫!$B$3:$H$258,1,FALSE)</f>
        <v>486669345902620079</v>
      </c>
      <c r="B242" s="48" t="str">
        <f>"486669345902620079"</f>
        <v>486669345902620079</v>
      </c>
      <c r="C242" s="48" t="s">
        <v>1375</v>
      </c>
      <c r="D242" s="48">
        <v>1799</v>
      </c>
      <c r="E242" s="48" t="s">
        <v>53</v>
      </c>
      <c r="F242" s="48" t="s">
        <v>1376</v>
      </c>
      <c r="G242" s="48" t="s">
        <v>1377</v>
      </c>
      <c r="H242" s="48" t="s">
        <v>1378</v>
      </c>
      <c r="I242" s="51">
        <v>43631.4329282407</v>
      </c>
      <c r="J242" s="51">
        <v>43631.4855902778</v>
      </c>
      <c r="K242" s="48" t="s">
        <v>57</v>
      </c>
      <c r="L242" s="48" t="s">
        <v>1379</v>
      </c>
      <c r="M242" s="48" t="s">
        <v>49</v>
      </c>
      <c r="O242" s="48">
        <v>3</v>
      </c>
      <c r="P242" s="48">
        <v>0</v>
      </c>
      <c r="Q242" s="48" t="s">
        <v>51</v>
      </c>
      <c r="R242" s="51">
        <v>43638.9787847222</v>
      </c>
    </row>
    <row r="243" s="56" customFormat="1" spans="1:18">
      <c r="A243" s="55" t="e">
        <f>VLOOKUP(B243,[1]天猫!$B$3:$H$258,1,FALSE)</f>
        <v>#N/A</v>
      </c>
      <c r="B243" s="56" t="str">
        <f>"305909582496006506"</f>
        <v>305909582496006506</v>
      </c>
      <c r="C243" s="56" t="s">
        <v>1380</v>
      </c>
      <c r="D243" s="56">
        <v>1799</v>
      </c>
      <c r="E243" s="56" t="s">
        <v>53</v>
      </c>
      <c r="F243" s="56" t="s">
        <v>1381</v>
      </c>
      <c r="G243" s="56" t="s">
        <v>1382</v>
      </c>
      <c r="H243" s="56" t="s">
        <v>1383</v>
      </c>
      <c r="I243" s="59">
        <v>43631.4306597222</v>
      </c>
      <c r="J243" s="59">
        <v>43631.4307638889</v>
      </c>
      <c r="K243" s="56" t="s">
        <v>57</v>
      </c>
      <c r="L243" s="56" t="s">
        <v>1384</v>
      </c>
      <c r="M243" s="56" t="s">
        <v>49</v>
      </c>
      <c r="N243" s="56" t="s">
        <v>1385</v>
      </c>
      <c r="O243" s="56">
        <v>3</v>
      </c>
      <c r="P243" s="56">
        <v>0</v>
      </c>
      <c r="Q243" s="56" t="s">
        <v>51</v>
      </c>
      <c r="R243" s="59">
        <v>43638.0006712963</v>
      </c>
    </row>
    <row r="244" s="55" customFormat="1" spans="1:18">
      <c r="A244" s="55" t="e">
        <f>VLOOKUP(B244,[1]天猫!$B$3:$H$258,1,FALSE)</f>
        <v>#N/A</v>
      </c>
      <c r="B244" s="55" t="str">
        <f>"486662465848513281"</f>
        <v>486662465848513281</v>
      </c>
      <c r="C244" s="55" t="s">
        <v>1386</v>
      </c>
      <c r="D244" s="55">
        <v>1790</v>
      </c>
      <c r="E244" s="55" t="s">
        <v>53</v>
      </c>
      <c r="F244" s="55" t="s">
        <v>1387</v>
      </c>
      <c r="G244" s="55" t="s">
        <v>1388</v>
      </c>
      <c r="H244" s="55" t="s">
        <v>1389</v>
      </c>
      <c r="I244" s="58">
        <v>43631.4292013889</v>
      </c>
      <c r="J244" s="58">
        <v>43631.4292939815</v>
      </c>
      <c r="K244" s="55" t="s">
        <v>57</v>
      </c>
      <c r="L244" s="55" t="s">
        <v>1390</v>
      </c>
      <c r="M244" s="55" t="s">
        <v>49</v>
      </c>
      <c r="N244" s="55" t="s">
        <v>1391</v>
      </c>
      <c r="O244" s="55">
        <v>3</v>
      </c>
      <c r="P244" s="55">
        <v>0</v>
      </c>
      <c r="Q244" s="55" t="s">
        <v>51</v>
      </c>
      <c r="R244" s="58">
        <v>43641.6874305556</v>
      </c>
    </row>
    <row r="245" s="48" customFormat="1" spans="1:18">
      <c r="A245" s="55" t="e">
        <f>VLOOKUP(B245,[1]天猫!$B$3:$H$258,1,FALSE)</f>
        <v>#N/A</v>
      </c>
      <c r="B245" s="48" t="str">
        <f>"487282819028620079"</f>
        <v>487282819028620079</v>
      </c>
      <c r="C245" s="48" t="s">
        <v>1375</v>
      </c>
      <c r="D245" s="48">
        <v>1</v>
      </c>
      <c r="E245" s="48" t="s">
        <v>53</v>
      </c>
      <c r="F245" s="48" t="s">
        <v>1376</v>
      </c>
      <c r="G245" s="48" t="s">
        <v>1377</v>
      </c>
      <c r="H245" s="48" t="s">
        <v>1378</v>
      </c>
      <c r="I245" s="51">
        <v>43631.4289814815</v>
      </c>
      <c r="J245" s="51">
        <v>43631.4290393519</v>
      </c>
      <c r="K245" s="48" t="s">
        <v>1331</v>
      </c>
      <c r="M245" s="48" t="s">
        <v>635</v>
      </c>
      <c r="O245" s="48">
        <v>1</v>
      </c>
      <c r="P245" s="48">
        <v>0</v>
      </c>
      <c r="Q245" s="48" t="s">
        <v>51</v>
      </c>
      <c r="R245" s="51">
        <v>43631.4294328704</v>
      </c>
    </row>
    <row r="246" s="48" customFormat="1" spans="1:18">
      <c r="A246" s="55" t="e">
        <f>VLOOKUP(B246,[1]天猫!$B$3:$H$258,1,FALSE)</f>
        <v>#N/A</v>
      </c>
      <c r="B246" s="48" t="str">
        <f>"305789581736006506"</f>
        <v>305789581736006506</v>
      </c>
      <c r="C246" s="48" t="s">
        <v>1380</v>
      </c>
      <c r="D246" s="48">
        <v>1</v>
      </c>
      <c r="E246" s="48" t="s">
        <v>53</v>
      </c>
      <c r="F246" s="48" t="s">
        <v>1381</v>
      </c>
      <c r="G246" s="48" t="s">
        <v>1382</v>
      </c>
      <c r="H246" s="48" t="s">
        <v>1383</v>
      </c>
      <c r="I246" s="51">
        <v>43631.4255555556</v>
      </c>
      <c r="J246" s="51">
        <v>43631.4257291667</v>
      </c>
      <c r="K246" s="48" t="s">
        <v>1331</v>
      </c>
      <c r="M246" s="48" t="s">
        <v>635</v>
      </c>
      <c r="N246" s="48" t="s">
        <v>699</v>
      </c>
      <c r="O246" s="48">
        <v>1</v>
      </c>
      <c r="P246" s="48">
        <v>0</v>
      </c>
      <c r="Q246" s="48" t="s">
        <v>51</v>
      </c>
      <c r="R246" s="51">
        <v>43631.4260532407</v>
      </c>
    </row>
    <row r="247" s="48" customFormat="1" spans="1:18">
      <c r="A247" s="55" t="e">
        <f>VLOOKUP(B247,[1]天猫!$B$3:$H$258,1,FALSE)</f>
        <v>#N/A</v>
      </c>
      <c r="B247" s="48" t="str">
        <f>"487250755134513281"</f>
        <v>487250755134513281</v>
      </c>
      <c r="C247" s="48" t="s">
        <v>1386</v>
      </c>
      <c r="D247" s="48">
        <v>1</v>
      </c>
      <c r="E247" s="48" t="s">
        <v>53</v>
      </c>
      <c r="F247" s="48" t="s">
        <v>1387</v>
      </c>
      <c r="G247" s="48" t="s">
        <v>1388</v>
      </c>
      <c r="H247" s="48" t="s">
        <v>1389</v>
      </c>
      <c r="I247" s="51">
        <v>43631.4172800926</v>
      </c>
      <c r="J247" s="51">
        <v>43631.417349537</v>
      </c>
      <c r="K247" s="48" t="s">
        <v>1331</v>
      </c>
      <c r="M247" s="48" t="s">
        <v>635</v>
      </c>
      <c r="N247" s="48" t="s">
        <v>699</v>
      </c>
      <c r="O247" s="48">
        <v>1</v>
      </c>
      <c r="P247" s="48">
        <v>0</v>
      </c>
      <c r="Q247" s="48" t="s">
        <v>51</v>
      </c>
      <c r="R247" s="51">
        <v>43631.4176736111</v>
      </c>
    </row>
    <row r="248" s="56" customFormat="1" spans="1:18">
      <c r="A248" s="55" t="e">
        <f>VLOOKUP(B248,[1]天猫!$B$3:$H$258,1,FALSE)</f>
        <v>#N/A</v>
      </c>
      <c r="B248" s="56" t="str">
        <f>"487169571070472044"</f>
        <v>487169571070472044</v>
      </c>
      <c r="C248" s="56" t="s">
        <v>1392</v>
      </c>
      <c r="D248" s="56">
        <v>1799</v>
      </c>
      <c r="E248" s="56" t="s">
        <v>53</v>
      </c>
      <c r="F248" s="56" t="s">
        <v>1393</v>
      </c>
      <c r="G248" s="56" t="s">
        <v>1394</v>
      </c>
      <c r="H248" s="56" t="s">
        <v>1395</v>
      </c>
      <c r="I248" s="59">
        <v>43631.3483101852</v>
      </c>
      <c r="J248" s="59">
        <v>43631.3485185185</v>
      </c>
      <c r="K248" s="56" t="s">
        <v>57</v>
      </c>
      <c r="L248" s="56" t="s">
        <v>1396</v>
      </c>
      <c r="M248" s="56" t="s">
        <v>49</v>
      </c>
      <c r="N248" s="56" t="s">
        <v>1397</v>
      </c>
      <c r="O248" s="56">
        <v>3</v>
      </c>
      <c r="P248" s="56">
        <v>0</v>
      </c>
      <c r="Q248" s="56" t="s">
        <v>341</v>
      </c>
      <c r="R248" s="59">
        <v>43634.8952893519</v>
      </c>
    </row>
    <row r="249" s="48" customFormat="1" spans="1:18">
      <c r="A249" s="55" t="e">
        <f>VLOOKUP(B249,[1]天猫!$B$3:$H$258,1,FALSE)</f>
        <v>#N/A</v>
      </c>
      <c r="B249" s="48" t="str">
        <f>"487168547528472044"</f>
        <v>487168547528472044</v>
      </c>
      <c r="C249" s="48" t="s">
        <v>1392</v>
      </c>
      <c r="D249" s="48">
        <v>1</v>
      </c>
      <c r="E249" s="48" t="s">
        <v>53</v>
      </c>
      <c r="F249" s="48" t="s">
        <v>1393</v>
      </c>
      <c r="G249" s="48" t="s">
        <v>1394</v>
      </c>
      <c r="H249" s="48" t="s">
        <v>1395</v>
      </c>
      <c r="I249" s="51">
        <v>43631.3472222222</v>
      </c>
      <c r="J249" s="51">
        <v>43631.3473032407</v>
      </c>
      <c r="K249" s="48" t="s">
        <v>1331</v>
      </c>
      <c r="M249" s="48" t="s">
        <v>635</v>
      </c>
      <c r="N249" s="48" t="s">
        <v>699</v>
      </c>
      <c r="O249" s="48">
        <v>1</v>
      </c>
      <c r="P249" s="48">
        <v>0</v>
      </c>
      <c r="Q249" s="48" t="s">
        <v>51</v>
      </c>
      <c r="R249" s="51">
        <v>43631.3476967593</v>
      </c>
    </row>
    <row r="250" s="48" customFormat="1" spans="1:18">
      <c r="A250" s="55" t="e">
        <f>VLOOKUP(B250,[1]天猫!$B$3:$H$258,1,FALSE)</f>
        <v>#N/A</v>
      </c>
      <c r="B250" s="48" t="str">
        <f>"487136675261555479"</f>
        <v>487136675261555479</v>
      </c>
      <c r="C250" s="48" t="s">
        <v>1312</v>
      </c>
      <c r="D250" s="48">
        <v>1</v>
      </c>
      <c r="E250" s="48" t="s">
        <v>53</v>
      </c>
      <c r="F250" s="48" t="s">
        <v>1313</v>
      </c>
      <c r="G250" s="48" t="s">
        <v>1314</v>
      </c>
      <c r="H250" s="48" t="s">
        <v>1315</v>
      </c>
      <c r="I250" s="51">
        <v>43631.3003819444</v>
      </c>
      <c r="J250" s="51">
        <v>43631.3004166667</v>
      </c>
      <c r="K250" s="48" t="s">
        <v>1331</v>
      </c>
      <c r="M250" s="48" t="s">
        <v>635</v>
      </c>
      <c r="O250" s="48">
        <v>1</v>
      </c>
      <c r="P250" s="48">
        <v>0</v>
      </c>
      <c r="Q250" s="48" t="s">
        <v>51</v>
      </c>
      <c r="R250" s="51">
        <v>43631.3008680556</v>
      </c>
    </row>
    <row r="251" s="57" customFormat="1" spans="1:18">
      <c r="A251" s="55" t="e">
        <f>VLOOKUP(B251,[1]天猫!$B$3:$H$258,1,FALSE)</f>
        <v>#N/A</v>
      </c>
      <c r="B251" s="57" t="str">
        <f>"486019200993450065"</f>
        <v>486019200993450065</v>
      </c>
      <c r="C251" s="57" t="s">
        <v>1398</v>
      </c>
      <c r="D251" s="57">
        <v>10</v>
      </c>
      <c r="E251" s="57" t="s">
        <v>53</v>
      </c>
      <c r="F251" s="57" t="s">
        <v>1399</v>
      </c>
      <c r="G251" s="57" t="s">
        <v>1400</v>
      </c>
      <c r="H251" s="57" t="s">
        <v>1401</v>
      </c>
      <c r="I251" s="60">
        <v>43630.9277430556</v>
      </c>
      <c r="J251" s="60">
        <v>43630.9277893519</v>
      </c>
      <c r="K251" s="57" t="s">
        <v>95</v>
      </c>
      <c r="L251" s="57" t="s">
        <v>1402</v>
      </c>
      <c r="M251" s="57" t="s">
        <v>49</v>
      </c>
      <c r="N251" s="57" t="s">
        <v>1403</v>
      </c>
      <c r="O251" s="57">
        <v>10</v>
      </c>
      <c r="P251" s="57">
        <v>0</v>
      </c>
      <c r="Q251" s="57" t="s">
        <v>51</v>
      </c>
      <c r="R251" s="60">
        <v>43641.7094328704</v>
      </c>
    </row>
    <row r="252" s="48" customFormat="1" hidden="1" spans="1:18">
      <c r="A252" s="55" t="str">
        <f>VLOOKUP(B252,[1]天猫!$B$3:$H$258,1,FALSE)</f>
        <v>486262690560949648</v>
      </c>
      <c r="B252" s="48" t="str">
        <f>"486262690560949648"</f>
        <v>486262690560949648</v>
      </c>
      <c r="C252" s="48" t="s">
        <v>1404</v>
      </c>
      <c r="D252" s="48">
        <v>1671.12</v>
      </c>
      <c r="E252" s="48" t="s">
        <v>53</v>
      </c>
      <c r="F252" s="48" t="s">
        <v>1405</v>
      </c>
      <c r="G252" s="48" t="s">
        <v>1406</v>
      </c>
      <c r="H252" s="48" t="s">
        <v>1407</v>
      </c>
      <c r="I252" s="51">
        <v>43630.8912152778</v>
      </c>
      <c r="J252" s="51">
        <v>43630.9016898148</v>
      </c>
      <c r="K252" s="48" t="s">
        <v>1357</v>
      </c>
      <c r="L252" s="48" t="s">
        <v>1408</v>
      </c>
      <c r="M252" s="48" t="s">
        <v>49</v>
      </c>
      <c r="O252" s="48">
        <v>1</v>
      </c>
      <c r="P252" s="48">
        <v>0</v>
      </c>
      <c r="Q252" s="48" t="s">
        <v>51</v>
      </c>
      <c r="R252" s="51">
        <v>43636.5768402778</v>
      </c>
    </row>
    <row r="253" s="48" customFormat="1" hidden="1" spans="1:18">
      <c r="A253" s="55" t="str">
        <f>VLOOKUP(B253,[1]天猫!$B$3:$H$258,1,FALSE)</f>
        <v>486243681678850874</v>
      </c>
      <c r="B253" s="48" t="str">
        <f>"486243681678850874"</f>
        <v>486243681678850874</v>
      </c>
      <c r="C253" s="48" t="s">
        <v>1409</v>
      </c>
      <c r="D253" s="48">
        <v>1671.12</v>
      </c>
      <c r="E253" s="48" t="s">
        <v>53</v>
      </c>
      <c r="F253" s="48" t="s">
        <v>1410</v>
      </c>
      <c r="G253" s="48" t="s">
        <v>1411</v>
      </c>
      <c r="H253" s="48" t="s">
        <v>1412</v>
      </c>
      <c r="I253" s="51">
        <v>43630.8651388889</v>
      </c>
      <c r="J253" s="51">
        <v>43630.8715856482</v>
      </c>
      <c r="K253" s="48" t="s">
        <v>1357</v>
      </c>
      <c r="L253" s="48" t="s">
        <v>1413</v>
      </c>
      <c r="M253" s="48" t="s">
        <v>49</v>
      </c>
      <c r="O253" s="48">
        <v>1</v>
      </c>
      <c r="P253" s="48">
        <v>0</v>
      </c>
      <c r="Q253" s="48" t="s">
        <v>51</v>
      </c>
      <c r="R253" s="51">
        <v>43638.5914467593</v>
      </c>
    </row>
    <row r="254" s="48" customFormat="1" hidden="1" spans="1:18">
      <c r="A254" s="55" t="str">
        <f>VLOOKUP(B254,[1]天猫!$B$3:$H$258,1,FALSE)</f>
        <v>305916398113767700</v>
      </c>
      <c r="B254" s="48" t="str">
        <f>"305916398113767700"</f>
        <v>305916398113767700</v>
      </c>
      <c r="C254" s="48" t="s">
        <v>1414</v>
      </c>
      <c r="D254" s="48">
        <v>2788</v>
      </c>
      <c r="E254" s="48" t="s">
        <v>53</v>
      </c>
      <c r="F254" s="48" t="s">
        <v>1415</v>
      </c>
      <c r="G254" s="48" t="s">
        <v>1416</v>
      </c>
      <c r="H254" s="48" t="s">
        <v>1417</v>
      </c>
      <c r="I254" s="51">
        <v>43630.7312615741</v>
      </c>
      <c r="J254" s="51">
        <v>43630.7407407407</v>
      </c>
      <c r="K254" s="48" t="s">
        <v>75</v>
      </c>
      <c r="L254" s="48" t="s">
        <v>1418</v>
      </c>
      <c r="M254" s="48" t="s">
        <v>49</v>
      </c>
      <c r="O254" s="48">
        <v>3</v>
      </c>
      <c r="P254" s="48">
        <v>0</v>
      </c>
      <c r="Q254" s="48" t="s">
        <v>51</v>
      </c>
      <c r="R254" s="51">
        <v>43637.4792013889</v>
      </c>
    </row>
    <row r="255" s="48" customFormat="1" spans="1:18">
      <c r="A255" s="55" t="e">
        <f>VLOOKUP(B255,[1]天猫!$B$3:$H$258,1,FALSE)</f>
        <v>#N/A</v>
      </c>
      <c r="B255" s="48" t="str">
        <f>"305659564375767700"</f>
        <v>305659564375767700</v>
      </c>
      <c r="C255" s="48" t="s">
        <v>1414</v>
      </c>
      <c r="D255" s="48">
        <v>1</v>
      </c>
      <c r="E255" s="48" t="s">
        <v>53</v>
      </c>
      <c r="F255" s="48" t="s">
        <v>1415</v>
      </c>
      <c r="G255" s="48" t="s">
        <v>1416</v>
      </c>
      <c r="H255" s="48" t="s">
        <v>1417</v>
      </c>
      <c r="I255" s="51">
        <v>43630.7282291667</v>
      </c>
      <c r="J255" s="51">
        <v>43630.728287037</v>
      </c>
      <c r="K255" s="48" t="s">
        <v>1331</v>
      </c>
      <c r="M255" s="48" t="s">
        <v>635</v>
      </c>
      <c r="N255" s="48" t="s">
        <v>699</v>
      </c>
      <c r="O255" s="48">
        <v>1</v>
      </c>
      <c r="P255" s="48">
        <v>0</v>
      </c>
      <c r="Q255" s="48" t="s">
        <v>51</v>
      </c>
      <c r="R255" s="51">
        <v>43630.7286226852</v>
      </c>
    </row>
    <row r="256" s="55" customFormat="1" spans="1:18">
      <c r="A256" s="55" t="e">
        <f>VLOOKUP(B256,[1]天猫!$B$3:$H$258,1,FALSE)</f>
        <v>#N/A</v>
      </c>
      <c r="B256" s="55" t="str">
        <f>"486266562493670765"</f>
        <v>486266562493670765</v>
      </c>
      <c r="C256" s="55" t="s">
        <v>1419</v>
      </c>
      <c r="D256" s="55">
        <v>1888</v>
      </c>
      <c r="E256" s="55" t="s">
        <v>53</v>
      </c>
      <c r="F256" s="55" t="s">
        <v>1420</v>
      </c>
      <c r="G256" s="55" t="s">
        <v>1421</v>
      </c>
      <c r="H256" s="55" t="s">
        <v>1422</v>
      </c>
      <c r="I256" s="58">
        <v>43630.6760648148</v>
      </c>
      <c r="J256" s="58">
        <v>43630.6764236111</v>
      </c>
      <c r="K256" s="55" t="s">
        <v>57</v>
      </c>
      <c r="L256" s="55" t="s">
        <v>1423</v>
      </c>
      <c r="M256" s="55" t="s">
        <v>49</v>
      </c>
      <c r="N256" s="55" t="s">
        <v>1424</v>
      </c>
      <c r="O256" s="55">
        <v>3</v>
      </c>
      <c r="P256" s="55">
        <v>0</v>
      </c>
      <c r="Q256" s="55" t="s">
        <v>51</v>
      </c>
      <c r="R256" s="58">
        <v>43640.7512152778</v>
      </c>
    </row>
    <row r="257" s="48" customFormat="1" spans="1:18">
      <c r="A257" s="55" t="e">
        <f>VLOOKUP(B257,[1]天猫!$B$3:$H$258,1,FALSE)</f>
        <v>#N/A</v>
      </c>
      <c r="B257" s="48" t="str">
        <f>"486273346854797336"</f>
        <v>486273346854797336</v>
      </c>
      <c r="C257" s="48" t="s">
        <v>1425</v>
      </c>
      <c r="D257" s="48">
        <v>1</v>
      </c>
      <c r="E257" s="48" t="s">
        <v>53</v>
      </c>
      <c r="F257" s="48" t="s">
        <v>1426</v>
      </c>
      <c r="G257" s="48" t="s">
        <v>1427</v>
      </c>
      <c r="H257" s="48" t="s">
        <v>1428</v>
      </c>
      <c r="I257" s="51">
        <v>43630.6717476852</v>
      </c>
      <c r="J257" s="51">
        <v>43630.6718634259</v>
      </c>
      <c r="K257" s="48" t="s">
        <v>1331</v>
      </c>
      <c r="M257" s="48" t="s">
        <v>635</v>
      </c>
      <c r="N257" s="48" t="s">
        <v>699</v>
      </c>
      <c r="O257" s="48">
        <v>1</v>
      </c>
      <c r="P257" s="48">
        <v>0</v>
      </c>
      <c r="Q257" s="48" t="s">
        <v>51</v>
      </c>
      <c r="R257" s="51">
        <v>43630.6721990741</v>
      </c>
    </row>
    <row r="258" s="48" customFormat="1" spans="1:18">
      <c r="A258" s="55" t="e">
        <f>VLOOKUP(B258,[1]天猫!$B$3:$H$258,1,FALSE)</f>
        <v>#N/A</v>
      </c>
      <c r="B258" s="48" t="str">
        <f>"485887681170797178"</f>
        <v>485887681170797178</v>
      </c>
      <c r="C258" s="48" t="s">
        <v>1429</v>
      </c>
      <c r="D258" s="48">
        <v>1</v>
      </c>
      <c r="E258" s="48" t="s">
        <v>53</v>
      </c>
      <c r="F258" s="48" t="s">
        <v>1430</v>
      </c>
      <c r="G258" s="48" t="s">
        <v>1431</v>
      </c>
      <c r="H258" s="48" t="s">
        <v>1432</v>
      </c>
      <c r="I258" s="51">
        <v>43630.6594907407</v>
      </c>
      <c r="J258" s="51">
        <v>43630.6595138889</v>
      </c>
      <c r="K258" s="48" t="s">
        <v>1331</v>
      </c>
      <c r="M258" s="48" t="s">
        <v>635</v>
      </c>
      <c r="N258" s="48" t="s">
        <v>699</v>
      </c>
      <c r="O258" s="48">
        <v>1</v>
      </c>
      <c r="P258" s="48">
        <v>0</v>
      </c>
      <c r="Q258" s="48" t="s">
        <v>51</v>
      </c>
      <c r="R258" s="51">
        <v>43630.659837963</v>
      </c>
    </row>
    <row r="259" s="48" customFormat="1" hidden="1" spans="1:18">
      <c r="A259" s="55" t="str">
        <f>VLOOKUP(B259,[1]天猫!$B$3:$H$258,1,FALSE)</f>
        <v>485633921985914739</v>
      </c>
      <c r="B259" s="48" t="str">
        <f>"485633921985914739"</f>
        <v>485633921985914739</v>
      </c>
      <c r="C259" s="48" t="s">
        <v>1433</v>
      </c>
      <c r="D259" s="48">
        <v>1199.68</v>
      </c>
      <c r="E259" s="48" t="s">
        <v>53</v>
      </c>
      <c r="F259" s="48" t="s">
        <v>1434</v>
      </c>
      <c r="G259" s="48" t="s">
        <v>1435</v>
      </c>
      <c r="H259" s="48" t="s">
        <v>1436</v>
      </c>
      <c r="I259" s="51">
        <v>43630.5094791667</v>
      </c>
      <c r="J259" s="51">
        <v>43630.5145949074</v>
      </c>
      <c r="K259" s="48" t="s">
        <v>1351</v>
      </c>
      <c r="L259" s="48" t="s">
        <v>1437</v>
      </c>
      <c r="M259" s="48" t="s">
        <v>49</v>
      </c>
      <c r="O259" s="48">
        <v>2</v>
      </c>
      <c r="P259" s="48">
        <v>0</v>
      </c>
      <c r="Q259" s="48" t="s">
        <v>51</v>
      </c>
      <c r="R259" s="51">
        <v>43636.4159837963</v>
      </c>
    </row>
    <row r="260" s="48" customFormat="1" hidden="1" spans="1:18">
      <c r="A260" s="55" t="str">
        <f>VLOOKUP(B260,[1]天猫!$B$3:$H$258,1,FALSE)</f>
        <v>485254176609520246</v>
      </c>
      <c r="B260" s="48" t="str">
        <f>"485254176609520246"</f>
        <v>485254176609520246</v>
      </c>
      <c r="C260" s="48" t="s">
        <v>1438</v>
      </c>
      <c r="D260" s="48">
        <v>1799</v>
      </c>
      <c r="E260" s="48" t="s">
        <v>53</v>
      </c>
      <c r="F260" s="48" t="s">
        <v>1439</v>
      </c>
      <c r="G260" s="48" t="s">
        <v>1440</v>
      </c>
      <c r="H260" s="48" t="s">
        <v>1441</v>
      </c>
      <c r="I260" s="51">
        <v>43630.4856134259</v>
      </c>
      <c r="J260" s="51">
        <v>43630.4925347222</v>
      </c>
      <c r="K260" s="48" t="s">
        <v>57</v>
      </c>
      <c r="L260" s="48" t="s">
        <v>1442</v>
      </c>
      <c r="M260" s="48" t="s">
        <v>49</v>
      </c>
      <c r="O260" s="48">
        <v>3</v>
      </c>
      <c r="P260" s="48">
        <v>0</v>
      </c>
      <c r="Q260" s="48" t="s">
        <v>51</v>
      </c>
      <c r="R260" s="51">
        <v>43640.7584722222</v>
      </c>
    </row>
    <row r="261" s="48" customFormat="1" spans="1:18">
      <c r="A261" s="55" t="e">
        <f>VLOOKUP(B261,[1]天猫!$B$3:$H$258,1,FALSE)</f>
        <v>#N/A</v>
      </c>
      <c r="B261" s="48" t="str">
        <f>"485918338456397518"</f>
        <v>485918338456397518</v>
      </c>
      <c r="C261" s="48" t="s">
        <v>1443</v>
      </c>
      <c r="D261" s="48">
        <v>1</v>
      </c>
      <c r="E261" s="48" t="s">
        <v>53</v>
      </c>
      <c r="F261" s="48" t="s">
        <v>1444</v>
      </c>
      <c r="G261" s="48" t="s">
        <v>1445</v>
      </c>
      <c r="H261" s="48" t="s">
        <v>1446</v>
      </c>
      <c r="I261" s="51">
        <v>43630.4753356481</v>
      </c>
      <c r="J261" s="51">
        <v>43630.4753935185</v>
      </c>
      <c r="K261" s="48" t="s">
        <v>1331</v>
      </c>
      <c r="M261" s="48" t="s">
        <v>635</v>
      </c>
      <c r="N261" s="48" t="s">
        <v>699</v>
      </c>
      <c r="O261" s="48">
        <v>1</v>
      </c>
      <c r="P261" s="48">
        <v>0</v>
      </c>
      <c r="Q261" s="48" t="s">
        <v>51</v>
      </c>
      <c r="R261" s="51">
        <v>43630.475787037</v>
      </c>
    </row>
    <row r="262" s="48" customFormat="1" hidden="1" spans="1:18">
      <c r="A262" s="55" t="str">
        <f>VLOOKUP(B262,[1]天猫!$B$3:$H$258,1,FALSE)</f>
        <v>305618188243636001</v>
      </c>
      <c r="B262" s="48" t="str">
        <f>"305618188243636001"</f>
        <v>305618188243636001</v>
      </c>
      <c r="C262" s="48" t="s">
        <v>1447</v>
      </c>
      <c r="D262" s="48">
        <v>1799</v>
      </c>
      <c r="E262" s="48" t="s">
        <v>53</v>
      </c>
      <c r="F262" s="48" t="s">
        <v>1448</v>
      </c>
      <c r="G262" s="48" t="s">
        <v>1449</v>
      </c>
      <c r="H262" s="48" t="s">
        <v>1450</v>
      </c>
      <c r="I262" s="51">
        <v>43630.4748032407</v>
      </c>
      <c r="J262" s="51">
        <v>43630.4843287037</v>
      </c>
      <c r="K262" s="48" t="s">
        <v>57</v>
      </c>
      <c r="L262" s="48" t="s">
        <v>1451</v>
      </c>
      <c r="M262" s="48" t="s">
        <v>49</v>
      </c>
      <c r="O262" s="48">
        <v>3</v>
      </c>
      <c r="P262" s="48">
        <v>0</v>
      </c>
      <c r="Q262" s="48" t="s">
        <v>51</v>
      </c>
      <c r="R262" s="51">
        <v>43634.5683217593</v>
      </c>
    </row>
    <row r="263" s="48" customFormat="1" spans="1:18">
      <c r="A263" s="55" t="e">
        <f>VLOOKUP(B263,[1]天猫!$B$3:$H$258,1,FALSE)</f>
        <v>#N/A</v>
      </c>
      <c r="B263" s="48" t="str">
        <f>"485919010145520246"</f>
        <v>485919010145520246</v>
      </c>
      <c r="C263" s="48" t="s">
        <v>1438</v>
      </c>
      <c r="D263" s="48">
        <v>1</v>
      </c>
      <c r="E263" s="48" t="s">
        <v>53</v>
      </c>
      <c r="F263" s="48" t="s">
        <v>1439</v>
      </c>
      <c r="G263" s="48" t="s">
        <v>1452</v>
      </c>
      <c r="H263" s="48" t="s">
        <v>1441</v>
      </c>
      <c r="I263" s="51">
        <v>43630.473912037</v>
      </c>
      <c r="J263" s="51">
        <v>43630.4773032407</v>
      </c>
      <c r="K263" s="48" t="s">
        <v>1331</v>
      </c>
      <c r="M263" s="48" t="s">
        <v>635</v>
      </c>
      <c r="O263" s="48">
        <v>1</v>
      </c>
      <c r="P263" s="48">
        <v>0</v>
      </c>
      <c r="Q263" s="48" t="s">
        <v>51</v>
      </c>
      <c r="R263" s="51">
        <v>43630.477662037</v>
      </c>
    </row>
    <row r="264" s="48" customFormat="1" spans="1:18">
      <c r="A264" s="55" t="e">
        <f>VLOOKUP(B264,[1]天猫!$B$3:$H$258,1,FALSE)</f>
        <v>#N/A</v>
      </c>
      <c r="B264" s="48" t="str">
        <f>"305754317872636001"</f>
        <v>305754317872636001</v>
      </c>
      <c r="C264" s="48" t="s">
        <v>1447</v>
      </c>
      <c r="D264" s="48">
        <v>1</v>
      </c>
      <c r="E264" s="48" t="s">
        <v>53</v>
      </c>
      <c r="F264" s="48" t="s">
        <v>1448</v>
      </c>
      <c r="G264" s="48" t="s">
        <v>1453</v>
      </c>
      <c r="H264" s="48" t="s">
        <v>1450</v>
      </c>
      <c r="I264" s="51">
        <v>43630.4673958333</v>
      </c>
      <c r="J264" s="51">
        <v>43630.4674652778</v>
      </c>
      <c r="K264" s="48" t="s">
        <v>1331</v>
      </c>
      <c r="M264" s="48" t="s">
        <v>635</v>
      </c>
      <c r="O264" s="48">
        <v>1</v>
      </c>
      <c r="P264" s="48">
        <v>0</v>
      </c>
      <c r="Q264" s="48" t="s">
        <v>51</v>
      </c>
      <c r="R264" s="51">
        <v>43630.4678009259</v>
      </c>
    </row>
    <row r="265" s="56" customFormat="1" spans="1:18">
      <c r="A265" s="55" t="e">
        <f>VLOOKUP(B265,[1]天猫!$B$3:$H$258,1,FALSE)</f>
        <v>#N/A</v>
      </c>
      <c r="B265" s="56" t="str">
        <f>"485871651956060862"</f>
        <v>485871651956060862</v>
      </c>
      <c r="C265" s="56" t="s">
        <v>1454</v>
      </c>
      <c r="D265" s="56">
        <v>3019.12</v>
      </c>
      <c r="E265" s="56" t="s">
        <v>53</v>
      </c>
      <c r="F265" s="56" t="s">
        <v>1455</v>
      </c>
      <c r="G265" s="56" t="s">
        <v>1456</v>
      </c>
      <c r="H265" s="56" t="s">
        <v>1457</v>
      </c>
      <c r="I265" s="59">
        <v>43629.9956365741</v>
      </c>
      <c r="J265" s="59">
        <v>43629.9956944444</v>
      </c>
      <c r="K265" s="56" t="s">
        <v>69</v>
      </c>
      <c r="L265" s="56" t="s">
        <v>1458</v>
      </c>
      <c r="M265" s="56" t="s">
        <v>49</v>
      </c>
      <c r="N265" s="56" t="s">
        <v>1459</v>
      </c>
      <c r="O265" s="56">
        <v>1</v>
      </c>
      <c r="P265" s="56">
        <v>0</v>
      </c>
      <c r="Q265" s="56" t="s">
        <v>51</v>
      </c>
      <c r="R265" s="59">
        <v>43634.4890162037</v>
      </c>
    </row>
    <row r="266" s="48" customFormat="1" spans="1:18">
      <c r="A266" s="55" t="e">
        <f>VLOOKUP(B266,[1]天猫!$B$3:$H$258,1,FALSE)</f>
        <v>#N/A</v>
      </c>
      <c r="B266" s="48" t="str">
        <f>"485275777046060862"</f>
        <v>485275777046060862</v>
      </c>
      <c r="C266" s="48" t="s">
        <v>1454</v>
      </c>
      <c r="D266" s="48">
        <v>1</v>
      </c>
      <c r="E266" s="48" t="s">
        <v>53</v>
      </c>
      <c r="F266" s="48" t="s">
        <v>1455</v>
      </c>
      <c r="G266" s="48" t="s">
        <v>1460</v>
      </c>
      <c r="H266" s="48" t="s">
        <v>1457</v>
      </c>
      <c r="I266" s="51">
        <v>43629.9948148148</v>
      </c>
      <c r="J266" s="51">
        <v>43629.9948611111</v>
      </c>
      <c r="K266" s="48" t="s">
        <v>1331</v>
      </c>
      <c r="M266" s="48" t="s">
        <v>635</v>
      </c>
      <c r="N266" s="48" t="s">
        <v>699</v>
      </c>
      <c r="O266" s="48">
        <v>1</v>
      </c>
      <c r="P266" s="48">
        <v>0</v>
      </c>
      <c r="Q266" s="48" t="s">
        <v>51</v>
      </c>
      <c r="R266" s="51">
        <v>43629.9952083333</v>
      </c>
    </row>
    <row r="267" s="56" customFormat="1" spans="1:18">
      <c r="A267" s="55" t="e">
        <f>VLOOKUP(B267,[1]天猫!$B$3:$H$258,1,FALSE)</f>
        <v>#N/A</v>
      </c>
      <c r="B267" s="56" t="str">
        <f>"485842691738118261"</f>
        <v>485842691738118261</v>
      </c>
      <c r="C267" s="56" t="s">
        <v>1461</v>
      </c>
      <c r="D267" s="56">
        <v>2999</v>
      </c>
      <c r="E267" s="56" t="s">
        <v>53</v>
      </c>
      <c r="F267" s="56" t="s">
        <v>1462</v>
      </c>
      <c r="G267" s="56" t="s">
        <v>1463</v>
      </c>
      <c r="H267" s="56" t="s">
        <v>1464</v>
      </c>
      <c r="I267" s="59">
        <v>43629.9651157407</v>
      </c>
      <c r="J267" s="59">
        <v>43629.9652662037</v>
      </c>
      <c r="K267" s="56" t="s">
        <v>75</v>
      </c>
      <c r="L267" s="56" t="s">
        <v>1465</v>
      </c>
      <c r="M267" s="56" t="s">
        <v>49</v>
      </c>
      <c r="N267" s="56" t="s">
        <v>1466</v>
      </c>
      <c r="O267" s="56">
        <v>3</v>
      </c>
      <c r="P267" s="56">
        <v>0</v>
      </c>
      <c r="Q267" s="56" t="s">
        <v>51</v>
      </c>
      <c r="R267" s="59">
        <v>43632.7809143519</v>
      </c>
    </row>
    <row r="268" s="48" customFormat="1" spans="1:18">
      <c r="A268" s="55" t="e">
        <f>VLOOKUP(B268,[1]天猫!$B$3:$H$258,1,FALSE)</f>
        <v>#N/A</v>
      </c>
      <c r="B268" s="48" t="str">
        <f>"484900384209118261"</f>
        <v>484900384209118261</v>
      </c>
      <c r="C268" s="48" t="s">
        <v>1461</v>
      </c>
      <c r="D268" s="48">
        <v>1</v>
      </c>
      <c r="E268" s="48" t="s">
        <v>53</v>
      </c>
      <c r="F268" s="48" t="s">
        <v>1462</v>
      </c>
      <c r="G268" s="48" t="s">
        <v>1467</v>
      </c>
      <c r="H268" s="48" t="s">
        <v>1464</v>
      </c>
      <c r="I268" s="51">
        <v>43629.9616435185</v>
      </c>
      <c r="J268" s="51">
        <v>43629.9618518519</v>
      </c>
      <c r="K268" s="48" t="s">
        <v>1331</v>
      </c>
      <c r="M268" s="48" t="s">
        <v>635</v>
      </c>
      <c r="N268" s="48" t="s">
        <v>699</v>
      </c>
      <c r="O268" s="48">
        <v>1</v>
      </c>
      <c r="P268" s="48">
        <v>0</v>
      </c>
      <c r="Q268" s="48" t="s">
        <v>51</v>
      </c>
      <c r="R268" s="51">
        <v>43629.9621875</v>
      </c>
    </row>
    <row r="269" s="56" customFormat="1" spans="1:18">
      <c r="A269" s="55" t="e">
        <f>VLOOKUP(B269,[1]天猫!$B$3:$H$258,1,FALSE)</f>
        <v>#N/A</v>
      </c>
      <c r="B269" s="56" t="str">
        <f>"485167393281211039"</f>
        <v>485167393281211039</v>
      </c>
      <c r="C269" s="56" t="s">
        <v>1468</v>
      </c>
      <c r="D269" s="56">
        <v>1799</v>
      </c>
      <c r="E269" s="56" t="s">
        <v>53</v>
      </c>
      <c r="F269" s="56" t="s">
        <v>1469</v>
      </c>
      <c r="G269" s="56" t="s">
        <v>1470</v>
      </c>
      <c r="H269" s="56" t="s">
        <v>1471</v>
      </c>
      <c r="I269" s="59">
        <v>43629.9134027778</v>
      </c>
      <c r="J269" s="59">
        <v>43629.9134375</v>
      </c>
      <c r="K269" s="56" t="s">
        <v>57</v>
      </c>
      <c r="L269" s="56" t="s">
        <v>1472</v>
      </c>
      <c r="M269" s="56" t="s">
        <v>49</v>
      </c>
      <c r="N269" s="56" t="s">
        <v>1473</v>
      </c>
      <c r="O269" s="56">
        <v>3</v>
      </c>
      <c r="P269" s="56">
        <v>0</v>
      </c>
      <c r="Q269" s="56" t="s">
        <v>51</v>
      </c>
      <c r="R269" s="59">
        <v>43632.685474537</v>
      </c>
    </row>
    <row r="270" s="56" customFormat="1" spans="1:18">
      <c r="A270" s="55" t="e">
        <f>VLOOKUP(B270,[1]天猫!$B$3:$H$258,1,FALSE)</f>
        <v>#N/A</v>
      </c>
      <c r="B270" s="56" t="str">
        <f>"485764579683211039"</f>
        <v>485764579683211039</v>
      </c>
      <c r="C270" s="56" t="s">
        <v>1468</v>
      </c>
      <c r="D270" s="56">
        <v>1799</v>
      </c>
      <c r="E270" s="56" t="s">
        <v>53</v>
      </c>
      <c r="F270" s="56" t="s">
        <v>1469</v>
      </c>
      <c r="G270" s="56" t="s">
        <v>1470</v>
      </c>
      <c r="H270" s="56" t="s">
        <v>1471</v>
      </c>
      <c r="I270" s="59">
        <v>43629.9131481481</v>
      </c>
      <c r="J270" s="59">
        <v>43629.9131828704</v>
      </c>
      <c r="K270" s="56" t="s">
        <v>57</v>
      </c>
      <c r="L270" s="56" t="s">
        <v>1474</v>
      </c>
      <c r="M270" s="56" t="s">
        <v>49</v>
      </c>
      <c r="N270" s="56" t="s">
        <v>1475</v>
      </c>
      <c r="O270" s="56">
        <v>3</v>
      </c>
      <c r="P270" s="56">
        <v>0</v>
      </c>
      <c r="Q270" s="56" t="s">
        <v>51</v>
      </c>
      <c r="R270" s="59">
        <v>43640.7550694444</v>
      </c>
    </row>
    <row r="271" s="48" customFormat="1" spans="1:18">
      <c r="A271" s="55" t="e">
        <f>VLOOKUP(B271,[1]天猫!$B$3:$H$258,1,FALSE)</f>
        <v>#N/A</v>
      </c>
      <c r="B271" s="48" t="str">
        <f>"485767267304211039"</f>
        <v>485767267304211039</v>
      </c>
      <c r="C271" s="48" t="s">
        <v>1468</v>
      </c>
      <c r="D271" s="48">
        <v>1</v>
      </c>
      <c r="E271" s="48" t="s">
        <v>53</v>
      </c>
      <c r="F271" s="48" t="s">
        <v>1469</v>
      </c>
      <c r="G271" s="48" t="s">
        <v>1476</v>
      </c>
      <c r="H271" s="48" t="s">
        <v>1471</v>
      </c>
      <c r="I271" s="51">
        <v>43629.9122916667</v>
      </c>
      <c r="J271" s="51">
        <v>43629.912349537</v>
      </c>
      <c r="K271" s="48" t="s">
        <v>1331</v>
      </c>
      <c r="M271" s="48" t="s">
        <v>635</v>
      </c>
      <c r="N271" s="48" t="s">
        <v>699</v>
      </c>
      <c r="O271" s="48">
        <v>1</v>
      </c>
      <c r="P271" s="48">
        <v>0</v>
      </c>
      <c r="Q271" s="48" t="s">
        <v>51</v>
      </c>
      <c r="R271" s="51">
        <v>43629.9127546296</v>
      </c>
    </row>
    <row r="272" s="48" customFormat="1" spans="1:18">
      <c r="A272" s="55" t="e">
        <f>VLOOKUP(B272,[1]天猫!$B$3:$H$258,1,FALSE)</f>
        <v>#N/A</v>
      </c>
      <c r="B272" s="48" t="str">
        <f>"485493314477211039"</f>
        <v>485493314477211039</v>
      </c>
      <c r="C272" s="48" t="s">
        <v>1468</v>
      </c>
      <c r="D272" s="48">
        <v>1</v>
      </c>
      <c r="E272" s="48" t="s">
        <v>53</v>
      </c>
      <c r="F272" s="48" t="s">
        <v>1469</v>
      </c>
      <c r="G272" s="48" t="s">
        <v>1476</v>
      </c>
      <c r="H272" s="48" t="s">
        <v>1471</v>
      </c>
      <c r="I272" s="51">
        <v>43629.9112962963</v>
      </c>
      <c r="J272" s="51">
        <v>43629.911400463</v>
      </c>
      <c r="K272" s="48" t="s">
        <v>1331</v>
      </c>
      <c r="M272" s="48" t="s">
        <v>635</v>
      </c>
      <c r="N272" s="48" t="s">
        <v>699</v>
      </c>
      <c r="O272" s="48">
        <v>1</v>
      </c>
      <c r="P272" s="48">
        <v>0</v>
      </c>
      <c r="Q272" s="48" t="s">
        <v>51</v>
      </c>
      <c r="R272" s="51">
        <v>43629.9117708333</v>
      </c>
    </row>
    <row r="273" s="48" customFormat="1" hidden="1" spans="1:18">
      <c r="A273" s="55" t="str">
        <f>VLOOKUP(B273,[1]天猫!$B$3:$H$258,1,FALSE)</f>
        <v>484759456982157071</v>
      </c>
      <c r="B273" s="48" t="str">
        <f>"484759456982157071"</f>
        <v>484759456982157071</v>
      </c>
      <c r="C273" s="48" t="s">
        <v>1477</v>
      </c>
      <c r="D273" s="48">
        <v>1571.12</v>
      </c>
      <c r="E273" s="48" t="s">
        <v>53</v>
      </c>
      <c r="F273" s="48" t="s">
        <v>1478</v>
      </c>
      <c r="G273" s="48" t="s">
        <v>1479</v>
      </c>
      <c r="H273" s="48" t="s">
        <v>1480</v>
      </c>
      <c r="I273" s="51">
        <v>43629.8779166667</v>
      </c>
      <c r="J273" s="51">
        <v>43629.8857638889</v>
      </c>
      <c r="K273" s="48" t="s">
        <v>1357</v>
      </c>
      <c r="L273" s="48" t="s">
        <v>1481</v>
      </c>
      <c r="M273" s="48" t="s">
        <v>49</v>
      </c>
      <c r="O273" s="48">
        <v>1</v>
      </c>
      <c r="P273" s="48">
        <v>0</v>
      </c>
      <c r="Q273" s="48" t="s">
        <v>51</v>
      </c>
      <c r="R273" s="51">
        <v>43634.7173611111</v>
      </c>
    </row>
    <row r="274" s="56" customFormat="1" spans="1:18">
      <c r="A274" s="55" t="e">
        <f>VLOOKUP(B274,[1]天猫!$B$3:$H$258,1,FALSE)</f>
        <v>#N/A</v>
      </c>
      <c r="B274" s="56" t="str">
        <f>"485464099260392415"</f>
        <v>485464099260392415</v>
      </c>
      <c r="C274" s="56" t="s">
        <v>1482</v>
      </c>
      <c r="D274" s="56">
        <v>2286.08</v>
      </c>
      <c r="E274" s="56" t="s">
        <v>53</v>
      </c>
      <c r="F274" s="56" t="s">
        <v>1483</v>
      </c>
      <c r="G274" s="56" t="s">
        <v>1484</v>
      </c>
      <c r="H274" s="56" t="s">
        <v>1485</v>
      </c>
      <c r="I274" s="59">
        <v>43629.7325347222</v>
      </c>
      <c r="J274" s="59">
        <v>43629.7326157407</v>
      </c>
      <c r="K274" s="56" t="s">
        <v>69</v>
      </c>
      <c r="L274" s="56" t="s">
        <v>1486</v>
      </c>
      <c r="M274" s="56" t="s">
        <v>49</v>
      </c>
      <c r="N274" s="56" t="s">
        <v>1487</v>
      </c>
      <c r="O274" s="56">
        <v>1</v>
      </c>
      <c r="P274" s="56">
        <v>0</v>
      </c>
      <c r="Q274" s="56" t="s">
        <v>51</v>
      </c>
      <c r="R274" s="59">
        <v>43638.9219444444</v>
      </c>
    </row>
    <row r="275" s="48" customFormat="1" spans="1:18">
      <c r="A275" s="55" t="e">
        <f>VLOOKUP(B275,[1]天猫!$B$3:$H$258,1,FALSE)</f>
        <v>#N/A</v>
      </c>
      <c r="B275" s="48" t="str">
        <f>"485454947321392415"</f>
        <v>485454947321392415</v>
      </c>
      <c r="C275" s="48" t="s">
        <v>1482</v>
      </c>
      <c r="D275" s="48">
        <v>1</v>
      </c>
      <c r="E275" s="48" t="s">
        <v>53</v>
      </c>
      <c r="F275" s="48" t="s">
        <v>1483</v>
      </c>
      <c r="G275" s="48" t="s">
        <v>1488</v>
      </c>
      <c r="H275" s="48" t="s">
        <v>1485</v>
      </c>
      <c r="I275" s="51">
        <v>43629.7269328704</v>
      </c>
      <c r="J275" s="51">
        <v>43629.7269675926</v>
      </c>
      <c r="K275" s="48" t="s">
        <v>1331</v>
      </c>
      <c r="M275" s="48" t="s">
        <v>635</v>
      </c>
      <c r="N275" s="48" t="s">
        <v>699</v>
      </c>
      <c r="O275" s="48">
        <v>1</v>
      </c>
      <c r="P275" s="48">
        <v>0</v>
      </c>
      <c r="Q275" s="48" t="s">
        <v>51</v>
      </c>
      <c r="R275" s="51">
        <v>43629.727349537</v>
      </c>
    </row>
    <row r="276" s="55" customFormat="1" spans="1:18">
      <c r="A276" s="55" t="e">
        <f>VLOOKUP(B276,[1]天猫!$B$3:$H$258,1,FALSE)</f>
        <v>#N/A</v>
      </c>
      <c r="B276" s="55" t="str">
        <f>"484779361234041241"</f>
        <v>484779361234041241</v>
      </c>
      <c r="C276" s="55" t="s">
        <v>1489</v>
      </c>
      <c r="D276" s="55">
        <v>1799</v>
      </c>
      <c r="E276" s="55" t="s">
        <v>53</v>
      </c>
      <c r="F276" s="55" t="s">
        <v>1490</v>
      </c>
      <c r="G276" s="55" t="s">
        <v>1491</v>
      </c>
      <c r="H276" s="55" t="s">
        <v>1492</v>
      </c>
      <c r="I276" s="58">
        <v>43629.6838541667</v>
      </c>
      <c r="J276" s="58">
        <v>43629.6847569444</v>
      </c>
      <c r="K276" s="55" t="s">
        <v>57</v>
      </c>
      <c r="L276" s="55" t="s">
        <v>1493</v>
      </c>
      <c r="M276" s="55" t="s">
        <v>49</v>
      </c>
      <c r="N276" s="55" t="s">
        <v>1494</v>
      </c>
      <c r="O276" s="55">
        <v>3</v>
      </c>
      <c r="P276" s="55">
        <v>0</v>
      </c>
      <c r="Q276" s="55" t="s">
        <v>51</v>
      </c>
      <c r="R276" s="58">
        <v>43639.6968518519</v>
      </c>
    </row>
    <row r="277" s="55" customFormat="1" spans="1:18">
      <c r="A277" s="55" t="e">
        <f>VLOOKUP(B277,[1]天猫!$B$3:$H$258,1,FALSE)</f>
        <v>#N/A</v>
      </c>
      <c r="B277" s="55" t="str">
        <f>"484722689904055062"</f>
        <v>484722689904055062</v>
      </c>
      <c r="C277" s="55" t="s">
        <v>1495</v>
      </c>
      <c r="D277" s="55">
        <v>652.5</v>
      </c>
      <c r="E277" s="55" t="s">
        <v>53</v>
      </c>
      <c r="F277" s="55" t="s">
        <v>1496</v>
      </c>
      <c r="G277" s="55" t="s">
        <v>1497</v>
      </c>
      <c r="H277" s="55" t="s">
        <v>1498</v>
      </c>
      <c r="I277" s="58">
        <v>43629.6575694444</v>
      </c>
      <c r="J277" s="58">
        <v>43629.6576041667</v>
      </c>
      <c r="K277" s="55" t="s">
        <v>1499</v>
      </c>
      <c r="L277" s="55" t="s">
        <v>1500</v>
      </c>
      <c r="M277" s="55" t="s">
        <v>49</v>
      </c>
      <c r="N277" s="55" t="s">
        <v>1501</v>
      </c>
      <c r="O277" s="55">
        <v>2</v>
      </c>
      <c r="P277" s="55">
        <v>725.8</v>
      </c>
      <c r="Q277" s="55" t="s">
        <v>51</v>
      </c>
      <c r="R277" s="58">
        <v>43639.6969444444</v>
      </c>
    </row>
    <row r="278" s="48" customFormat="1" spans="1:18">
      <c r="A278" s="55" t="e">
        <f>VLOOKUP(B278,[1]天猫!$B$3:$H$258,1,FALSE)</f>
        <v>#N/A</v>
      </c>
      <c r="B278" s="48" t="str">
        <f>"485036866898055062"</f>
        <v>485036866898055062</v>
      </c>
      <c r="C278" s="48" t="s">
        <v>1495</v>
      </c>
      <c r="D278" s="48">
        <v>1</v>
      </c>
      <c r="E278" s="48" t="s">
        <v>53</v>
      </c>
      <c r="F278" s="48" t="s">
        <v>1502</v>
      </c>
      <c r="G278" s="48" t="s">
        <v>1503</v>
      </c>
      <c r="H278" s="48" t="s">
        <v>1504</v>
      </c>
      <c r="I278" s="51">
        <v>43629.6511226852</v>
      </c>
      <c r="J278" s="51">
        <v>43629.6511689815</v>
      </c>
      <c r="K278" s="48" t="s">
        <v>1331</v>
      </c>
      <c r="M278" s="48" t="s">
        <v>635</v>
      </c>
      <c r="N278" s="48" t="s">
        <v>699</v>
      </c>
      <c r="O278" s="48">
        <v>1</v>
      </c>
      <c r="P278" s="48">
        <v>0</v>
      </c>
      <c r="Q278" s="48" t="s">
        <v>51</v>
      </c>
      <c r="R278" s="51">
        <v>43629.6515393518</v>
      </c>
    </row>
    <row r="279" s="48" customFormat="1" spans="1:18">
      <c r="A279" s="55" t="e">
        <f>VLOOKUP(B279,[1]天猫!$B$3:$H$258,1,FALSE)</f>
        <v>#N/A</v>
      </c>
      <c r="B279" s="48" t="str">
        <f>"485308771239670765"</f>
        <v>485308771239670765</v>
      </c>
      <c r="C279" s="48" t="s">
        <v>1419</v>
      </c>
      <c r="D279" s="48">
        <v>1</v>
      </c>
      <c r="E279" s="48" t="s">
        <v>53</v>
      </c>
      <c r="F279" s="48" t="s">
        <v>1420</v>
      </c>
      <c r="G279" s="48" t="s">
        <v>1505</v>
      </c>
      <c r="H279" s="48" t="s">
        <v>1422</v>
      </c>
      <c r="I279" s="51">
        <v>43629.64625</v>
      </c>
      <c r="J279" s="51">
        <v>43629.6466898148</v>
      </c>
      <c r="K279" s="48" t="s">
        <v>1331</v>
      </c>
      <c r="M279" s="48" t="s">
        <v>635</v>
      </c>
      <c r="N279" s="48" t="s">
        <v>699</v>
      </c>
      <c r="O279" s="48">
        <v>1</v>
      </c>
      <c r="P279" s="48">
        <v>0</v>
      </c>
      <c r="Q279" s="48" t="s">
        <v>51</v>
      </c>
      <c r="R279" s="51">
        <v>43629.6470717593</v>
      </c>
    </row>
    <row r="280" s="55" customFormat="1" spans="1:17">
      <c r="A280" s="55" t="e">
        <f>VLOOKUP(B280,[1]天猫!$B$3:$H$258,1,FALSE)</f>
        <v>#N/A</v>
      </c>
      <c r="B280" s="55" t="str">
        <f>"484333376054296813"</f>
        <v>484333376054296813</v>
      </c>
      <c r="C280" s="55" t="s">
        <v>1506</v>
      </c>
      <c r="D280" s="55">
        <v>1700</v>
      </c>
      <c r="E280" s="55" t="s">
        <v>630</v>
      </c>
      <c r="F280" s="55" t="s">
        <v>1507</v>
      </c>
      <c r="G280" s="55" t="s">
        <v>1508</v>
      </c>
      <c r="H280" s="55" t="s">
        <v>1509</v>
      </c>
      <c r="I280" s="58">
        <v>43629.6233449074</v>
      </c>
      <c r="J280" s="58">
        <v>43629.6243402778</v>
      </c>
      <c r="K280" s="55" t="s">
        <v>57</v>
      </c>
      <c r="M280" s="55" t="s">
        <v>635</v>
      </c>
      <c r="N280" s="55" t="s">
        <v>1510</v>
      </c>
      <c r="O280" s="55">
        <v>3</v>
      </c>
      <c r="P280" s="55">
        <v>0</v>
      </c>
      <c r="Q280" s="55" t="s">
        <v>51</v>
      </c>
    </row>
    <row r="281" s="48" customFormat="1" spans="1:18">
      <c r="A281" s="55" t="e">
        <f>VLOOKUP(B281,[1]天猫!$B$3:$H$258,1,FALSE)</f>
        <v>#N/A</v>
      </c>
      <c r="B281" s="48" t="str">
        <f>"485264163236296813"</f>
        <v>485264163236296813</v>
      </c>
      <c r="C281" s="48" t="s">
        <v>1506</v>
      </c>
      <c r="D281" s="48">
        <v>1</v>
      </c>
      <c r="E281" s="48" t="s">
        <v>53</v>
      </c>
      <c r="F281" s="48" t="s">
        <v>1507</v>
      </c>
      <c r="G281" s="48" t="s">
        <v>1511</v>
      </c>
      <c r="H281" s="48" t="s">
        <v>1509</v>
      </c>
      <c r="I281" s="51">
        <v>43629.6223148148</v>
      </c>
      <c r="J281" s="51">
        <v>43629.6223726852</v>
      </c>
      <c r="K281" s="48" t="s">
        <v>1331</v>
      </c>
      <c r="M281" s="48" t="s">
        <v>635</v>
      </c>
      <c r="O281" s="48">
        <v>1</v>
      </c>
      <c r="P281" s="48">
        <v>0</v>
      </c>
      <c r="Q281" s="48" t="s">
        <v>51</v>
      </c>
      <c r="R281" s="51">
        <v>43629.6227430556</v>
      </c>
    </row>
    <row r="282" s="48" customFormat="1" hidden="1" spans="1:18">
      <c r="A282" s="55" t="str">
        <f>VLOOKUP(B282,[1]天猫!$B$3:$H$258,1,FALSE)</f>
        <v>485183843719141383</v>
      </c>
      <c r="B282" s="48" t="str">
        <f>"485183843719141383"</f>
        <v>485183843719141383</v>
      </c>
      <c r="C282" s="48" t="s">
        <v>1512</v>
      </c>
      <c r="D282" s="48">
        <v>1063.68</v>
      </c>
      <c r="E282" s="48" t="s">
        <v>53</v>
      </c>
      <c r="F282" s="48" t="s">
        <v>1513</v>
      </c>
      <c r="G282" s="48" t="s">
        <v>1514</v>
      </c>
      <c r="H282" s="48" t="s">
        <v>1515</v>
      </c>
      <c r="I282" s="51">
        <v>43629.5803935185</v>
      </c>
      <c r="J282" s="51">
        <v>43629.5981018519</v>
      </c>
      <c r="K282" s="48" t="s">
        <v>1351</v>
      </c>
      <c r="L282" s="48" t="s">
        <v>1516</v>
      </c>
      <c r="M282" s="48" t="s">
        <v>49</v>
      </c>
      <c r="O282" s="48">
        <v>2</v>
      </c>
      <c r="P282" s="48">
        <v>0</v>
      </c>
      <c r="Q282" s="48" t="s">
        <v>51</v>
      </c>
      <c r="R282" s="51">
        <v>43635.6124421296</v>
      </c>
    </row>
    <row r="283" s="48" customFormat="1" hidden="1" spans="1:18">
      <c r="A283" s="55" t="str">
        <f>VLOOKUP(B283,[1]天猫!$B$3:$H$258,1,FALSE)</f>
        <v>485178627114436155</v>
      </c>
      <c r="B283" s="48" t="str">
        <f>"485178627114436155"</f>
        <v>485178627114436155</v>
      </c>
      <c r="C283" s="48" t="s">
        <v>1517</v>
      </c>
      <c r="D283" s="48">
        <v>2842.24</v>
      </c>
      <c r="E283" s="48" t="s">
        <v>53</v>
      </c>
      <c r="F283" s="48" t="s">
        <v>1518</v>
      </c>
      <c r="G283" s="48" t="s">
        <v>1519</v>
      </c>
      <c r="H283" s="48" t="s">
        <v>1520</v>
      </c>
      <c r="I283" s="51">
        <v>43629.5743402778</v>
      </c>
      <c r="J283" s="51">
        <v>43629.5813888889</v>
      </c>
      <c r="K283" s="48" t="s">
        <v>1357</v>
      </c>
      <c r="L283" s="48" t="s">
        <v>1521</v>
      </c>
      <c r="M283" s="48" t="s">
        <v>49</v>
      </c>
      <c r="O283" s="48">
        <v>2</v>
      </c>
      <c r="P283" s="48">
        <v>0</v>
      </c>
      <c r="Q283" s="48" t="s">
        <v>51</v>
      </c>
      <c r="R283" s="51">
        <v>43633.7474884259</v>
      </c>
    </row>
    <row r="284" s="48" customFormat="1" hidden="1" spans="1:18">
      <c r="A284" s="55" t="str">
        <f>VLOOKUP(B284,[1]天猫!$B$3:$H$258,1,FALSE)</f>
        <v>485166979750657622</v>
      </c>
      <c r="B284" s="48" t="str">
        <f>"485166979750657622"</f>
        <v>485166979750657622</v>
      </c>
      <c r="C284" s="48" t="s">
        <v>1522</v>
      </c>
      <c r="D284" s="48">
        <v>2788</v>
      </c>
      <c r="E284" s="48" t="s">
        <v>53</v>
      </c>
      <c r="F284" s="48" t="s">
        <v>1523</v>
      </c>
      <c r="G284" s="48" t="s">
        <v>1524</v>
      </c>
      <c r="H284" s="48" t="s">
        <v>1525</v>
      </c>
      <c r="I284" s="51">
        <v>43629.5709953704</v>
      </c>
      <c r="J284" s="51">
        <v>43629.5774189815</v>
      </c>
      <c r="K284" s="48" t="s">
        <v>75</v>
      </c>
      <c r="L284" s="48" t="s">
        <v>1526</v>
      </c>
      <c r="M284" s="48" t="s">
        <v>49</v>
      </c>
      <c r="O284" s="48">
        <v>3</v>
      </c>
      <c r="P284" s="48">
        <v>0</v>
      </c>
      <c r="Q284" s="48" t="s">
        <v>51</v>
      </c>
      <c r="R284" s="51">
        <v>43635.4453240741</v>
      </c>
    </row>
    <row r="285" s="48" customFormat="1" spans="1:18">
      <c r="A285" s="55" t="e">
        <f>VLOOKUP(B285,[1]天猫!$B$3:$H$258,1,FALSE)</f>
        <v>#N/A</v>
      </c>
      <c r="B285" s="48" t="str">
        <f>"484238240048657622"</f>
        <v>484238240048657622</v>
      </c>
      <c r="C285" s="48" t="s">
        <v>1522</v>
      </c>
      <c r="D285" s="48">
        <v>1</v>
      </c>
      <c r="E285" s="48" t="s">
        <v>53</v>
      </c>
      <c r="F285" s="48" t="s">
        <v>1523</v>
      </c>
      <c r="G285" s="48" t="s">
        <v>1524</v>
      </c>
      <c r="H285" s="48" t="s">
        <v>1525</v>
      </c>
      <c r="I285" s="51">
        <v>43629.5691550926</v>
      </c>
      <c r="J285" s="51">
        <v>43629.5692708333</v>
      </c>
      <c r="K285" s="48" t="s">
        <v>1331</v>
      </c>
      <c r="M285" s="48" t="s">
        <v>635</v>
      </c>
      <c r="O285" s="48">
        <v>1</v>
      </c>
      <c r="P285" s="48">
        <v>0</v>
      </c>
      <c r="Q285" s="48" t="s">
        <v>51</v>
      </c>
      <c r="R285" s="51">
        <v>43629.5696412037</v>
      </c>
    </row>
    <row r="286" s="48" customFormat="1" spans="1:18">
      <c r="A286" s="55" t="e">
        <f>VLOOKUP(B286,[1]天猫!$B$3:$H$258,1,FALSE)</f>
        <v>#N/A</v>
      </c>
      <c r="B286" s="48" t="str">
        <f>"484888642024436155"</f>
        <v>484888642024436155</v>
      </c>
      <c r="C286" s="48" t="s">
        <v>1517</v>
      </c>
      <c r="D286" s="48">
        <v>1</v>
      </c>
      <c r="E286" s="48" t="s">
        <v>53</v>
      </c>
      <c r="F286" s="48" t="s">
        <v>1518</v>
      </c>
      <c r="G286" s="48" t="s">
        <v>1527</v>
      </c>
      <c r="H286" s="48" t="s">
        <v>1520</v>
      </c>
      <c r="I286" s="51">
        <v>43629.5660300926</v>
      </c>
      <c r="J286" s="51">
        <v>43629.566087963</v>
      </c>
      <c r="K286" s="48" t="s">
        <v>1331</v>
      </c>
      <c r="M286" s="48" t="s">
        <v>635</v>
      </c>
      <c r="O286" s="48">
        <v>1</v>
      </c>
      <c r="P286" s="48">
        <v>0</v>
      </c>
      <c r="Q286" s="48" t="s">
        <v>51</v>
      </c>
      <c r="R286" s="51">
        <v>43629.5664583333</v>
      </c>
    </row>
    <row r="287" s="48" customFormat="1" hidden="1" spans="1:18">
      <c r="A287" s="55" t="str">
        <f>VLOOKUP(B287,[1]天猫!$B$3:$H$258,1,FALSE)</f>
        <v>484775522858574844</v>
      </c>
      <c r="B287" s="48" t="str">
        <f>"484775522858574844"</f>
        <v>484775522858574844</v>
      </c>
      <c r="C287" s="48" t="s">
        <v>1528</v>
      </c>
      <c r="D287" s="48">
        <v>1799</v>
      </c>
      <c r="E287" s="48" t="s">
        <v>53</v>
      </c>
      <c r="F287" s="48" t="s">
        <v>1529</v>
      </c>
      <c r="G287" s="48" t="s">
        <v>1530</v>
      </c>
      <c r="H287" s="48" t="s">
        <v>1531</v>
      </c>
      <c r="I287" s="51">
        <v>43629.5061689815</v>
      </c>
      <c r="J287" s="51">
        <v>43629.5124189815</v>
      </c>
      <c r="K287" s="48" t="s">
        <v>57</v>
      </c>
      <c r="L287" s="48" t="s">
        <v>1532</v>
      </c>
      <c r="M287" s="48" t="s">
        <v>49</v>
      </c>
      <c r="O287" s="48">
        <v>3</v>
      </c>
      <c r="P287" s="48">
        <v>0</v>
      </c>
      <c r="Q287" s="48" t="s">
        <v>51</v>
      </c>
      <c r="R287" s="51">
        <v>43633.6169328704</v>
      </c>
    </row>
    <row r="288" s="48" customFormat="1" spans="1:18">
      <c r="A288" s="55" t="e">
        <f>VLOOKUP(B288,[1]天猫!$B$3:$H$258,1,FALSE)</f>
        <v>#N/A</v>
      </c>
      <c r="B288" s="48" t="str">
        <f>"484444033383574844"</f>
        <v>484444033383574844</v>
      </c>
      <c r="C288" s="48" t="s">
        <v>1528</v>
      </c>
      <c r="D288" s="48">
        <v>1</v>
      </c>
      <c r="E288" s="48" t="s">
        <v>53</v>
      </c>
      <c r="F288" s="48" t="s">
        <v>1529</v>
      </c>
      <c r="G288" s="48" t="s">
        <v>1530</v>
      </c>
      <c r="H288" s="48" t="s">
        <v>1531</v>
      </c>
      <c r="I288" s="51">
        <v>43629.5005902778</v>
      </c>
      <c r="J288" s="51">
        <v>43629.5006481481</v>
      </c>
      <c r="K288" s="48" t="s">
        <v>1331</v>
      </c>
      <c r="M288" s="48" t="s">
        <v>635</v>
      </c>
      <c r="O288" s="48">
        <v>1</v>
      </c>
      <c r="P288" s="48">
        <v>0</v>
      </c>
      <c r="Q288" s="48" t="s">
        <v>51</v>
      </c>
      <c r="R288" s="51">
        <v>43629.5010763889</v>
      </c>
    </row>
    <row r="289" s="48" customFormat="1" spans="1:18">
      <c r="A289" s="55" t="e">
        <f>VLOOKUP(B289,[1]天猫!$B$3:$H$258,1,FALSE)</f>
        <v>#N/A</v>
      </c>
      <c r="B289" s="48" t="str">
        <f>"485047171577041241"</f>
        <v>485047171577041241</v>
      </c>
      <c r="C289" s="48" t="s">
        <v>1489</v>
      </c>
      <c r="D289" s="48">
        <v>1</v>
      </c>
      <c r="E289" s="48" t="s">
        <v>53</v>
      </c>
      <c r="F289" s="48" t="s">
        <v>1490</v>
      </c>
      <c r="G289" s="48" t="s">
        <v>1491</v>
      </c>
      <c r="H289" s="48" t="s">
        <v>1492</v>
      </c>
      <c r="I289" s="51">
        <v>43629.5000694444</v>
      </c>
      <c r="J289" s="51">
        <v>43629.5002199074</v>
      </c>
      <c r="K289" s="48" t="s">
        <v>1331</v>
      </c>
      <c r="M289" s="48" t="s">
        <v>635</v>
      </c>
      <c r="N289" s="48" t="s">
        <v>699</v>
      </c>
      <c r="O289" s="48">
        <v>1</v>
      </c>
      <c r="P289" s="48">
        <v>0</v>
      </c>
      <c r="Q289" s="48" t="s">
        <v>51</v>
      </c>
      <c r="R289" s="51">
        <v>43629.5006018519</v>
      </c>
    </row>
    <row r="290" s="48" customFormat="1" hidden="1" spans="1:18">
      <c r="A290" s="55" t="str">
        <f>VLOOKUP(B290,[1]天猫!$B$3:$H$258,1,FALSE)</f>
        <v>484107712382629369</v>
      </c>
      <c r="B290" s="48" t="str">
        <f>"484107712382629369"</f>
        <v>484107712382629369</v>
      </c>
      <c r="C290" s="48" t="s">
        <v>1533</v>
      </c>
      <c r="D290" s="48">
        <v>1799</v>
      </c>
      <c r="E290" s="48" t="s">
        <v>53</v>
      </c>
      <c r="F290" s="48" t="s">
        <v>1534</v>
      </c>
      <c r="G290" s="48" t="s">
        <v>1535</v>
      </c>
      <c r="H290" s="48" t="s">
        <v>1536</v>
      </c>
      <c r="I290" s="51">
        <v>43629.4972569444</v>
      </c>
      <c r="J290" s="51">
        <v>43629.5041319444</v>
      </c>
      <c r="K290" s="48" t="s">
        <v>57</v>
      </c>
      <c r="L290" s="48" t="s">
        <v>1537</v>
      </c>
      <c r="M290" s="48" t="s">
        <v>49</v>
      </c>
      <c r="O290" s="48">
        <v>3</v>
      </c>
      <c r="P290" s="48">
        <v>0</v>
      </c>
      <c r="Q290" s="48" t="s">
        <v>51</v>
      </c>
      <c r="R290" s="51">
        <v>43634.4928009259</v>
      </c>
    </row>
    <row r="291" s="48" customFormat="1" spans="1:18">
      <c r="A291" s="55" t="e">
        <f>VLOOKUP(B291,[1]天猫!$B$3:$H$258,1,FALSE)</f>
        <v>#N/A</v>
      </c>
      <c r="B291" s="48" t="str">
        <f>"484091232938629369"</f>
        <v>484091232938629369</v>
      </c>
      <c r="C291" s="48" t="s">
        <v>1533</v>
      </c>
      <c r="D291" s="48">
        <v>1</v>
      </c>
      <c r="E291" s="48" t="s">
        <v>53</v>
      </c>
      <c r="F291" s="48" t="s">
        <v>1534</v>
      </c>
      <c r="G291" s="48" t="s">
        <v>1535</v>
      </c>
      <c r="H291" s="48" t="s">
        <v>1536</v>
      </c>
      <c r="I291" s="51">
        <v>43629.4909375</v>
      </c>
      <c r="J291" s="51">
        <v>43629.4910185185</v>
      </c>
      <c r="K291" s="48" t="s">
        <v>1331</v>
      </c>
      <c r="M291" s="48" t="s">
        <v>635</v>
      </c>
      <c r="O291" s="48">
        <v>1</v>
      </c>
      <c r="P291" s="48">
        <v>0</v>
      </c>
      <c r="Q291" s="48" t="s">
        <v>51</v>
      </c>
      <c r="R291" s="51">
        <v>43629.4913194444</v>
      </c>
    </row>
    <row r="292" s="55" customFormat="1" spans="1:18">
      <c r="A292" s="55" t="e">
        <f>VLOOKUP(B292,[1]天猫!$B$3:$H$258,1,FALSE)</f>
        <v>#N/A</v>
      </c>
      <c r="B292" s="55" t="str">
        <f>"484746499881721737"</f>
        <v>484746499881721737</v>
      </c>
      <c r="C292" s="55" t="s">
        <v>1538</v>
      </c>
      <c r="D292" s="55">
        <v>1767</v>
      </c>
      <c r="E292" s="55" t="s">
        <v>53</v>
      </c>
      <c r="F292" s="55" t="s">
        <v>1539</v>
      </c>
      <c r="G292" s="55" t="s">
        <v>1540</v>
      </c>
      <c r="H292" s="55" t="s">
        <v>1541</v>
      </c>
      <c r="I292" s="58">
        <v>43629.2910763889</v>
      </c>
      <c r="J292" s="58">
        <v>43629.3782291667</v>
      </c>
      <c r="K292" s="55" t="s">
        <v>1542</v>
      </c>
      <c r="L292" s="55" t="s">
        <v>1543</v>
      </c>
      <c r="M292" s="55" t="s">
        <v>49</v>
      </c>
      <c r="N292" s="55" t="s">
        <v>1544</v>
      </c>
      <c r="O292" s="55">
        <v>2</v>
      </c>
      <c r="P292" s="55">
        <v>0</v>
      </c>
      <c r="Q292" s="55" t="s">
        <v>51</v>
      </c>
      <c r="R292" s="58">
        <v>43637.2563541667</v>
      </c>
    </row>
    <row r="293" s="48" customFormat="1" spans="1:18">
      <c r="A293" s="55" t="e">
        <f>VLOOKUP(B293,[1]天猫!$B$3:$H$258,1,FALSE)</f>
        <v>#N/A</v>
      </c>
      <c r="B293" s="48" t="str">
        <f>"484146017567721737"</f>
        <v>484146017567721737</v>
      </c>
      <c r="C293" s="48" t="s">
        <v>1538</v>
      </c>
      <c r="D293" s="48">
        <v>1</v>
      </c>
      <c r="E293" s="48" t="s">
        <v>53</v>
      </c>
      <c r="F293" s="48" t="s">
        <v>1539</v>
      </c>
      <c r="G293" s="48" t="s">
        <v>1540</v>
      </c>
      <c r="H293" s="48" t="s">
        <v>1541</v>
      </c>
      <c r="I293" s="51">
        <v>43629.2889351852</v>
      </c>
      <c r="J293" s="51">
        <v>43629.2892013889</v>
      </c>
      <c r="K293" s="48" t="s">
        <v>1331</v>
      </c>
      <c r="M293" s="48" t="s">
        <v>635</v>
      </c>
      <c r="N293" s="48" t="s">
        <v>699</v>
      </c>
      <c r="O293" s="48">
        <v>1</v>
      </c>
      <c r="P293" s="48">
        <v>0</v>
      </c>
      <c r="Q293" s="48" t="s">
        <v>51</v>
      </c>
      <c r="R293" s="51">
        <v>43629.2895717593</v>
      </c>
    </row>
    <row r="294" s="48" customFormat="1" hidden="1" spans="1:18">
      <c r="A294" s="55" t="str">
        <f>VLOOKUP(B294,[1]天猫!$B$3:$H$258,1,FALSE)</f>
        <v>484524419603260255</v>
      </c>
      <c r="B294" s="48" t="str">
        <f>"484524419603260255"</f>
        <v>484524419603260255</v>
      </c>
      <c r="C294" s="48" t="s">
        <v>1545</v>
      </c>
      <c r="D294" s="48">
        <v>1671.12</v>
      </c>
      <c r="E294" s="48" t="s">
        <v>53</v>
      </c>
      <c r="F294" s="48" t="s">
        <v>1546</v>
      </c>
      <c r="G294" s="48" t="s">
        <v>1547</v>
      </c>
      <c r="H294" s="48" t="s">
        <v>1548</v>
      </c>
      <c r="I294" s="51">
        <v>43628.9054166667</v>
      </c>
      <c r="J294" s="51">
        <v>43628.9097916667</v>
      </c>
      <c r="K294" s="48" t="s">
        <v>1357</v>
      </c>
      <c r="L294" s="48" t="s">
        <v>1549</v>
      </c>
      <c r="M294" s="48" t="s">
        <v>49</v>
      </c>
      <c r="O294" s="48">
        <v>1</v>
      </c>
      <c r="P294" s="48">
        <v>0</v>
      </c>
      <c r="Q294" s="48" t="s">
        <v>51</v>
      </c>
      <c r="R294" s="51">
        <v>43636.4321875</v>
      </c>
    </row>
    <row r="295" s="56" customFormat="1" hidden="1" spans="1:18">
      <c r="A295" s="1" t="str">
        <f>VLOOKUP(B295,[1]天猫!$B$3:$H$258,1,FALSE)</f>
        <v>484199682680666175</v>
      </c>
      <c r="B295" s="56" t="str">
        <f>"484199682680666175"</f>
        <v>484199682680666175</v>
      </c>
      <c r="C295" s="56" t="s">
        <v>1550</v>
      </c>
      <c r="D295" s="56">
        <v>1799</v>
      </c>
      <c r="E295" s="56" t="s">
        <v>53</v>
      </c>
      <c r="F295" s="56" t="s">
        <v>1551</v>
      </c>
      <c r="G295" s="56" t="s">
        <v>1552</v>
      </c>
      <c r="H295" s="56" t="s">
        <v>1553</v>
      </c>
      <c r="I295" s="59">
        <v>43628.8816319444</v>
      </c>
      <c r="J295" s="59">
        <v>43628.893275463</v>
      </c>
      <c r="K295" s="56" t="s">
        <v>57</v>
      </c>
      <c r="L295" s="56" t="s">
        <v>1554</v>
      </c>
      <c r="M295" s="56" t="s">
        <v>49</v>
      </c>
      <c r="N295" s="56" t="s">
        <v>1555</v>
      </c>
      <c r="O295" s="56">
        <v>3</v>
      </c>
      <c r="P295" s="56">
        <v>0</v>
      </c>
      <c r="Q295" s="56" t="s">
        <v>51</v>
      </c>
      <c r="R295" s="59">
        <v>43633.6334143519</v>
      </c>
    </row>
    <row r="296" s="48" customFormat="1" spans="1:18">
      <c r="A296" s="55" t="e">
        <f>VLOOKUP(B296,[1]天猫!$B$3:$H$258,1,FALSE)</f>
        <v>#N/A</v>
      </c>
      <c r="B296" s="48" t="str">
        <f>"483536864810666175"</f>
        <v>483536864810666175</v>
      </c>
      <c r="C296" s="48" t="s">
        <v>1550</v>
      </c>
      <c r="D296" s="48">
        <v>1</v>
      </c>
      <c r="E296" s="48" t="s">
        <v>53</v>
      </c>
      <c r="F296" s="48" t="s">
        <v>1551</v>
      </c>
      <c r="G296" s="48" t="s">
        <v>1552</v>
      </c>
      <c r="H296" s="48" t="s">
        <v>1553</v>
      </c>
      <c r="I296" s="51">
        <v>43628.8804050926</v>
      </c>
      <c r="J296" s="51">
        <v>43628.880462963</v>
      </c>
      <c r="K296" s="48" t="s">
        <v>1331</v>
      </c>
      <c r="M296" s="48" t="s">
        <v>635</v>
      </c>
      <c r="N296" s="48" t="s">
        <v>699</v>
      </c>
      <c r="O296" s="48">
        <v>1</v>
      </c>
      <c r="P296" s="48">
        <v>0</v>
      </c>
      <c r="Q296" s="48" t="s">
        <v>51</v>
      </c>
      <c r="R296" s="51">
        <v>43628.8808101852</v>
      </c>
    </row>
    <row r="297" s="55" customFormat="1" spans="1:18">
      <c r="A297" s="55" t="e">
        <f>VLOOKUP(B297,[1]天猫!$B$3:$H$258,1,FALSE)</f>
        <v>#N/A</v>
      </c>
      <c r="B297" s="55" t="str">
        <f>"483867617710523720"</f>
        <v>483867617710523720</v>
      </c>
      <c r="C297" s="55" t="s">
        <v>1556</v>
      </c>
      <c r="D297" s="55">
        <v>3139.12</v>
      </c>
      <c r="E297" s="55" t="s">
        <v>53</v>
      </c>
      <c r="F297" s="55" t="s">
        <v>1557</v>
      </c>
      <c r="G297" s="55" t="s">
        <v>1558</v>
      </c>
      <c r="H297" s="55" t="s">
        <v>1559</v>
      </c>
      <c r="I297" s="58">
        <v>43628.8765277778</v>
      </c>
      <c r="J297" s="58">
        <v>43628.8766087963</v>
      </c>
      <c r="K297" s="55" t="s">
        <v>69</v>
      </c>
      <c r="L297" s="55" t="s">
        <v>1560</v>
      </c>
      <c r="M297" s="55" t="s">
        <v>49</v>
      </c>
      <c r="N297" s="55" t="s">
        <v>1561</v>
      </c>
      <c r="O297" s="55">
        <v>1</v>
      </c>
      <c r="P297" s="55">
        <v>0</v>
      </c>
      <c r="Q297" s="55" t="s">
        <v>51</v>
      </c>
      <c r="R297" s="58">
        <v>43639.6969675926</v>
      </c>
    </row>
    <row r="298" s="56" customFormat="1" spans="1:18">
      <c r="A298" s="55" t="e">
        <f>VLOOKUP(B298,[1]天猫!$B$3:$H$258,1,FALSE)</f>
        <v>#N/A</v>
      </c>
      <c r="B298" s="56" t="str">
        <f>"484466243834529661"</f>
        <v>484466243834529661</v>
      </c>
      <c r="C298" s="56" t="s">
        <v>1562</v>
      </c>
      <c r="D298" s="56">
        <v>1799</v>
      </c>
      <c r="E298" s="56" t="s">
        <v>53</v>
      </c>
      <c r="F298" s="56" t="s">
        <v>1563</v>
      </c>
      <c r="G298" s="56" t="s">
        <v>1564</v>
      </c>
      <c r="H298" s="56" t="s">
        <v>1565</v>
      </c>
      <c r="I298" s="59">
        <v>43628.8760416667</v>
      </c>
      <c r="J298" s="59">
        <v>43628.8762037037</v>
      </c>
      <c r="K298" s="56" t="s">
        <v>57</v>
      </c>
      <c r="L298" s="56" t="s">
        <v>1566</v>
      </c>
      <c r="M298" s="56" t="s">
        <v>49</v>
      </c>
      <c r="N298" s="56" t="s">
        <v>1567</v>
      </c>
      <c r="O298" s="56">
        <v>3</v>
      </c>
      <c r="P298" s="56">
        <v>0</v>
      </c>
      <c r="Q298" s="56" t="s">
        <v>51</v>
      </c>
      <c r="R298" s="59">
        <v>43634.5909837963</v>
      </c>
    </row>
    <row r="299" s="48" customFormat="1" spans="1:18">
      <c r="A299" s="55" t="e">
        <f>VLOOKUP(B299,[1]天猫!$B$3:$H$258,1,FALSE)</f>
        <v>#N/A</v>
      </c>
      <c r="B299" s="48" t="str">
        <f>"483873729027666175"</f>
        <v>483873729027666175</v>
      </c>
      <c r="C299" s="48" t="s">
        <v>1550</v>
      </c>
      <c r="D299" s="48">
        <v>1</v>
      </c>
      <c r="E299" s="48" t="s">
        <v>53</v>
      </c>
      <c r="F299" s="48" t="s">
        <v>1551</v>
      </c>
      <c r="G299" s="48" t="s">
        <v>1552</v>
      </c>
      <c r="H299" s="48" t="s">
        <v>1553</v>
      </c>
      <c r="I299" s="51">
        <v>43628.8757060185</v>
      </c>
      <c r="J299" s="51">
        <v>43628.8758217593</v>
      </c>
      <c r="K299" s="48" t="s">
        <v>1331</v>
      </c>
      <c r="M299" s="48" t="s">
        <v>635</v>
      </c>
      <c r="N299" s="48" t="s">
        <v>699</v>
      </c>
      <c r="O299" s="48">
        <v>1</v>
      </c>
      <c r="P299" s="48">
        <v>0</v>
      </c>
      <c r="Q299" s="48" t="s">
        <v>51</v>
      </c>
      <c r="R299" s="51">
        <v>43628.8761805556</v>
      </c>
    </row>
    <row r="300" s="48" customFormat="1" spans="1:18">
      <c r="A300" s="55" t="e">
        <f>VLOOKUP(B300,[1]天猫!$B$3:$H$258,1,FALSE)</f>
        <v>#N/A</v>
      </c>
      <c r="B300" s="48" t="str">
        <f>"484188738046529661"</f>
        <v>484188738046529661</v>
      </c>
      <c r="C300" s="48" t="s">
        <v>1562</v>
      </c>
      <c r="D300" s="48">
        <v>1</v>
      </c>
      <c r="E300" s="48" t="s">
        <v>53</v>
      </c>
      <c r="F300" s="48" t="s">
        <v>1563</v>
      </c>
      <c r="G300" s="48" t="s">
        <v>1564</v>
      </c>
      <c r="H300" s="48" t="s">
        <v>1565</v>
      </c>
      <c r="I300" s="51">
        <v>43628.8730439815</v>
      </c>
      <c r="J300" s="51">
        <v>43628.8732986111</v>
      </c>
      <c r="K300" s="48" t="s">
        <v>1331</v>
      </c>
      <c r="M300" s="48" t="s">
        <v>635</v>
      </c>
      <c r="N300" s="48" t="s">
        <v>699</v>
      </c>
      <c r="O300" s="48">
        <v>1</v>
      </c>
      <c r="P300" s="48">
        <v>0</v>
      </c>
      <c r="Q300" s="48" t="s">
        <v>51</v>
      </c>
      <c r="R300" s="51">
        <v>43628.8736921296</v>
      </c>
    </row>
    <row r="301" s="48" customFormat="1" spans="1:18">
      <c r="A301" s="55" t="e">
        <f>VLOOKUP(B301,[1]天猫!$B$3:$H$258,1,FALSE)</f>
        <v>#N/A</v>
      </c>
      <c r="B301" s="48" t="str">
        <f>"484430627617523720"</f>
        <v>484430627617523720</v>
      </c>
      <c r="C301" s="48" t="s">
        <v>1556</v>
      </c>
      <c r="D301" s="48">
        <v>1</v>
      </c>
      <c r="E301" s="48" t="s">
        <v>53</v>
      </c>
      <c r="F301" s="48" t="s">
        <v>1557</v>
      </c>
      <c r="G301" s="48" t="s">
        <v>1568</v>
      </c>
      <c r="H301" s="48" t="s">
        <v>1559</v>
      </c>
      <c r="I301" s="51">
        <v>43628.8600231481</v>
      </c>
      <c r="J301" s="51">
        <v>43628.8601041667</v>
      </c>
      <c r="K301" s="48" t="s">
        <v>1331</v>
      </c>
      <c r="M301" s="48" t="s">
        <v>635</v>
      </c>
      <c r="N301" s="48" t="s">
        <v>699</v>
      </c>
      <c r="O301" s="48">
        <v>1</v>
      </c>
      <c r="P301" s="48">
        <v>0</v>
      </c>
      <c r="Q301" s="48" t="s">
        <v>51</v>
      </c>
      <c r="R301" s="51">
        <v>43628.8604976852</v>
      </c>
    </row>
    <row r="302" s="56" customFormat="1" spans="1:18">
      <c r="A302" s="55" t="e">
        <f>VLOOKUP(B302,[1]天猫!$B$3:$H$258,1,FALSE)</f>
        <v>#N/A</v>
      </c>
      <c r="B302" s="56" t="str">
        <f>"305697902044130806"</f>
        <v>305697902044130806</v>
      </c>
      <c r="C302" s="56" t="s">
        <v>1569</v>
      </c>
      <c r="D302" s="56">
        <v>455.84</v>
      </c>
      <c r="E302" s="56" t="s">
        <v>53</v>
      </c>
      <c r="F302" s="56" t="s">
        <v>1570</v>
      </c>
      <c r="G302" s="56" t="s">
        <v>1571</v>
      </c>
      <c r="H302" s="56" t="s">
        <v>1572</v>
      </c>
      <c r="I302" s="59">
        <v>43628.7478356482</v>
      </c>
      <c r="J302" s="59">
        <v>43629.6209375</v>
      </c>
      <c r="K302" s="56" t="s">
        <v>1573</v>
      </c>
      <c r="L302" s="56" t="s">
        <v>1574</v>
      </c>
      <c r="M302" s="56" t="s">
        <v>49</v>
      </c>
      <c r="N302" s="56" t="s">
        <v>1575</v>
      </c>
      <c r="O302" s="56">
        <v>1</v>
      </c>
      <c r="P302" s="56">
        <v>0</v>
      </c>
      <c r="Q302" s="56" t="s">
        <v>51</v>
      </c>
      <c r="R302" s="59">
        <v>43639.6969212963</v>
      </c>
    </row>
    <row r="303" s="55" customFormat="1" spans="1:18">
      <c r="A303" s="55" t="e">
        <f>VLOOKUP(B303,[1]天猫!$B$3:$H$258,1,FALSE)</f>
        <v>#N/A</v>
      </c>
      <c r="B303" s="55" t="str">
        <f>"483881890278599135"</f>
        <v>483881890278599135</v>
      </c>
      <c r="C303" s="55" t="s">
        <v>1576</v>
      </c>
      <c r="D303" s="55">
        <v>1589</v>
      </c>
      <c r="E303" s="55" t="s">
        <v>53</v>
      </c>
      <c r="F303" s="55" t="s">
        <v>1577</v>
      </c>
      <c r="G303" s="55" t="s">
        <v>1578</v>
      </c>
      <c r="H303" s="55" t="s">
        <v>1579</v>
      </c>
      <c r="I303" s="58">
        <v>43628.7063657407</v>
      </c>
      <c r="J303" s="58">
        <v>43628.7064583333</v>
      </c>
      <c r="K303" s="55" t="s">
        <v>1542</v>
      </c>
      <c r="L303" s="55" t="s">
        <v>1580</v>
      </c>
      <c r="M303" s="55" t="s">
        <v>49</v>
      </c>
      <c r="N303" s="55" t="s">
        <v>1581</v>
      </c>
      <c r="O303" s="55">
        <v>2</v>
      </c>
      <c r="P303" s="55">
        <v>0</v>
      </c>
      <c r="Q303" s="55" t="s">
        <v>51</v>
      </c>
      <c r="R303" s="58">
        <v>43632.9707407407</v>
      </c>
    </row>
    <row r="304" s="48" customFormat="1" spans="1:18">
      <c r="A304" s="55" t="e">
        <f>VLOOKUP(B304,[1]天猫!$B$3:$H$258,1,FALSE)</f>
        <v>#N/A</v>
      </c>
      <c r="B304" s="48" t="str">
        <f>"484135875556599135"</f>
        <v>484135875556599135</v>
      </c>
      <c r="C304" s="48" t="s">
        <v>1576</v>
      </c>
      <c r="D304" s="48">
        <v>1</v>
      </c>
      <c r="E304" s="48" t="s">
        <v>53</v>
      </c>
      <c r="F304" s="48" t="s">
        <v>1582</v>
      </c>
      <c r="G304" s="48" t="s">
        <v>1583</v>
      </c>
      <c r="H304" s="48" t="s">
        <v>1579</v>
      </c>
      <c r="I304" s="51">
        <v>43628.6959953704</v>
      </c>
      <c r="J304" s="51">
        <v>43628.6960416667</v>
      </c>
      <c r="K304" s="48" t="s">
        <v>1331</v>
      </c>
      <c r="M304" s="48" t="s">
        <v>635</v>
      </c>
      <c r="N304" s="48" t="s">
        <v>699</v>
      </c>
      <c r="O304" s="48">
        <v>1</v>
      </c>
      <c r="P304" s="48">
        <v>0</v>
      </c>
      <c r="Q304" s="48" t="s">
        <v>51</v>
      </c>
      <c r="R304" s="51">
        <v>43628.6963657407</v>
      </c>
    </row>
    <row r="305" s="55" customFormat="1" spans="1:18">
      <c r="A305" s="55" t="e">
        <f>VLOOKUP(B305,[1]天猫!$B$3:$H$258,1,FALSE)</f>
        <v>#N/A</v>
      </c>
      <c r="B305" s="55" t="str">
        <f>"483830754970304630"</f>
        <v>483830754970304630</v>
      </c>
      <c r="C305" s="55" t="s">
        <v>1584</v>
      </c>
      <c r="D305" s="55">
        <v>1069.1</v>
      </c>
      <c r="E305" s="55" t="s">
        <v>53</v>
      </c>
      <c r="F305" s="55" t="s">
        <v>1585</v>
      </c>
      <c r="G305" s="55" t="s">
        <v>1586</v>
      </c>
      <c r="H305" s="55" t="s">
        <v>1587</v>
      </c>
      <c r="I305" s="58">
        <v>43628.684224537</v>
      </c>
      <c r="J305" s="58">
        <v>43628.6842939815</v>
      </c>
      <c r="K305" s="55" t="s">
        <v>893</v>
      </c>
      <c r="L305" s="55" t="s">
        <v>1588</v>
      </c>
      <c r="M305" s="55" t="s">
        <v>49</v>
      </c>
      <c r="N305" s="55" t="s">
        <v>1099</v>
      </c>
      <c r="O305" s="55">
        <v>1</v>
      </c>
      <c r="P305" s="55">
        <v>0</v>
      </c>
      <c r="Q305" s="55" t="s">
        <v>51</v>
      </c>
      <c r="R305" s="58">
        <v>43634.9320023148</v>
      </c>
    </row>
    <row r="306" s="55" customFormat="1" spans="1:18">
      <c r="A306" s="55" t="e">
        <f>VLOOKUP(B306,[1]天猫!$B$3:$H$258,1,FALSE)</f>
        <v>#N/A</v>
      </c>
      <c r="B306" s="55" t="str">
        <f>"483519297462304630"</f>
        <v>483519297462304630</v>
      </c>
      <c r="C306" s="55" t="s">
        <v>1584</v>
      </c>
      <c r="D306" s="55">
        <v>1069.1</v>
      </c>
      <c r="E306" s="55" t="s">
        <v>53</v>
      </c>
      <c r="F306" s="55" t="s">
        <v>1585</v>
      </c>
      <c r="G306" s="55" t="s">
        <v>1586</v>
      </c>
      <c r="H306" s="55" t="s">
        <v>1587</v>
      </c>
      <c r="I306" s="58">
        <v>43628.6826736111</v>
      </c>
      <c r="J306" s="58">
        <v>43628.6828703704</v>
      </c>
      <c r="K306" s="55" t="s">
        <v>893</v>
      </c>
      <c r="L306" s="55" t="s">
        <v>1588</v>
      </c>
      <c r="M306" s="55" t="s">
        <v>49</v>
      </c>
      <c r="N306" s="55" t="s">
        <v>1589</v>
      </c>
      <c r="O306" s="55">
        <v>1</v>
      </c>
      <c r="P306" s="55">
        <v>0</v>
      </c>
      <c r="Q306" s="55" t="s">
        <v>51</v>
      </c>
      <c r="R306" s="58">
        <v>43634.9325231481</v>
      </c>
    </row>
    <row r="307" s="48" customFormat="1" hidden="1" spans="1:18">
      <c r="A307" s="55" t="str">
        <f>VLOOKUP(B307,[1]天猫!$B$3:$H$258,1,FALSE)</f>
        <v>484026563342956219</v>
      </c>
      <c r="B307" s="48" t="str">
        <f>"484026563342956219"</f>
        <v>484026563342956219</v>
      </c>
      <c r="C307" s="48" t="s">
        <v>1590</v>
      </c>
      <c r="D307" s="48">
        <v>1799</v>
      </c>
      <c r="E307" s="48" t="s">
        <v>53</v>
      </c>
      <c r="F307" s="48" t="s">
        <v>1591</v>
      </c>
      <c r="G307" s="48" t="s">
        <v>1592</v>
      </c>
      <c r="H307" s="48" t="s">
        <v>1593</v>
      </c>
      <c r="I307" s="51">
        <v>43628.6429050926</v>
      </c>
      <c r="J307" s="51">
        <v>43628.6522916667</v>
      </c>
      <c r="K307" s="48" t="s">
        <v>57</v>
      </c>
      <c r="L307" s="48" t="s">
        <v>1594</v>
      </c>
      <c r="M307" s="48" t="s">
        <v>49</v>
      </c>
      <c r="O307" s="48">
        <v>3</v>
      </c>
      <c r="P307" s="48">
        <v>0</v>
      </c>
      <c r="Q307" s="48" t="s">
        <v>51</v>
      </c>
      <c r="R307" s="51">
        <v>43638.6770486111</v>
      </c>
    </row>
    <row r="308" s="48" customFormat="1" spans="1:18">
      <c r="A308" s="55" t="e">
        <f>VLOOKUP(B308,[1]天猫!$B$3:$H$258,1,FALSE)</f>
        <v>#N/A</v>
      </c>
      <c r="B308" s="48" t="str">
        <f>"484017123570956219"</f>
        <v>484017123570956219</v>
      </c>
      <c r="C308" s="48" t="s">
        <v>1590</v>
      </c>
      <c r="D308" s="48">
        <v>1</v>
      </c>
      <c r="E308" s="48" t="s">
        <v>53</v>
      </c>
      <c r="F308" s="48" t="s">
        <v>1591</v>
      </c>
      <c r="G308" s="48" t="s">
        <v>1592</v>
      </c>
      <c r="H308" s="48" t="s">
        <v>1593</v>
      </c>
      <c r="I308" s="51">
        <v>43628.639212963</v>
      </c>
      <c r="J308" s="51">
        <v>43628.6392708333</v>
      </c>
      <c r="K308" s="48" t="s">
        <v>1331</v>
      </c>
      <c r="M308" s="48" t="s">
        <v>635</v>
      </c>
      <c r="O308" s="48">
        <v>1</v>
      </c>
      <c r="P308" s="48">
        <v>0</v>
      </c>
      <c r="Q308" s="48" t="s">
        <v>51</v>
      </c>
      <c r="R308" s="51">
        <v>43628.6396643519</v>
      </c>
    </row>
    <row r="309" s="48" customFormat="1" hidden="1" spans="1:18">
      <c r="A309" s="55" t="str">
        <f>VLOOKUP(B309,[1]天猫!$B$3:$H$258,1,FALSE)</f>
        <v>483980963974228450</v>
      </c>
      <c r="B309" s="48" t="str">
        <f>"483980963974228450"</f>
        <v>483980963974228450</v>
      </c>
      <c r="C309" s="48" t="s">
        <v>1595</v>
      </c>
      <c r="D309" s="48">
        <v>1332</v>
      </c>
      <c r="E309" s="48" t="s">
        <v>53</v>
      </c>
      <c r="F309" s="48" t="s">
        <v>1596</v>
      </c>
      <c r="G309" s="48" t="s">
        <v>1597</v>
      </c>
      <c r="H309" s="48" t="s">
        <v>1598</v>
      </c>
      <c r="I309" s="51">
        <v>43628.6226851852</v>
      </c>
      <c r="J309" s="51">
        <v>43628.6245486111</v>
      </c>
      <c r="K309" s="48" t="s">
        <v>1351</v>
      </c>
      <c r="L309" s="48" t="s">
        <v>1599</v>
      </c>
      <c r="M309" s="48" t="s">
        <v>49</v>
      </c>
      <c r="O309" s="48">
        <v>2</v>
      </c>
      <c r="P309" s="48">
        <v>0</v>
      </c>
      <c r="Q309" s="48" t="s">
        <v>51</v>
      </c>
      <c r="R309" s="51">
        <v>43635.3974884259</v>
      </c>
    </row>
    <row r="310" s="48" customFormat="1" hidden="1" spans="1:18">
      <c r="A310" s="55" t="str">
        <f>VLOOKUP(B310,[1]天猫!$B$3:$H$258,1,FALSE)</f>
        <v>483913571409751034</v>
      </c>
      <c r="B310" s="48" t="str">
        <f>"483913571409751034"</f>
        <v>483913571409751034</v>
      </c>
      <c r="C310" s="48" t="s">
        <v>1600</v>
      </c>
      <c r="D310" s="48">
        <v>1671.12</v>
      </c>
      <c r="E310" s="48" t="s">
        <v>53</v>
      </c>
      <c r="F310" s="48" t="s">
        <v>1601</v>
      </c>
      <c r="G310" s="48" t="s">
        <v>1602</v>
      </c>
      <c r="H310" s="48" t="s">
        <v>1603</v>
      </c>
      <c r="I310" s="51">
        <v>43628.5859375</v>
      </c>
      <c r="J310" s="51">
        <v>43628.5913078704</v>
      </c>
      <c r="K310" s="48" t="s">
        <v>1357</v>
      </c>
      <c r="L310" s="48" t="s">
        <v>1604</v>
      </c>
      <c r="M310" s="48" t="s">
        <v>49</v>
      </c>
      <c r="O310" s="48">
        <v>1</v>
      </c>
      <c r="P310" s="48">
        <v>0</v>
      </c>
      <c r="Q310" s="48" t="s">
        <v>51</v>
      </c>
      <c r="R310" s="51">
        <v>43634.3223263889</v>
      </c>
    </row>
    <row r="311" s="48" customFormat="1" hidden="1" spans="1:18">
      <c r="A311" s="55" t="str">
        <f>VLOOKUP(B311,[1]天猫!$B$3:$H$258,1,FALSE)</f>
        <v>483855843067401969</v>
      </c>
      <c r="B311" s="48" t="str">
        <f>"483855843067401969"</f>
        <v>483855843067401969</v>
      </c>
      <c r="C311" s="48" t="s">
        <v>1605</v>
      </c>
      <c r="D311" s="48">
        <v>2788</v>
      </c>
      <c r="E311" s="48" t="s">
        <v>53</v>
      </c>
      <c r="F311" s="48" t="s">
        <v>1606</v>
      </c>
      <c r="G311" s="48" t="s">
        <v>1607</v>
      </c>
      <c r="H311" s="48" t="s">
        <v>1608</v>
      </c>
      <c r="I311" s="51">
        <v>43628.554375</v>
      </c>
      <c r="J311" s="51">
        <v>43628.5591898148</v>
      </c>
      <c r="K311" s="48" t="s">
        <v>75</v>
      </c>
      <c r="L311" s="48" t="s">
        <v>1609</v>
      </c>
      <c r="M311" s="48" t="s">
        <v>49</v>
      </c>
      <c r="O311" s="48">
        <v>3</v>
      </c>
      <c r="P311" s="48">
        <v>0</v>
      </c>
      <c r="Q311" s="48" t="s">
        <v>51</v>
      </c>
      <c r="R311" s="51">
        <v>43632.3709606481</v>
      </c>
    </row>
    <row r="312" s="48" customFormat="1" spans="1:18">
      <c r="A312" s="55" t="e">
        <f>VLOOKUP(B312,[1]天猫!$B$3:$H$258,1,FALSE)</f>
        <v>#N/A</v>
      </c>
      <c r="B312" s="48" t="str">
        <f>"483843043976401969"</f>
        <v>483843043976401969</v>
      </c>
      <c r="C312" s="48" t="s">
        <v>1605</v>
      </c>
      <c r="D312" s="48">
        <v>1</v>
      </c>
      <c r="E312" s="48" t="s">
        <v>53</v>
      </c>
      <c r="F312" s="48" t="s">
        <v>1606</v>
      </c>
      <c r="G312" s="48" t="s">
        <v>1607</v>
      </c>
      <c r="H312" s="48" t="s">
        <v>1608</v>
      </c>
      <c r="I312" s="51">
        <v>43628.5522453704</v>
      </c>
      <c r="J312" s="51">
        <v>43628.5524189815</v>
      </c>
      <c r="K312" s="48" t="s">
        <v>1331</v>
      </c>
      <c r="M312" s="48" t="s">
        <v>635</v>
      </c>
      <c r="N312" s="48" t="s">
        <v>699</v>
      </c>
      <c r="O312" s="48">
        <v>1</v>
      </c>
      <c r="P312" s="48">
        <v>0</v>
      </c>
      <c r="Q312" s="48" t="s">
        <v>51</v>
      </c>
      <c r="R312" s="51">
        <v>43628.5527893519</v>
      </c>
    </row>
    <row r="313" s="55" customFormat="1" spans="1:18">
      <c r="A313" s="55" t="e">
        <f>VLOOKUP(B313,[1]天猫!$B$3:$H$258,1,FALSE)</f>
        <v>#N/A</v>
      </c>
      <c r="B313" s="55" t="str">
        <f>"483006209568146358"</f>
        <v>483006209568146358</v>
      </c>
      <c r="C313" s="55" t="s">
        <v>1610</v>
      </c>
      <c r="D313" s="55">
        <v>2188</v>
      </c>
      <c r="E313" s="55" t="s">
        <v>53</v>
      </c>
      <c r="F313" s="55" t="s">
        <v>1611</v>
      </c>
      <c r="G313" s="55" t="s">
        <v>1612</v>
      </c>
      <c r="H313" s="55" t="s">
        <v>1613</v>
      </c>
      <c r="I313" s="58">
        <v>43628.4236574074</v>
      </c>
      <c r="J313" s="58">
        <v>43628.4237268519</v>
      </c>
      <c r="K313" s="55" t="s">
        <v>57</v>
      </c>
      <c r="L313" s="55" t="s">
        <v>1614</v>
      </c>
      <c r="M313" s="55" t="s">
        <v>49</v>
      </c>
      <c r="N313" s="55" t="s">
        <v>1615</v>
      </c>
      <c r="O313" s="55">
        <v>3</v>
      </c>
      <c r="P313" s="55">
        <v>0</v>
      </c>
      <c r="Q313" s="55" t="s">
        <v>51</v>
      </c>
      <c r="R313" s="58">
        <v>43638.6769907407</v>
      </c>
    </row>
    <row r="314" s="56" customFormat="1" spans="1:18">
      <c r="A314" s="55" t="e">
        <f>VLOOKUP(B314,[1]天猫!$B$3:$H$258,1,FALSE)</f>
        <v>#N/A</v>
      </c>
      <c r="B314" s="56" t="str">
        <f>"482413504451412845"</f>
        <v>482413504451412845</v>
      </c>
      <c r="C314" s="56" t="s">
        <v>1616</v>
      </c>
      <c r="D314" s="56">
        <v>1799</v>
      </c>
      <c r="E314" s="56" t="s">
        <v>53</v>
      </c>
      <c r="F314" s="56" t="s">
        <v>1617</v>
      </c>
      <c r="G314" s="56" t="s">
        <v>1618</v>
      </c>
      <c r="H314" s="56" t="s">
        <v>1619</v>
      </c>
      <c r="I314" s="59">
        <v>43628.0112037037</v>
      </c>
      <c r="J314" s="59">
        <v>43628.01125</v>
      </c>
      <c r="K314" s="56" t="s">
        <v>57</v>
      </c>
      <c r="L314" s="56" t="s">
        <v>1620</v>
      </c>
      <c r="M314" s="56" t="s">
        <v>49</v>
      </c>
      <c r="N314" s="56" t="s">
        <v>1621</v>
      </c>
      <c r="O314" s="56">
        <v>3</v>
      </c>
      <c r="P314" s="56">
        <v>0</v>
      </c>
      <c r="Q314" s="56" t="s">
        <v>51</v>
      </c>
      <c r="R314" s="59">
        <v>43638.6770486111</v>
      </c>
    </row>
    <row r="315" s="48" customFormat="1" spans="1:18">
      <c r="A315" s="55" t="e">
        <f>VLOOKUP(B315,[1]天猫!$B$3:$H$258,1,FALSE)</f>
        <v>#N/A</v>
      </c>
      <c r="B315" s="48" t="str">
        <f>"482410976353412845"</f>
        <v>482410976353412845</v>
      </c>
      <c r="C315" s="48" t="s">
        <v>1616</v>
      </c>
      <c r="D315" s="48">
        <v>1</v>
      </c>
      <c r="E315" s="48" t="s">
        <v>53</v>
      </c>
      <c r="F315" s="48" t="s">
        <v>1617</v>
      </c>
      <c r="G315" s="48" t="s">
        <v>1618</v>
      </c>
      <c r="H315" s="48" t="s">
        <v>1619</v>
      </c>
      <c r="I315" s="51">
        <v>43628.0091550926</v>
      </c>
      <c r="J315" s="51">
        <v>43628.009212963</v>
      </c>
      <c r="K315" s="48" t="s">
        <v>1331</v>
      </c>
      <c r="M315" s="48" t="s">
        <v>635</v>
      </c>
      <c r="N315" s="48" t="s">
        <v>699</v>
      </c>
      <c r="O315" s="48">
        <v>1</v>
      </c>
      <c r="P315" s="48">
        <v>0</v>
      </c>
      <c r="Q315" s="48" t="s">
        <v>51</v>
      </c>
      <c r="R315" s="51">
        <v>43628.0096180556</v>
      </c>
    </row>
    <row r="316" s="48" customFormat="1" spans="1:18">
      <c r="A316" s="55" t="e">
        <f>VLOOKUP(B316,[1]天猫!$B$3:$H$258,1,FALSE)</f>
        <v>#N/A</v>
      </c>
      <c r="B316" s="48" t="str">
        <f>"483061634360693622"</f>
        <v>483061634360693622</v>
      </c>
      <c r="C316" s="48" t="s">
        <v>1622</v>
      </c>
      <c r="D316" s="48">
        <v>1</v>
      </c>
      <c r="E316" s="48" t="s">
        <v>53</v>
      </c>
      <c r="F316" s="48" t="s">
        <v>1623</v>
      </c>
      <c r="G316" s="48" t="s">
        <v>1624</v>
      </c>
      <c r="H316" s="48" t="s">
        <v>1625</v>
      </c>
      <c r="I316" s="51">
        <v>43627.9969907407</v>
      </c>
      <c r="J316" s="51">
        <v>43627.9970486111</v>
      </c>
      <c r="K316" s="48" t="s">
        <v>1331</v>
      </c>
      <c r="M316" s="48" t="s">
        <v>635</v>
      </c>
      <c r="N316" s="48" t="s">
        <v>699</v>
      </c>
      <c r="O316" s="48">
        <v>1</v>
      </c>
      <c r="P316" s="48">
        <v>0</v>
      </c>
      <c r="Q316" s="48" t="s">
        <v>51</v>
      </c>
      <c r="R316" s="51">
        <v>43627.9974421296</v>
      </c>
    </row>
    <row r="317" s="56" customFormat="1" spans="1:18">
      <c r="A317" s="55" t="e">
        <f>VLOOKUP(B317,[1]天猫!$B$3:$H$258,1,FALSE)</f>
        <v>#N/A</v>
      </c>
      <c r="B317" s="56" t="str">
        <f>"482385344932874316"</f>
        <v>482385344932874316</v>
      </c>
      <c r="C317" s="56" t="s">
        <v>1626</v>
      </c>
      <c r="D317" s="56">
        <v>624.1</v>
      </c>
      <c r="E317" s="56" t="s">
        <v>53</v>
      </c>
      <c r="F317" s="56" t="s">
        <v>1627</v>
      </c>
      <c r="G317" s="56" t="s">
        <v>1628</v>
      </c>
      <c r="H317" s="56" t="s">
        <v>1629</v>
      </c>
      <c r="I317" s="59">
        <v>43627.9952893518</v>
      </c>
      <c r="J317" s="59">
        <v>43627.9954282407</v>
      </c>
      <c r="K317" s="56" t="s">
        <v>790</v>
      </c>
      <c r="L317" s="56" t="s">
        <v>1630</v>
      </c>
      <c r="M317" s="56" t="s">
        <v>49</v>
      </c>
      <c r="N317" s="56" t="s">
        <v>1631</v>
      </c>
      <c r="O317" s="56">
        <v>1</v>
      </c>
      <c r="P317" s="56">
        <v>0</v>
      </c>
      <c r="Q317" s="56" t="s">
        <v>51</v>
      </c>
      <c r="R317" s="59">
        <v>43638.6770717593</v>
      </c>
    </row>
    <row r="318" s="56" customFormat="1" spans="1:18">
      <c r="A318" s="55" t="e">
        <f>VLOOKUP(B318,[1]天猫!$B$3:$H$258,1,FALSE)</f>
        <v>#N/A</v>
      </c>
      <c r="B318" s="56" t="str">
        <f>"283694823248688896"</f>
        <v>283694823248688896</v>
      </c>
      <c r="C318" s="56" t="s">
        <v>1632</v>
      </c>
      <c r="D318" s="56">
        <v>1799</v>
      </c>
      <c r="E318" s="56" t="s">
        <v>53</v>
      </c>
      <c r="F318" s="56" t="s">
        <v>1633</v>
      </c>
      <c r="G318" s="56" t="s">
        <v>1634</v>
      </c>
      <c r="H318" s="56" t="s">
        <v>1635</v>
      </c>
      <c r="I318" s="59">
        <v>43627.9912152778</v>
      </c>
      <c r="J318" s="59">
        <v>43627.9914583333</v>
      </c>
      <c r="K318" s="56" t="s">
        <v>57</v>
      </c>
      <c r="L318" s="56" t="s">
        <v>1636</v>
      </c>
      <c r="M318" s="56" t="s">
        <v>49</v>
      </c>
      <c r="N318" s="56" t="s">
        <v>1637</v>
      </c>
      <c r="O318" s="56">
        <v>3</v>
      </c>
      <c r="P318" s="56">
        <v>0</v>
      </c>
      <c r="Q318" s="56" t="s">
        <v>51</v>
      </c>
      <c r="R318" s="59">
        <v>43631.949837963</v>
      </c>
    </row>
    <row r="319" s="56" customFormat="1" spans="1:18">
      <c r="A319" s="55" t="e">
        <f>VLOOKUP(B319,[1]天猫!$B$3:$H$258,1,FALSE)</f>
        <v>#N/A</v>
      </c>
      <c r="B319" s="56" t="str">
        <f>"483043554951693622"</f>
        <v>483043554951693622</v>
      </c>
      <c r="C319" s="56" t="s">
        <v>1622</v>
      </c>
      <c r="D319" s="56">
        <v>2788</v>
      </c>
      <c r="E319" s="56" t="s">
        <v>53</v>
      </c>
      <c r="F319" s="56" t="s">
        <v>1623</v>
      </c>
      <c r="G319" s="56" t="s">
        <v>1638</v>
      </c>
      <c r="H319" s="56" t="s">
        <v>1625</v>
      </c>
      <c r="I319" s="59">
        <v>43627.9881365741</v>
      </c>
      <c r="J319" s="59">
        <v>43627.9883217593</v>
      </c>
      <c r="K319" s="56" t="s">
        <v>75</v>
      </c>
      <c r="L319" s="56" t="s">
        <v>1639</v>
      </c>
      <c r="M319" s="56" t="s">
        <v>49</v>
      </c>
      <c r="N319" s="56" t="s">
        <v>1640</v>
      </c>
      <c r="O319" s="56">
        <v>3</v>
      </c>
      <c r="P319" s="56">
        <v>0</v>
      </c>
      <c r="Q319" s="56" t="s">
        <v>51</v>
      </c>
      <c r="R319" s="59">
        <v>43638.3666203704</v>
      </c>
    </row>
    <row r="320" s="48" customFormat="1" spans="1:18">
      <c r="A320" s="55" t="e">
        <f>VLOOKUP(B320,[1]天猫!$B$3:$H$258,1,FALSE)</f>
        <v>#N/A</v>
      </c>
      <c r="B320" s="48" t="str">
        <f>"483254563645693622"</f>
        <v>483254563645693622</v>
      </c>
      <c r="C320" s="48" t="s">
        <v>1622</v>
      </c>
      <c r="D320" s="48">
        <v>1</v>
      </c>
      <c r="E320" s="48" t="s">
        <v>53</v>
      </c>
      <c r="F320" s="48" t="s">
        <v>1623</v>
      </c>
      <c r="G320" s="48" t="s">
        <v>1624</v>
      </c>
      <c r="H320" s="48" t="s">
        <v>1625</v>
      </c>
      <c r="I320" s="51">
        <v>43627.9512962963</v>
      </c>
      <c r="J320" s="51">
        <v>43627.9515740741</v>
      </c>
      <c r="K320" s="48" t="s">
        <v>1331</v>
      </c>
      <c r="M320" s="48" t="s">
        <v>635</v>
      </c>
      <c r="N320" s="48" t="s">
        <v>699</v>
      </c>
      <c r="O320" s="48">
        <v>1</v>
      </c>
      <c r="P320" s="48">
        <v>0</v>
      </c>
      <c r="Q320" s="48" t="s">
        <v>51</v>
      </c>
      <c r="R320" s="51">
        <v>43627.9520023148</v>
      </c>
    </row>
    <row r="321" s="56" customFormat="1" spans="1:18">
      <c r="A321" s="55" t="e">
        <f>VLOOKUP(B321,[1]天猫!$B$3:$H$258,1,FALSE)</f>
        <v>#N/A</v>
      </c>
      <c r="B321" s="56" t="str">
        <f>"482900450859413069"</f>
        <v>482900450859413069</v>
      </c>
      <c r="C321" s="56" t="s">
        <v>1641</v>
      </c>
      <c r="D321" s="56">
        <v>1888</v>
      </c>
      <c r="E321" s="56" t="s">
        <v>53</v>
      </c>
      <c r="F321" s="56" t="s">
        <v>1642</v>
      </c>
      <c r="G321" s="56" t="s">
        <v>1643</v>
      </c>
      <c r="H321" s="56" t="s">
        <v>1644</v>
      </c>
      <c r="I321" s="59">
        <v>43627.9094097222</v>
      </c>
      <c r="J321" s="59">
        <v>43627.9094791667</v>
      </c>
      <c r="K321" s="56" t="s">
        <v>57</v>
      </c>
      <c r="L321" s="56" t="s">
        <v>1645</v>
      </c>
      <c r="M321" s="56" t="s">
        <v>49</v>
      </c>
      <c r="N321" s="56" t="s">
        <v>1646</v>
      </c>
      <c r="O321" s="56">
        <v>3</v>
      </c>
      <c r="P321" s="56">
        <v>0</v>
      </c>
      <c r="Q321" s="56" t="s">
        <v>51</v>
      </c>
      <c r="R321" s="59">
        <v>43633.8277893519</v>
      </c>
    </row>
    <row r="322" s="56" customFormat="1" spans="1:18">
      <c r="A322" s="55" t="e">
        <f>VLOOKUP(B322,[1]天猫!$B$3:$H$258,1,FALSE)</f>
        <v>#N/A</v>
      </c>
      <c r="B322" s="56" t="str">
        <f>"482438145460513282"</f>
        <v>482438145460513282</v>
      </c>
      <c r="C322" s="56" t="s">
        <v>1647</v>
      </c>
      <c r="D322" s="56">
        <v>1589</v>
      </c>
      <c r="E322" s="56" t="s">
        <v>53</v>
      </c>
      <c r="F322" s="56" t="s">
        <v>1648</v>
      </c>
      <c r="G322" s="56" t="s">
        <v>1649</v>
      </c>
      <c r="H322" s="56" t="s">
        <v>1650</v>
      </c>
      <c r="I322" s="59">
        <v>43627.8434259259</v>
      </c>
      <c r="J322" s="59">
        <v>43627.8435185185</v>
      </c>
      <c r="K322" s="56" t="s">
        <v>1542</v>
      </c>
      <c r="L322" s="56" t="s">
        <v>1651</v>
      </c>
      <c r="M322" s="56" t="s">
        <v>49</v>
      </c>
      <c r="N322" s="56" t="s">
        <v>1652</v>
      </c>
      <c r="O322" s="56">
        <v>2</v>
      </c>
      <c r="P322" s="56">
        <v>0</v>
      </c>
      <c r="Q322" s="56" t="s">
        <v>51</v>
      </c>
      <c r="R322" s="59">
        <v>43635.4055208333</v>
      </c>
    </row>
    <row r="323" s="48" customFormat="1" hidden="1" spans="1:18">
      <c r="A323" s="55" t="str">
        <f>VLOOKUP(B323,[1]天猫!$B$3:$H$258,1,FALSE)</f>
        <v>481842016825921264</v>
      </c>
      <c r="B323" s="48" t="str">
        <f>"481842016825921264"</f>
        <v>481842016825921264</v>
      </c>
      <c r="C323" s="48" t="s">
        <v>1653</v>
      </c>
      <c r="D323" s="48">
        <v>1899</v>
      </c>
      <c r="E323" s="48" t="s">
        <v>53</v>
      </c>
      <c r="F323" s="48" t="s">
        <v>1654</v>
      </c>
      <c r="G323" s="48" t="s">
        <v>1655</v>
      </c>
      <c r="H323" s="48" t="s">
        <v>1656</v>
      </c>
      <c r="I323" s="51">
        <v>43627.7077546296</v>
      </c>
      <c r="J323" s="51">
        <v>43627.7286226852</v>
      </c>
      <c r="K323" s="48" t="s">
        <v>1357</v>
      </c>
      <c r="L323" s="48" t="s">
        <v>1657</v>
      </c>
      <c r="M323" s="48" t="s">
        <v>49</v>
      </c>
      <c r="O323" s="48">
        <v>1</v>
      </c>
      <c r="P323" s="48">
        <v>0</v>
      </c>
      <c r="Q323" s="48" t="s">
        <v>51</v>
      </c>
      <c r="R323" s="51">
        <v>43631.6259375</v>
      </c>
    </row>
    <row r="324" s="56" customFormat="1" spans="1:18">
      <c r="A324" s="55" t="e">
        <f>VLOOKUP(B324,[1]天猫!$B$3:$H$258,1,FALSE)</f>
        <v>#N/A</v>
      </c>
      <c r="B324" s="56" t="str">
        <f>"481818624340416658"</f>
        <v>481818624340416658</v>
      </c>
      <c r="C324" s="56" t="s">
        <v>1658</v>
      </c>
      <c r="D324" s="56">
        <v>1589</v>
      </c>
      <c r="E324" s="56" t="s">
        <v>53</v>
      </c>
      <c r="F324" s="56" t="s">
        <v>1659</v>
      </c>
      <c r="G324" s="56" t="s">
        <v>1660</v>
      </c>
      <c r="H324" s="56" t="s">
        <v>1661</v>
      </c>
      <c r="I324" s="59">
        <v>43627.6932638889</v>
      </c>
      <c r="J324" s="59">
        <v>43627.6932986111</v>
      </c>
      <c r="K324" s="56" t="s">
        <v>1542</v>
      </c>
      <c r="L324" s="56" t="s">
        <v>1662</v>
      </c>
      <c r="M324" s="56" t="s">
        <v>49</v>
      </c>
      <c r="N324" s="56" t="s">
        <v>1663</v>
      </c>
      <c r="O324" s="56">
        <v>2</v>
      </c>
      <c r="P324" s="56">
        <v>0</v>
      </c>
      <c r="Q324" s="56" t="s">
        <v>51</v>
      </c>
      <c r="R324" s="59">
        <v>43630.4587615741</v>
      </c>
    </row>
    <row r="325" s="48" customFormat="1" spans="1:18">
      <c r="A325" s="55" t="e">
        <f>VLOOKUP(B325,[1]天猫!$B$3:$H$258,1,FALSE)</f>
        <v>#N/A</v>
      </c>
      <c r="B325" s="48" t="str">
        <f>"482741699838416658"</f>
        <v>482741699838416658</v>
      </c>
      <c r="C325" s="48" t="s">
        <v>1658</v>
      </c>
      <c r="D325" s="48">
        <v>1</v>
      </c>
      <c r="E325" s="48" t="s">
        <v>53</v>
      </c>
      <c r="F325" s="48" t="s">
        <v>1659</v>
      </c>
      <c r="G325" s="48" t="s">
        <v>1664</v>
      </c>
      <c r="H325" s="48" t="s">
        <v>1661</v>
      </c>
      <c r="I325" s="51">
        <v>43627.6883796296</v>
      </c>
      <c r="J325" s="51">
        <v>43627.6915740741</v>
      </c>
      <c r="K325" s="48" t="s">
        <v>1331</v>
      </c>
      <c r="M325" s="48" t="s">
        <v>635</v>
      </c>
      <c r="N325" s="48" t="s">
        <v>699</v>
      </c>
      <c r="O325" s="48">
        <v>1</v>
      </c>
      <c r="P325" s="48">
        <v>0</v>
      </c>
      <c r="Q325" s="48" t="s">
        <v>51</v>
      </c>
      <c r="R325" s="51">
        <v>43627.6919444444</v>
      </c>
    </row>
    <row r="326" s="48" customFormat="1" hidden="1" spans="1:18">
      <c r="A326" s="55" t="str">
        <f>VLOOKUP(B326,[1]天猫!$B$3:$H$258,1,FALSE)</f>
        <v>481758624797488738</v>
      </c>
      <c r="B326" s="48" t="str">
        <f>"481758624797488738"</f>
        <v>481758624797488738</v>
      </c>
      <c r="C326" s="48" t="s">
        <v>1665</v>
      </c>
      <c r="D326" s="48">
        <v>1054.24</v>
      </c>
      <c r="E326" s="48" t="s">
        <v>53</v>
      </c>
      <c r="F326" s="48" t="s">
        <v>1666</v>
      </c>
      <c r="G326" s="48" t="s">
        <v>1667</v>
      </c>
      <c r="H326" s="48" t="s">
        <v>1668</v>
      </c>
      <c r="I326" s="51">
        <v>43627.6665972222</v>
      </c>
      <c r="J326" s="51">
        <v>43627.6799305556</v>
      </c>
      <c r="K326" s="48" t="s">
        <v>1351</v>
      </c>
      <c r="L326" s="48" t="s">
        <v>1669</v>
      </c>
      <c r="M326" s="48" t="s">
        <v>49</v>
      </c>
      <c r="O326" s="48">
        <v>2</v>
      </c>
      <c r="P326" s="48">
        <v>0</v>
      </c>
      <c r="Q326" s="48" t="s">
        <v>51</v>
      </c>
      <c r="R326" s="51">
        <v>43638.6773263889</v>
      </c>
    </row>
    <row r="327" s="48" customFormat="1" hidden="1" spans="1:18">
      <c r="A327" s="55" t="str">
        <f>VLOOKUP(B327,[1]天猫!$B$3:$H$258,1,FALSE)</f>
        <v>482310402702300351</v>
      </c>
      <c r="B327" s="48" t="str">
        <f>"482310402702300351"</f>
        <v>482310402702300351</v>
      </c>
      <c r="C327" s="48" t="s">
        <v>1670</v>
      </c>
      <c r="D327" s="48">
        <v>2842.24</v>
      </c>
      <c r="E327" s="48" t="s">
        <v>53</v>
      </c>
      <c r="F327" s="48" t="s">
        <v>1671</v>
      </c>
      <c r="G327" s="48" t="s">
        <v>1672</v>
      </c>
      <c r="H327" s="48" t="s">
        <v>1673</v>
      </c>
      <c r="I327" s="51">
        <v>43627.6097106481</v>
      </c>
      <c r="J327" s="51">
        <v>43627.6179282407</v>
      </c>
      <c r="K327" s="48" t="s">
        <v>1357</v>
      </c>
      <c r="L327" s="48" t="s">
        <v>1674</v>
      </c>
      <c r="M327" s="48" t="s">
        <v>49</v>
      </c>
      <c r="O327" s="48">
        <v>2</v>
      </c>
      <c r="P327" s="48">
        <v>0</v>
      </c>
      <c r="Q327" s="48" t="s">
        <v>51</v>
      </c>
      <c r="R327" s="51">
        <v>43630.6476041667</v>
      </c>
    </row>
    <row r="328" s="48" customFormat="1" spans="1:18">
      <c r="A328" s="55" t="e">
        <f>VLOOKUP(B328,[1]天猫!$B$3:$H$258,1,FALSE)</f>
        <v>#N/A</v>
      </c>
      <c r="B328" s="48" t="str">
        <f>"482312450104300351"</f>
        <v>482312450104300351</v>
      </c>
      <c r="C328" s="48" t="s">
        <v>1670</v>
      </c>
      <c r="D328" s="48">
        <v>1</v>
      </c>
      <c r="E328" s="48" t="s">
        <v>53</v>
      </c>
      <c r="F328" s="48" t="s">
        <v>1671</v>
      </c>
      <c r="G328" s="48" t="s">
        <v>1672</v>
      </c>
      <c r="H328" s="48" t="s">
        <v>1673</v>
      </c>
      <c r="I328" s="51">
        <v>43627.6080092593</v>
      </c>
      <c r="J328" s="51">
        <v>43627.6080787037</v>
      </c>
      <c r="K328" s="48" t="s">
        <v>1331</v>
      </c>
      <c r="M328" s="48" t="s">
        <v>635</v>
      </c>
      <c r="N328" s="48" t="s">
        <v>699</v>
      </c>
      <c r="O328" s="48">
        <v>1</v>
      </c>
      <c r="P328" s="48">
        <v>0</v>
      </c>
      <c r="Q328" s="48" t="s">
        <v>51</v>
      </c>
      <c r="R328" s="51">
        <v>43627.6084027778</v>
      </c>
    </row>
    <row r="329" s="48" customFormat="1" hidden="1" spans="1:18">
      <c r="A329" s="55" t="str">
        <f>VLOOKUP(B329,[1]天猫!$B$3:$H$258,1,FALSE)</f>
        <v>481591072230483584</v>
      </c>
      <c r="B329" s="48" t="str">
        <f>"481591072230483584"</f>
        <v>481591072230483584</v>
      </c>
      <c r="C329" s="48" t="s">
        <v>1675</v>
      </c>
      <c r="D329" s="48">
        <v>1799</v>
      </c>
      <c r="E329" s="48" t="s">
        <v>53</v>
      </c>
      <c r="F329" s="48" t="s">
        <v>1676</v>
      </c>
      <c r="G329" s="48" t="s">
        <v>1677</v>
      </c>
      <c r="H329" s="48" t="s">
        <v>1678</v>
      </c>
      <c r="I329" s="51">
        <v>43627.5816087963</v>
      </c>
      <c r="J329" s="51">
        <v>43627.5905208333</v>
      </c>
      <c r="K329" s="48" t="s">
        <v>57</v>
      </c>
      <c r="L329" s="48" t="s">
        <v>1679</v>
      </c>
      <c r="M329" s="48" t="s">
        <v>49</v>
      </c>
      <c r="O329" s="48">
        <v>3</v>
      </c>
      <c r="P329" s="48">
        <v>0</v>
      </c>
      <c r="Q329" s="48" t="s">
        <v>51</v>
      </c>
      <c r="R329" s="51">
        <v>43631.5004166667</v>
      </c>
    </row>
    <row r="330" s="48" customFormat="1" spans="1:18">
      <c r="A330" s="55" t="e">
        <f>VLOOKUP(B330,[1]天猫!$B$3:$H$258,1,FALSE)</f>
        <v>#N/A</v>
      </c>
      <c r="B330" s="48" t="str">
        <f>"481904609823483584"</f>
        <v>481904609823483584</v>
      </c>
      <c r="C330" s="48" t="s">
        <v>1675</v>
      </c>
      <c r="D330" s="48">
        <v>1</v>
      </c>
      <c r="E330" s="48" t="s">
        <v>53</v>
      </c>
      <c r="F330" s="48" t="s">
        <v>1676</v>
      </c>
      <c r="G330" s="48" t="s">
        <v>1677</v>
      </c>
      <c r="H330" s="48" t="s">
        <v>1678</v>
      </c>
      <c r="I330" s="51">
        <v>43627.5685069444</v>
      </c>
      <c r="J330" s="51">
        <v>43627.5686226852</v>
      </c>
      <c r="K330" s="48" t="s">
        <v>1331</v>
      </c>
      <c r="M330" s="48" t="s">
        <v>635</v>
      </c>
      <c r="O330" s="48">
        <v>1</v>
      </c>
      <c r="P330" s="48">
        <v>0</v>
      </c>
      <c r="Q330" s="48" t="s">
        <v>51</v>
      </c>
      <c r="R330" s="51">
        <v>43627.5689814815</v>
      </c>
    </row>
    <row r="331" s="48" customFormat="1" hidden="1" spans="1:18">
      <c r="A331" s="55" t="str">
        <f>VLOOKUP(B331,[1]天猫!$B$3:$H$258,1,FALSE)</f>
        <v>305426381762482004</v>
      </c>
      <c r="B331" s="48" t="str">
        <f>"305426381762482004"</f>
        <v>305426381762482004</v>
      </c>
      <c r="C331" s="48" t="s">
        <v>1680</v>
      </c>
      <c r="D331" s="48">
        <v>2788</v>
      </c>
      <c r="E331" s="48" t="s">
        <v>53</v>
      </c>
      <c r="F331" s="48" t="s">
        <v>1681</v>
      </c>
      <c r="G331" s="48" t="s">
        <v>1682</v>
      </c>
      <c r="H331" s="48" t="s">
        <v>1683</v>
      </c>
      <c r="I331" s="51">
        <v>43627.5556712963</v>
      </c>
      <c r="J331" s="51">
        <v>43627.5666203704</v>
      </c>
      <c r="K331" s="48" t="s">
        <v>75</v>
      </c>
      <c r="L331" s="48" t="s">
        <v>1684</v>
      </c>
      <c r="M331" s="48" t="s">
        <v>49</v>
      </c>
      <c r="O331" s="48">
        <v>3</v>
      </c>
      <c r="P331" s="48">
        <v>0</v>
      </c>
      <c r="Q331" s="48" t="s">
        <v>51</v>
      </c>
      <c r="R331" s="51">
        <v>43631.4332175926</v>
      </c>
    </row>
    <row r="332" s="48" customFormat="1" spans="1:18">
      <c r="A332" s="55" t="e">
        <f>VLOOKUP(B332,[1]天猫!$B$3:$H$258,1,FALSE)</f>
        <v>#N/A</v>
      </c>
      <c r="B332" s="48" t="str">
        <f>"305535054702482004"</f>
        <v>305535054702482004</v>
      </c>
      <c r="C332" s="48" t="s">
        <v>1680</v>
      </c>
      <c r="D332" s="48">
        <v>1</v>
      </c>
      <c r="E332" s="48" t="s">
        <v>53</v>
      </c>
      <c r="F332" s="48" t="s">
        <v>1681</v>
      </c>
      <c r="G332" s="48" t="s">
        <v>1682</v>
      </c>
      <c r="H332" s="48" t="s">
        <v>1683</v>
      </c>
      <c r="I332" s="51">
        <v>43627.5518287037</v>
      </c>
      <c r="J332" s="51">
        <v>43627.5518981482</v>
      </c>
      <c r="K332" s="48" t="s">
        <v>1331</v>
      </c>
      <c r="M332" s="48" t="s">
        <v>635</v>
      </c>
      <c r="N332" s="48" t="s">
        <v>699</v>
      </c>
      <c r="O332" s="48">
        <v>1</v>
      </c>
      <c r="P332" s="48">
        <v>0</v>
      </c>
      <c r="Q332" s="48" t="s">
        <v>51</v>
      </c>
      <c r="R332" s="51">
        <v>43627.5522800926</v>
      </c>
    </row>
    <row r="333" s="48" customFormat="1" hidden="1" spans="1:18">
      <c r="A333" s="55" t="str">
        <f>VLOOKUP(B333,[1]天猫!$B$3:$H$258,1,FALSE)</f>
        <v>481957314487977879</v>
      </c>
      <c r="B333" s="48" t="str">
        <f>"481957314487977879"</f>
        <v>481957314487977879</v>
      </c>
      <c r="C333" s="48" t="s">
        <v>1685</v>
      </c>
      <c r="D333" s="48">
        <v>1799</v>
      </c>
      <c r="E333" s="48" t="s">
        <v>53</v>
      </c>
      <c r="F333" s="48" t="s">
        <v>1686</v>
      </c>
      <c r="G333" s="48" t="s">
        <v>1687</v>
      </c>
      <c r="H333" s="48" t="s">
        <v>1688</v>
      </c>
      <c r="I333" s="51">
        <v>43627.4315625</v>
      </c>
      <c r="J333" s="51">
        <v>43627.4393634259</v>
      </c>
      <c r="K333" s="48" t="s">
        <v>57</v>
      </c>
      <c r="L333" s="48" t="s">
        <v>1689</v>
      </c>
      <c r="M333" s="48" t="s">
        <v>49</v>
      </c>
      <c r="O333" s="48">
        <v>3</v>
      </c>
      <c r="P333" s="48">
        <v>0</v>
      </c>
      <c r="Q333" s="48" t="s">
        <v>51</v>
      </c>
      <c r="R333" s="51">
        <v>43634.0067708333</v>
      </c>
    </row>
    <row r="334" s="48" customFormat="1" spans="1:18">
      <c r="A334" s="55" t="e">
        <f>VLOOKUP(B334,[1]天猫!$B$3:$H$258,1,FALSE)</f>
        <v>#N/A</v>
      </c>
      <c r="B334" s="48" t="str">
        <f>"481619233521977879"</f>
        <v>481619233521977879</v>
      </c>
      <c r="C334" s="48" t="s">
        <v>1685</v>
      </c>
      <c r="D334" s="48">
        <v>1</v>
      </c>
      <c r="E334" s="48" t="s">
        <v>53</v>
      </c>
      <c r="F334" s="48" t="s">
        <v>1686</v>
      </c>
      <c r="G334" s="48" t="s">
        <v>1687</v>
      </c>
      <c r="H334" s="48" t="s">
        <v>1688</v>
      </c>
      <c r="I334" s="51">
        <v>43627.4286921296</v>
      </c>
      <c r="J334" s="51">
        <v>43627.4289814815</v>
      </c>
      <c r="K334" s="48" t="s">
        <v>1331</v>
      </c>
      <c r="M334" s="48" t="s">
        <v>635</v>
      </c>
      <c r="O334" s="48">
        <v>1</v>
      </c>
      <c r="P334" s="48">
        <v>0</v>
      </c>
      <c r="Q334" s="48" t="s">
        <v>51</v>
      </c>
      <c r="R334" s="51">
        <v>43627.4293634259</v>
      </c>
    </row>
    <row r="335" s="56" customFormat="1" spans="1:18">
      <c r="A335" s="55" t="e">
        <f>VLOOKUP(B335,[1]天猫!$B$3:$H$258,1,FALSE)</f>
        <v>#N/A</v>
      </c>
      <c r="B335" s="56" t="str">
        <f>"481797666307599265"</f>
        <v>481797666307599265</v>
      </c>
      <c r="C335" s="56" t="s">
        <v>1690</v>
      </c>
      <c r="D335" s="56">
        <v>2666</v>
      </c>
      <c r="E335" s="56" t="s">
        <v>53</v>
      </c>
      <c r="F335" s="56" t="s">
        <v>1691</v>
      </c>
      <c r="G335" s="56" t="s">
        <v>1692</v>
      </c>
      <c r="H335" s="56" t="s">
        <v>1693</v>
      </c>
      <c r="I335" s="59">
        <v>43627.3356712963</v>
      </c>
      <c r="J335" s="59">
        <v>43627.3968171296</v>
      </c>
      <c r="K335" s="56" t="s">
        <v>1694</v>
      </c>
      <c r="L335" s="56" t="s">
        <v>1695</v>
      </c>
      <c r="M335" s="56" t="s">
        <v>49</v>
      </c>
      <c r="N335" s="56" t="s">
        <v>1696</v>
      </c>
      <c r="O335" s="56">
        <v>2</v>
      </c>
      <c r="P335" s="56">
        <v>0</v>
      </c>
      <c r="Q335" s="56" t="s">
        <v>51</v>
      </c>
      <c r="R335" s="59">
        <v>43632.7555324074</v>
      </c>
    </row>
    <row r="336" s="56" customFormat="1" spans="1:18">
      <c r="A336" s="55" t="e">
        <f>VLOOKUP(B336,[1]天猫!$B$3:$H$258,1,FALSE)</f>
        <v>#N/A</v>
      </c>
      <c r="B336" s="56" t="str">
        <f>"480982784014639967"</f>
        <v>480982784014639967</v>
      </c>
      <c r="C336" s="56" t="s">
        <v>1697</v>
      </c>
      <c r="D336" s="56">
        <v>2099</v>
      </c>
      <c r="E336" s="56" t="s">
        <v>53</v>
      </c>
      <c r="F336" s="56" t="s">
        <v>1698</v>
      </c>
      <c r="G336" s="56" t="s">
        <v>1699</v>
      </c>
      <c r="H336" s="56" t="s">
        <v>1700</v>
      </c>
      <c r="I336" s="59">
        <v>43626.9733680556</v>
      </c>
      <c r="J336" s="59">
        <v>43626.9734375</v>
      </c>
      <c r="K336" s="56" t="s">
        <v>57</v>
      </c>
      <c r="L336" s="56" t="s">
        <v>1701</v>
      </c>
      <c r="M336" s="56" t="s">
        <v>49</v>
      </c>
      <c r="N336" s="56" t="s">
        <v>1702</v>
      </c>
      <c r="O336" s="56">
        <v>3</v>
      </c>
      <c r="P336" s="56">
        <v>0</v>
      </c>
      <c r="Q336" s="56" t="s">
        <v>51</v>
      </c>
      <c r="R336" s="59">
        <v>43629.7111342593</v>
      </c>
    </row>
    <row r="337" s="56" customFormat="1" spans="1:18">
      <c r="A337" s="55" t="e">
        <f>VLOOKUP(B337,[1]天猫!$B$3:$H$258,1,FALSE)</f>
        <v>#N/A</v>
      </c>
      <c r="B337" s="56" t="str">
        <f>"481903171521286563"</f>
        <v>481903171521286563</v>
      </c>
      <c r="C337" s="56" t="s">
        <v>1703</v>
      </c>
      <c r="D337" s="56">
        <v>1799</v>
      </c>
      <c r="E337" s="56" t="s">
        <v>53</v>
      </c>
      <c r="F337" s="56" t="s">
        <v>1704</v>
      </c>
      <c r="G337" s="56" t="s">
        <v>1705</v>
      </c>
      <c r="H337" s="56" t="s">
        <v>1706</v>
      </c>
      <c r="I337" s="59">
        <v>43626.9655555556</v>
      </c>
      <c r="J337" s="59">
        <v>43626.9656365741</v>
      </c>
      <c r="K337" s="56" t="s">
        <v>57</v>
      </c>
      <c r="L337" s="56" t="s">
        <v>1707</v>
      </c>
      <c r="M337" s="56" t="s">
        <v>49</v>
      </c>
      <c r="N337" s="56" t="s">
        <v>1708</v>
      </c>
      <c r="O337" s="56">
        <v>3</v>
      </c>
      <c r="P337" s="56">
        <v>0</v>
      </c>
      <c r="Q337" s="56" t="s">
        <v>51</v>
      </c>
      <c r="R337" s="59">
        <v>43635.7091550926</v>
      </c>
    </row>
    <row r="338" s="48" customFormat="1" spans="1:18">
      <c r="A338" s="55" t="e">
        <f>VLOOKUP(B338,[1]天猫!$B$3:$H$258,1,FALSE)</f>
        <v>#N/A</v>
      </c>
      <c r="B338" s="48" t="str">
        <f>"481602114427286563"</f>
        <v>481602114427286563</v>
      </c>
      <c r="C338" s="48" t="s">
        <v>1703</v>
      </c>
      <c r="D338" s="48">
        <v>1</v>
      </c>
      <c r="E338" s="48" t="s">
        <v>53</v>
      </c>
      <c r="F338" s="48" t="s">
        <v>1704</v>
      </c>
      <c r="G338" s="48" t="s">
        <v>1709</v>
      </c>
      <c r="H338" s="48" t="s">
        <v>1706</v>
      </c>
      <c r="I338" s="51">
        <v>43626.9459259259</v>
      </c>
      <c r="J338" s="51">
        <v>43626.9463541667</v>
      </c>
      <c r="K338" s="48" t="s">
        <v>1331</v>
      </c>
      <c r="M338" s="48" t="s">
        <v>635</v>
      </c>
      <c r="O338" s="48">
        <v>1</v>
      </c>
      <c r="P338" s="48">
        <v>0</v>
      </c>
      <c r="Q338" s="48" t="s">
        <v>51</v>
      </c>
      <c r="R338" s="51">
        <v>43626.9463657407</v>
      </c>
    </row>
    <row r="339" s="48" customFormat="1" spans="1:18">
      <c r="A339" s="55" t="e">
        <f>VLOOKUP(B339,[1]天猫!$B$3:$H$258,1,FALSE)</f>
        <v>#N/A</v>
      </c>
      <c r="B339" s="48" t="str">
        <f>"481131905750513282"</f>
        <v>481131905750513282</v>
      </c>
      <c r="C339" s="48" t="s">
        <v>1647</v>
      </c>
      <c r="D339" s="48">
        <v>1</v>
      </c>
      <c r="E339" s="48" t="s">
        <v>53</v>
      </c>
      <c r="F339" s="48" t="s">
        <v>1648</v>
      </c>
      <c r="G339" s="48" t="s">
        <v>1710</v>
      </c>
      <c r="H339" s="48" t="s">
        <v>1650</v>
      </c>
      <c r="I339" s="51">
        <v>43626.8767708333</v>
      </c>
      <c r="J339" s="51">
        <v>43626.8769097222</v>
      </c>
      <c r="K339" s="48" t="s">
        <v>1331</v>
      </c>
      <c r="M339" s="48" t="s">
        <v>635</v>
      </c>
      <c r="O339" s="48">
        <v>1</v>
      </c>
      <c r="P339" s="48">
        <v>0</v>
      </c>
      <c r="Q339" s="48" t="s">
        <v>51</v>
      </c>
      <c r="R339" s="51">
        <v>43626.8769212963</v>
      </c>
    </row>
    <row r="340" s="56" customFormat="1" spans="1:18">
      <c r="A340" s="55" t="e">
        <f>VLOOKUP(B340,[1]天猫!$B$3:$H$258,1,FALSE)</f>
        <v>#N/A</v>
      </c>
      <c r="B340" s="56" t="str">
        <f>"481303746330813579"</f>
        <v>481303746330813579</v>
      </c>
      <c r="C340" s="56" t="s">
        <v>1711</v>
      </c>
      <c r="D340" s="56">
        <v>1799</v>
      </c>
      <c r="E340" s="56" t="s">
        <v>53</v>
      </c>
      <c r="F340" s="56" t="s">
        <v>1712</v>
      </c>
      <c r="G340" s="56" t="s">
        <v>1713</v>
      </c>
      <c r="H340" s="56" t="s">
        <v>1714</v>
      </c>
      <c r="I340" s="59">
        <v>43626.7930324074</v>
      </c>
      <c r="J340" s="59">
        <v>43626.7930787037</v>
      </c>
      <c r="K340" s="56" t="s">
        <v>57</v>
      </c>
      <c r="L340" s="56" t="s">
        <v>1715</v>
      </c>
      <c r="M340" s="56" t="s">
        <v>49</v>
      </c>
      <c r="N340" s="56" t="s">
        <v>1716</v>
      </c>
      <c r="O340" s="56">
        <v>3</v>
      </c>
      <c r="P340" s="56">
        <v>0</v>
      </c>
      <c r="Q340" s="56" t="s">
        <v>51</v>
      </c>
      <c r="R340" s="59">
        <v>43628.9027777778</v>
      </c>
    </row>
    <row r="341" s="48" customFormat="1" spans="1:18">
      <c r="A341" s="55" t="e">
        <f>VLOOKUP(B341,[1]天猫!$B$3:$H$258,1,FALSE)</f>
        <v>#N/A</v>
      </c>
      <c r="B341" s="48" t="str">
        <f>"480969313657813579"</f>
        <v>480969313657813579</v>
      </c>
      <c r="C341" s="48" t="s">
        <v>1711</v>
      </c>
      <c r="D341" s="48">
        <v>1</v>
      </c>
      <c r="E341" s="48" t="s">
        <v>53</v>
      </c>
      <c r="F341" s="48" t="s">
        <v>1712</v>
      </c>
      <c r="G341" s="48" t="s">
        <v>1713</v>
      </c>
      <c r="H341" s="48" t="s">
        <v>1714</v>
      </c>
      <c r="I341" s="51">
        <v>43626.789837963</v>
      </c>
      <c r="J341" s="51">
        <v>43626.7898842593</v>
      </c>
      <c r="K341" s="48" t="s">
        <v>1331</v>
      </c>
      <c r="M341" s="48" t="s">
        <v>635</v>
      </c>
      <c r="O341" s="48">
        <v>1</v>
      </c>
      <c r="P341" s="48">
        <v>0</v>
      </c>
      <c r="Q341" s="48" t="s">
        <v>51</v>
      </c>
      <c r="R341" s="51">
        <v>43626.7902546296</v>
      </c>
    </row>
    <row r="342" s="48" customFormat="1" hidden="1" spans="1:18">
      <c r="A342" s="55" t="str">
        <f>VLOOKUP(B342,[1]天猫!$B$3:$H$258,1,FALSE)</f>
        <v>480931905414627843</v>
      </c>
      <c r="B342" s="48" t="str">
        <f>"480931905414627843"</f>
        <v>480931905414627843</v>
      </c>
      <c r="C342" s="48" t="s">
        <v>1717</v>
      </c>
      <c r="D342" s="48">
        <v>1571.12</v>
      </c>
      <c r="E342" s="48" t="s">
        <v>53</v>
      </c>
      <c r="F342" s="48" t="s">
        <v>1718</v>
      </c>
      <c r="G342" s="48" t="s">
        <v>1719</v>
      </c>
      <c r="H342" s="48" t="s">
        <v>1720</v>
      </c>
      <c r="I342" s="51">
        <v>43626.7661805556</v>
      </c>
      <c r="J342" s="51">
        <v>43626.7716550926</v>
      </c>
      <c r="K342" s="48" t="s">
        <v>1357</v>
      </c>
      <c r="L342" s="48" t="s">
        <v>1721</v>
      </c>
      <c r="M342" s="48" t="s">
        <v>49</v>
      </c>
      <c r="O342" s="48">
        <v>1</v>
      </c>
      <c r="P342" s="48">
        <v>0</v>
      </c>
      <c r="Q342" s="48" t="s">
        <v>51</v>
      </c>
      <c r="R342" s="51">
        <v>43630.4914583333</v>
      </c>
    </row>
    <row r="343" s="48" customFormat="1" hidden="1" spans="1:18">
      <c r="A343" s="55" t="str">
        <f>VLOOKUP(B343,[1]天猫!$B$3:$H$258,1,FALSE)</f>
        <v>305442798586379402</v>
      </c>
      <c r="B343" s="48" t="str">
        <f>"305442798586379402"</f>
        <v>305442798586379402</v>
      </c>
      <c r="C343" s="48" t="s">
        <v>1722</v>
      </c>
      <c r="D343" s="48">
        <v>1571.12</v>
      </c>
      <c r="E343" s="48" t="s">
        <v>53</v>
      </c>
      <c r="F343" s="48" t="s">
        <v>1723</v>
      </c>
      <c r="G343" s="48" t="s">
        <v>1724</v>
      </c>
      <c r="H343" s="48" t="s">
        <v>1725</v>
      </c>
      <c r="I343" s="51">
        <v>43626.7394791667</v>
      </c>
      <c r="J343" s="51">
        <v>43626.7484375</v>
      </c>
      <c r="K343" s="48" t="s">
        <v>1357</v>
      </c>
      <c r="L343" s="48" t="s">
        <v>1726</v>
      </c>
      <c r="M343" s="48" t="s">
        <v>49</v>
      </c>
      <c r="O343" s="48">
        <v>1</v>
      </c>
      <c r="P343" s="48">
        <v>0</v>
      </c>
      <c r="Q343" s="48" t="s">
        <v>51</v>
      </c>
      <c r="R343" s="51">
        <v>43630.7694675926</v>
      </c>
    </row>
    <row r="344" s="55" customFormat="1" spans="1:18">
      <c r="A344" s="55" t="e">
        <f>VLOOKUP(B344,[1]天猫!$B$3:$H$258,1,FALSE)</f>
        <v>#N/A</v>
      </c>
      <c r="B344" s="55" t="str">
        <f>"480738977034986470"</f>
        <v>480738977034986470</v>
      </c>
      <c r="C344" s="55" t="s">
        <v>1727</v>
      </c>
      <c r="D344" s="55">
        <v>3466</v>
      </c>
      <c r="E344" s="55" t="s">
        <v>53</v>
      </c>
      <c r="F344" s="55" t="s">
        <v>1728</v>
      </c>
      <c r="G344" s="55" t="s">
        <v>1729</v>
      </c>
      <c r="H344" s="55" t="s">
        <v>1730</v>
      </c>
      <c r="I344" s="58">
        <v>43626.6621527778</v>
      </c>
      <c r="J344" s="58">
        <v>43626.6625810185</v>
      </c>
      <c r="K344" s="55" t="s">
        <v>75</v>
      </c>
      <c r="L344" s="55" t="s">
        <v>1731</v>
      </c>
      <c r="M344" s="55" t="s">
        <v>49</v>
      </c>
      <c r="N344" s="55" t="s">
        <v>1732</v>
      </c>
      <c r="O344" s="55">
        <v>3</v>
      </c>
      <c r="P344" s="55">
        <v>0</v>
      </c>
      <c r="Q344" s="55" t="s">
        <v>51</v>
      </c>
      <c r="R344" s="58">
        <v>43636.7089930556</v>
      </c>
    </row>
    <row r="345" s="55" customFormat="1" spans="1:18">
      <c r="A345" s="55" t="e">
        <f>VLOOKUP(B345,[1]天猫!$B$3:$H$258,1,FALSE)</f>
        <v>#N/A</v>
      </c>
      <c r="B345" s="55" t="str">
        <f>"481269571698075183"</f>
        <v>481269571698075183</v>
      </c>
      <c r="C345" s="55" t="s">
        <v>1733</v>
      </c>
      <c r="D345" s="55">
        <v>639.4</v>
      </c>
      <c r="E345" s="55" t="s">
        <v>53</v>
      </c>
      <c r="F345" s="55" t="s">
        <v>1734</v>
      </c>
      <c r="G345" s="55" t="s">
        <v>1735</v>
      </c>
      <c r="H345" s="55" t="s">
        <v>1736</v>
      </c>
      <c r="I345" s="58">
        <v>43626.6373958333</v>
      </c>
      <c r="J345" s="58">
        <v>43626.6431365741</v>
      </c>
      <c r="K345" s="55" t="s">
        <v>1104</v>
      </c>
      <c r="L345" s="55" t="s">
        <v>1737</v>
      </c>
      <c r="M345" s="55" t="s">
        <v>49</v>
      </c>
      <c r="N345" s="55" t="s">
        <v>1738</v>
      </c>
      <c r="O345" s="55">
        <v>1</v>
      </c>
      <c r="P345" s="55">
        <v>0</v>
      </c>
      <c r="Q345" s="55" t="s">
        <v>51</v>
      </c>
      <c r="R345" s="58">
        <v>43636.6507291667</v>
      </c>
    </row>
    <row r="346" s="48" customFormat="1" hidden="1" spans="1:18">
      <c r="A346" s="55" t="str">
        <f>VLOOKUP(B346,[1]天猫!$B$3:$H$258,1,FALSE)</f>
        <v>305761039493519800</v>
      </c>
      <c r="B346" s="48" t="str">
        <f>"305761039493519800"</f>
        <v>305761039493519800</v>
      </c>
      <c r="C346" s="48" t="s">
        <v>1739</v>
      </c>
      <c r="D346" s="48">
        <v>987.68</v>
      </c>
      <c r="E346" s="48" t="s">
        <v>53</v>
      </c>
      <c r="F346" s="48" t="s">
        <v>1740</v>
      </c>
      <c r="G346" s="48" t="s">
        <v>1741</v>
      </c>
      <c r="H346" s="48" t="s">
        <v>1742</v>
      </c>
      <c r="I346" s="51">
        <v>43626.6008564815</v>
      </c>
      <c r="J346" s="51">
        <v>43626.612037037</v>
      </c>
      <c r="K346" s="48" t="s">
        <v>1351</v>
      </c>
      <c r="L346" s="48" t="s">
        <v>1743</v>
      </c>
      <c r="M346" s="48" t="s">
        <v>49</v>
      </c>
      <c r="O346" s="48">
        <v>2</v>
      </c>
      <c r="P346" s="48">
        <v>0</v>
      </c>
      <c r="Q346" s="48" t="s">
        <v>51</v>
      </c>
      <c r="R346" s="51">
        <v>43630.6871180556</v>
      </c>
    </row>
    <row r="347" s="55" customFormat="1" spans="1:18">
      <c r="A347" s="55" t="e">
        <f>VLOOKUP(B347,[1]天猫!$B$3:$H$258,1,FALSE)</f>
        <v>#N/A</v>
      </c>
      <c r="B347" s="55" t="str">
        <f>"480849922827786039"</f>
        <v>480849922827786039</v>
      </c>
      <c r="C347" s="55" t="s">
        <v>1744</v>
      </c>
      <c r="D347" s="55">
        <v>2188</v>
      </c>
      <c r="E347" s="55" t="s">
        <v>53</v>
      </c>
      <c r="F347" s="55" t="s">
        <v>1745</v>
      </c>
      <c r="G347" s="55" t="s">
        <v>1746</v>
      </c>
      <c r="H347" s="55" t="s">
        <v>1747</v>
      </c>
      <c r="I347" s="58">
        <v>43626.5606365741</v>
      </c>
      <c r="J347" s="58">
        <v>43626.5614930556</v>
      </c>
      <c r="K347" s="55" t="s">
        <v>57</v>
      </c>
      <c r="L347" s="55" t="s">
        <v>1748</v>
      </c>
      <c r="M347" s="55" t="s">
        <v>49</v>
      </c>
      <c r="N347" s="55" t="s">
        <v>1749</v>
      </c>
      <c r="O347" s="55">
        <v>3</v>
      </c>
      <c r="P347" s="55">
        <v>0</v>
      </c>
      <c r="Q347" s="55" t="s">
        <v>51</v>
      </c>
      <c r="R347" s="58">
        <v>43635.9219560185</v>
      </c>
    </row>
    <row r="348" s="48" customFormat="1" spans="1:18">
      <c r="A348" s="55" t="e">
        <f>VLOOKUP(B348,[1]天猫!$B$3:$H$258,1,FALSE)</f>
        <v>#N/A</v>
      </c>
      <c r="B348" s="48" t="str">
        <f>"480124672686094832"</f>
        <v>480124672686094832</v>
      </c>
      <c r="C348" s="48" t="s">
        <v>1750</v>
      </c>
      <c r="D348" s="48">
        <v>1</v>
      </c>
      <c r="E348" s="48" t="s">
        <v>53</v>
      </c>
      <c r="F348" s="48" t="s">
        <v>1751</v>
      </c>
      <c r="G348" s="48" t="s">
        <v>1752</v>
      </c>
      <c r="H348" s="48" t="s">
        <v>1753</v>
      </c>
      <c r="I348" s="51">
        <v>43626.5249074074</v>
      </c>
      <c r="J348" s="51">
        <v>43626.5249537037</v>
      </c>
      <c r="K348" s="48" t="s">
        <v>1331</v>
      </c>
      <c r="M348" s="48" t="s">
        <v>635</v>
      </c>
      <c r="N348" s="48" t="s">
        <v>699</v>
      </c>
      <c r="O348" s="48">
        <v>1</v>
      </c>
      <c r="P348" s="48">
        <v>0</v>
      </c>
      <c r="Q348" s="48" t="s">
        <v>51</v>
      </c>
      <c r="R348" s="51">
        <v>43626.5253009259</v>
      </c>
    </row>
    <row r="349" s="48" customFormat="1" hidden="1" spans="1:18">
      <c r="A349" s="55" t="str">
        <f>VLOOKUP(B349,[1]天猫!$B$3:$H$258,1,FALSE)</f>
        <v>305736271970636002</v>
      </c>
      <c r="B349" s="48" t="str">
        <f>"305736271970636002"</f>
        <v>305736271970636002</v>
      </c>
      <c r="C349" s="48" t="s">
        <v>1754</v>
      </c>
      <c r="D349" s="48">
        <v>1799</v>
      </c>
      <c r="E349" s="48" t="s">
        <v>53</v>
      </c>
      <c r="F349" s="48" t="s">
        <v>1755</v>
      </c>
      <c r="G349" s="48" t="s">
        <v>1756</v>
      </c>
      <c r="H349" s="48" t="s">
        <v>1757</v>
      </c>
      <c r="I349" s="51">
        <v>43626.4763078704</v>
      </c>
      <c r="J349" s="51">
        <v>43626.4896412037</v>
      </c>
      <c r="K349" s="48" t="s">
        <v>57</v>
      </c>
      <c r="L349" s="48" t="s">
        <v>1758</v>
      </c>
      <c r="M349" s="48" t="s">
        <v>49</v>
      </c>
      <c r="O349" s="48">
        <v>3</v>
      </c>
      <c r="P349" s="48">
        <v>0</v>
      </c>
      <c r="Q349" s="48" t="s">
        <v>51</v>
      </c>
      <c r="R349" s="51">
        <v>43634.6658217593</v>
      </c>
    </row>
    <row r="350" s="48" customFormat="1" spans="1:18">
      <c r="A350" s="55" t="e">
        <f>VLOOKUP(B350,[1]天猫!$B$3:$H$258,1,FALSE)</f>
        <v>#N/A</v>
      </c>
      <c r="B350" s="48" t="str">
        <f>"305143084712636002"</f>
        <v>305143084712636002</v>
      </c>
      <c r="C350" s="48" t="s">
        <v>1754</v>
      </c>
      <c r="D350" s="48">
        <v>1</v>
      </c>
      <c r="E350" s="48" t="s">
        <v>53</v>
      </c>
      <c r="F350" s="48" t="s">
        <v>1755</v>
      </c>
      <c r="G350" s="48" t="s">
        <v>1756</v>
      </c>
      <c r="H350" s="48" t="s">
        <v>1757</v>
      </c>
      <c r="I350" s="51">
        <v>43626.4719212963</v>
      </c>
      <c r="J350" s="51">
        <v>43626.4719907407</v>
      </c>
      <c r="K350" s="48" t="s">
        <v>1331</v>
      </c>
      <c r="M350" s="48" t="s">
        <v>635</v>
      </c>
      <c r="O350" s="48">
        <v>1</v>
      </c>
      <c r="P350" s="48">
        <v>0</v>
      </c>
      <c r="Q350" s="48" t="s">
        <v>51</v>
      </c>
      <c r="R350" s="51">
        <v>43626.4723726852</v>
      </c>
    </row>
    <row r="351" s="48" customFormat="1" hidden="1" spans="1:18">
      <c r="A351" s="55" t="str">
        <f>VLOOKUP(B351,[1]天猫!$B$3:$H$258,1,FALSE)</f>
        <v>480851523317533773</v>
      </c>
      <c r="B351" s="48" t="str">
        <f>"480851523317533773"</f>
        <v>480851523317533773</v>
      </c>
      <c r="C351" s="48" t="s">
        <v>1759</v>
      </c>
      <c r="D351" s="48">
        <v>1799</v>
      </c>
      <c r="E351" s="48" t="s">
        <v>53</v>
      </c>
      <c r="F351" s="48" t="s">
        <v>1760</v>
      </c>
      <c r="G351" s="48" t="s">
        <v>1761</v>
      </c>
      <c r="H351" s="48" t="s">
        <v>1762</v>
      </c>
      <c r="I351" s="51">
        <v>43626.4288310185</v>
      </c>
      <c r="J351" s="51">
        <v>43626.442025463</v>
      </c>
      <c r="K351" s="48" t="s">
        <v>57</v>
      </c>
      <c r="L351" s="48" t="s">
        <v>1763</v>
      </c>
      <c r="M351" s="48" t="s">
        <v>49</v>
      </c>
      <c r="O351" s="48">
        <v>3</v>
      </c>
      <c r="P351" s="48">
        <v>0</v>
      </c>
      <c r="Q351" s="48" t="s">
        <v>51</v>
      </c>
      <c r="R351" s="51">
        <v>43631.5742476852</v>
      </c>
    </row>
    <row r="352" s="48" customFormat="1" hidden="1" spans="1:18">
      <c r="A352" s="55" t="str">
        <f>VLOOKUP(B352,[1]天猫!$B$3:$H$258,1,FALSE)</f>
        <v>480564802424931738</v>
      </c>
      <c r="B352" s="48" t="str">
        <f>"480564802424931738"</f>
        <v>480564802424931738</v>
      </c>
      <c r="C352" s="48" t="s">
        <v>1764</v>
      </c>
      <c r="D352" s="48">
        <v>2788</v>
      </c>
      <c r="E352" s="48" t="s">
        <v>53</v>
      </c>
      <c r="F352" s="48" t="s">
        <v>1765</v>
      </c>
      <c r="G352" s="48" t="s">
        <v>1766</v>
      </c>
      <c r="H352" s="48" t="s">
        <v>1767</v>
      </c>
      <c r="I352" s="51">
        <v>43626.4192939815</v>
      </c>
      <c r="J352" s="51">
        <v>43626.423275463</v>
      </c>
      <c r="K352" s="48" t="s">
        <v>75</v>
      </c>
      <c r="L352" s="48" t="s">
        <v>1768</v>
      </c>
      <c r="M352" s="48" t="s">
        <v>49</v>
      </c>
      <c r="O352" s="48">
        <v>3</v>
      </c>
      <c r="P352" s="48">
        <v>0</v>
      </c>
      <c r="Q352" s="48" t="s">
        <v>51</v>
      </c>
      <c r="R352" s="51">
        <v>43632.6258449074</v>
      </c>
    </row>
    <row r="353" s="55" customFormat="1" spans="1:18">
      <c r="A353" s="55" t="e">
        <f>VLOOKUP(B353,[1]天猫!$B$3:$H$258,1,FALSE)</f>
        <v>#N/A</v>
      </c>
      <c r="B353" s="55" t="str">
        <f>"480562146021340512"</f>
        <v>480562146021340512</v>
      </c>
      <c r="C353" s="55" t="s">
        <v>1769</v>
      </c>
      <c r="D353" s="55">
        <v>1799</v>
      </c>
      <c r="E353" s="55" t="s">
        <v>53</v>
      </c>
      <c r="F353" s="55" t="s">
        <v>1770</v>
      </c>
      <c r="G353" s="55" t="s">
        <v>1771</v>
      </c>
      <c r="H353" s="55" t="s">
        <v>1772</v>
      </c>
      <c r="I353" s="58">
        <v>43626.4171064815</v>
      </c>
      <c r="J353" s="58">
        <v>43626.4171643518</v>
      </c>
      <c r="K353" s="55" t="s">
        <v>57</v>
      </c>
      <c r="L353" s="55" t="s">
        <v>1773</v>
      </c>
      <c r="M353" s="55" t="s">
        <v>49</v>
      </c>
      <c r="N353" s="55" t="s">
        <v>1774</v>
      </c>
      <c r="O353" s="55">
        <v>3</v>
      </c>
      <c r="P353" s="55">
        <v>0</v>
      </c>
      <c r="Q353" s="55" t="s">
        <v>51</v>
      </c>
      <c r="R353" s="58">
        <v>43636.6286458333</v>
      </c>
    </row>
    <row r="354" s="48" customFormat="1" spans="1:18">
      <c r="A354" s="55" t="e">
        <f>VLOOKUP(B354,[1]天猫!$B$3:$H$258,1,FALSE)</f>
        <v>#N/A</v>
      </c>
      <c r="B354" s="48" t="str">
        <f>"480547874925931738"</f>
        <v>480547874925931738</v>
      </c>
      <c r="C354" s="48" t="s">
        <v>1764</v>
      </c>
      <c r="D354" s="48">
        <v>1</v>
      </c>
      <c r="E354" s="48" t="s">
        <v>53</v>
      </c>
      <c r="F354" s="48" t="s">
        <v>1765</v>
      </c>
      <c r="G354" s="48" t="s">
        <v>1766</v>
      </c>
      <c r="H354" s="48" t="s">
        <v>1767</v>
      </c>
      <c r="I354" s="51">
        <v>43626.4153587963</v>
      </c>
      <c r="J354" s="51">
        <v>43626.4155324074</v>
      </c>
      <c r="K354" s="48" t="s">
        <v>1331</v>
      </c>
      <c r="M354" s="48" t="s">
        <v>635</v>
      </c>
      <c r="O354" s="48">
        <v>1</v>
      </c>
      <c r="P354" s="48">
        <v>0</v>
      </c>
      <c r="Q354" s="48" t="s">
        <v>51</v>
      </c>
      <c r="R354" s="51">
        <v>43626.4159606481</v>
      </c>
    </row>
    <row r="355" s="48" customFormat="1" spans="1:18">
      <c r="A355" s="55" t="e">
        <f>VLOOKUP(B355,[1]天猫!$B$3:$H$258,1,FALSE)</f>
        <v>#N/A</v>
      </c>
      <c r="B355" s="48" t="str">
        <f>"480552034925533773"</f>
        <v>480552034925533773</v>
      </c>
      <c r="C355" s="48" t="s">
        <v>1759</v>
      </c>
      <c r="D355" s="48">
        <v>1</v>
      </c>
      <c r="E355" s="48" t="s">
        <v>53</v>
      </c>
      <c r="F355" s="48" t="s">
        <v>1760</v>
      </c>
      <c r="G355" s="48" t="s">
        <v>1761</v>
      </c>
      <c r="H355" s="48" t="s">
        <v>1762</v>
      </c>
      <c r="I355" s="51">
        <v>43626.4148148148</v>
      </c>
      <c r="J355" s="51">
        <v>43626.4168055556</v>
      </c>
      <c r="K355" s="48" t="s">
        <v>1331</v>
      </c>
      <c r="M355" s="48" t="s">
        <v>635</v>
      </c>
      <c r="O355" s="48">
        <v>1</v>
      </c>
      <c r="P355" s="48">
        <v>0</v>
      </c>
      <c r="Q355" s="48" t="s">
        <v>51</v>
      </c>
      <c r="R355" s="51">
        <v>43626.4171412037</v>
      </c>
    </row>
    <row r="356" s="48" customFormat="1" spans="1:18">
      <c r="A356" s="55" t="e">
        <f>VLOOKUP(B356,[1]天猫!$B$3:$H$258,1,FALSE)</f>
        <v>#N/A</v>
      </c>
      <c r="B356" s="48" t="str">
        <f>"479885728015340512"</f>
        <v>479885728015340512</v>
      </c>
      <c r="C356" s="48" t="s">
        <v>1769</v>
      </c>
      <c r="D356" s="48">
        <v>1</v>
      </c>
      <c r="E356" s="48" t="s">
        <v>53</v>
      </c>
      <c r="F356" s="48" t="s">
        <v>1770</v>
      </c>
      <c r="G356" s="48" t="s">
        <v>1771</v>
      </c>
      <c r="H356" s="48" t="s">
        <v>1772</v>
      </c>
      <c r="I356" s="51">
        <v>43626.4088541667</v>
      </c>
      <c r="J356" s="51">
        <v>43626.408912037</v>
      </c>
      <c r="K356" s="48" t="s">
        <v>1331</v>
      </c>
      <c r="M356" s="48" t="s">
        <v>635</v>
      </c>
      <c r="O356" s="48">
        <v>1</v>
      </c>
      <c r="P356" s="48">
        <v>0</v>
      </c>
      <c r="Q356" s="48" t="s">
        <v>51</v>
      </c>
      <c r="R356" s="51">
        <v>43626.4092592593</v>
      </c>
    </row>
    <row r="357" s="55" customFormat="1" spans="1:18">
      <c r="A357" s="55" t="e">
        <f>VLOOKUP(B357,[1]天猫!$B$3:$H$258,1,FALSE)</f>
        <v>#N/A</v>
      </c>
      <c r="B357" s="55" t="str">
        <f>"480178177897440482"</f>
        <v>480178177897440482</v>
      </c>
      <c r="C357" s="55" t="s">
        <v>1775</v>
      </c>
      <c r="D357" s="55">
        <v>1888</v>
      </c>
      <c r="E357" s="55" t="s">
        <v>53</v>
      </c>
      <c r="F357" s="55" t="s">
        <v>1776</v>
      </c>
      <c r="G357" s="55" t="s">
        <v>1777</v>
      </c>
      <c r="H357" s="55" t="s">
        <v>1778</v>
      </c>
      <c r="I357" s="58">
        <v>43626.3868402778</v>
      </c>
      <c r="J357" s="58">
        <v>43626.3868981482</v>
      </c>
      <c r="K357" s="55" t="s">
        <v>57</v>
      </c>
      <c r="L357" s="55" t="s">
        <v>1779</v>
      </c>
      <c r="M357" s="55" t="s">
        <v>49</v>
      </c>
      <c r="N357" s="55" t="s">
        <v>1780</v>
      </c>
      <c r="O357" s="55">
        <v>3</v>
      </c>
      <c r="P357" s="55">
        <v>0</v>
      </c>
      <c r="Q357" s="55" t="s">
        <v>51</v>
      </c>
      <c r="R357" s="58">
        <v>43636.6286342593</v>
      </c>
    </row>
    <row r="358" s="48" customFormat="1" spans="1:18">
      <c r="A358" s="55" t="e">
        <f>VLOOKUP(B358,[1]天猫!$B$3:$H$258,1,FALSE)</f>
        <v>#N/A</v>
      </c>
      <c r="B358" s="48" t="str">
        <f>"480171873842440482"</f>
        <v>480171873842440482</v>
      </c>
      <c r="C358" s="48" t="s">
        <v>1775</v>
      </c>
      <c r="D358" s="48">
        <v>1</v>
      </c>
      <c r="E358" s="48" t="s">
        <v>53</v>
      </c>
      <c r="F358" s="48" t="s">
        <v>1776</v>
      </c>
      <c r="G358" s="48" t="s">
        <v>1777</v>
      </c>
      <c r="H358" s="48" t="s">
        <v>1778</v>
      </c>
      <c r="I358" s="51">
        <v>43626.3827199074</v>
      </c>
      <c r="J358" s="51">
        <v>43626.3827777778</v>
      </c>
      <c r="K358" s="48" t="s">
        <v>1331</v>
      </c>
      <c r="M358" s="48" t="s">
        <v>635</v>
      </c>
      <c r="O358" s="48">
        <v>1</v>
      </c>
      <c r="P358" s="48">
        <v>0</v>
      </c>
      <c r="Q358" s="48" t="s">
        <v>51</v>
      </c>
      <c r="R358" s="51">
        <v>43626.383125</v>
      </c>
    </row>
    <row r="359" s="56" customFormat="1" spans="1:18">
      <c r="A359" s="55" t="e">
        <f>VLOOKUP(B359,[1]天猫!$B$3:$H$258,1,FALSE)</f>
        <v>#N/A</v>
      </c>
      <c r="B359" s="56" t="str">
        <f>"305250061101938301"</f>
        <v>305250061101938301</v>
      </c>
      <c r="C359" s="56" t="s">
        <v>1781</v>
      </c>
      <c r="D359" s="56">
        <v>1799</v>
      </c>
      <c r="E359" s="56" t="s">
        <v>53</v>
      </c>
      <c r="F359" s="56" t="s">
        <v>1782</v>
      </c>
      <c r="G359" s="56" t="s">
        <v>1783</v>
      </c>
      <c r="H359" s="56" t="s">
        <v>1784</v>
      </c>
      <c r="I359" s="59">
        <v>43626.0037037037</v>
      </c>
      <c r="J359" s="59">
        <v>43626.0037384259</v>
      </c>
      <c r="K359" s="56" t="s">
        <v>57</v>
      </c>
      <c r="L359" s="56" t="s">
        <v>1785</v>
      </c>
      <c r="M359" s="56" t="s">
        <v>49</v>
      </c>
      <c r="N359" s="56" t="s">
        <v>1786</v>
      </c>
      <c r="O359" s="56">
        <v>3</v>
      </c>
      <c r="P359" s="56">
        <v>0</v>
      </c>
      <c r="Q359" s="56" t="s">
        <v>51</v>
      </c>
      <c r="R359" s="59">
        <v>43638.6770138889</v>
      </c>
    </row>
    <row r="360" s="56" customFormat="1" hidden="1" spans="1:18">
      <c r="A360" s="1" t="str">
        <f>VLOOKUP(B360,[1]天猫!$B$3:$H$258,1,FALSE)</f>
        <v>480003969094022526</v>
      </c>
      <c r="B360" s="56" t="str">
        <f>"480003969094022526"</f>
        <v>480003969094022526</v>
      </c>
      <c r="C360" s="56" t="s">
        <v>1787</v>
      </c>
      <c r="D360" s="56">
        <v>1087.68</v>
      </c>
      <c r="E360" s="56" t="s">
        <v>53</v>
      </c>
      <c r="F360" s="56" t="s">
        <v>1788</v>
      </c>
      <c r="G360" s="56" t="s">
        <v>1789</v>
      </c>
      <c r="H360" s="56" t="s">
        <v>1790</v>
      </c>
      <c r="I360" s="59">
        <v>43626.0010648148</v>
      </c>
      <c r="J360" s="59">
        <v>43626.0055324074</v>
      </c>
      <c r="K360" s="56" t="s">
        <v>1351</v>
      </c>
      <c r="L360" s="56" t="s">
        <v>1791</v>
      </c>
      <c r="M360" s="56" t="s">
        <v>49</v>
      </c>
      <c r="N360" s="56" t="s">
        <v>1792</v>
      </c>
      <c r="O360" s="56">
        <v>2</v>
      </c>
      <c r="P360" s="56">
        <v>0</v>
      </c>
      <c r="Q360" s="56" t="s">
        <v>51</v>
      </c>
      <c r="R360" s="59">
        <v>43630.6756944444</v>
      </c>
    </row>
    <row r="361" s="48" customFormat="1" spans="1:18">
      <c r="A361" s="55" t="e">
        <f>VLOOKUP(B361,[1]天猫!$B$3:$H$258,1,FALSE)</f>
        <v>#N/A</v>
      </c>
      <c r="B361" s="48" t="str">
        <f>"305109356357938301"</f>
        <v>305109356357938301</v>
      </c>
      <c r="C361" s="48" t="s">
        <v>1781</v>
      </c>
      <c r="D361" s="48">
        <v>1</v>
      </c>
      <c r="E361" s="48" t="s">
        <v>53</v>
      </c>
      <c r="F361" s="48" t="s">
        <v>1782</v>
      </c>
      <c r="G361" s="48" t="s">
        <v>1793</v>
      </c>
      <c r="H361" s="48" t="s">
        <v>1784</v>
      </c>
      <c r="I361" s="51">
        <v>43626.0010648148</v>
      </c>
      <c r="J361" s="51">
        <v>43626.0011111111</v>
      </c>
      <c r="K361" s="48" t="s">
        <v>1331</v>
      </c>
      <c r="M361" s="48" t="s">
        <v>635</v>
      </c>
      <c r="O361" s="48">
        <v>1</v>
      </c>
      <c r="P361" s="48">
        <v>0</v>
      </c>
      <c r="Q361" s="48" t="s">
        <v>51</v>
      </c>
      <c r="R361" s="51">
        <v>43626.0014814815</v>
      </c>
    </row>
    <row r="362" s="48" customFormat="1" spans="1:18">
      <c r="A362" s="55" t="e">
        <f>VLOOKUP(B362,[1]天猫!$B$3:$H$258,1,FALSE)</f>
        <v>#N/A</v>
      </c>
      <c r="B362" s="48" t="str">
        <f>"479999841006599265"</f>
        <v>479999841006599265</v>
      </c>
      <c r="C362" s="48" t="s">
        <v>1690</v>
      </c>
      <c r="D362" s="48">
        <v>1</v>
      </c>
      <c r="E362" s="48" t="s">
        <v>53</v>
      </c>
      <c r="F362" s="48" t="s">
        <v>1691</v>
      </c>
      <c r="G362" s="48" t="s">
        <v>1692</v>
      </c>
      <c r="H362" s="48" t="s">
        <v>1693</v>
      </c>
      <c r="I362" s="51">
        <v>43625.9984606481</v>
      </c>
      <c r="J362" s="51">
        <v>43625.9985416667</v>
      </c>
      <c r="K362" s="48" t="s">
        <v>1331</v>
      </c>
      <c r="M362" s="48" t="s">
        <v>635</v>
      </c>
      <c r="O362" s="48">
        <v>1</v>
      </c>
      <c r="P362" s="48">
        <v>0</v>
      </c>
      <c r="Q362" s="48" t="s">
        <v>51</v>
      </c>
      <c r="R362" s="51">
        <v>43625.9989236111</v>
      </c>
    </row>
    <row r="363" s="48" customFormat="1" hidden="1" spans="1:18">
      <c r="A363" s="55" t="str">
        <f>VLOOKUP(B363,[1]天猫!$B$3:$H$258,1,FALSE)</f>
        <v>479467200697869958</v>
      </c>
      <c r="B363" s="48" t="str">
        <f>"479467200697869958"</f>
        <v>479467200697869958</v>
      </c>
      <c r="C363" s="48" t="s">
        <v>1794</v>
      </c>
      <c r="D363" s="48">
        <v>1663.2</v>
      </c>
      <c r="E363" s="48" t="s">
        <v>53</v>
      </c>
      <c r="F363" s="48" t="s">
        <v>1795</v>
      </c>
      <c r="G363" s="48" t="s">
        <v>1796</v>
      </c>
      <c r="H363" s="48" t="s">
        <v>1797</v>
      </c>
      <c r="I363" s="51">
        <v>43625.8891782407</v>
      </c>
      <c r="J363" s="51">
        <v>43625.8893055556</v>
      </c>
      <c r="K363" s="48" t="s">
        <v>1357</v>
      </c>
      <c r="L363" s="48" t="s">
        <v>1798</v>
      </c>
      <c r="M363" s="48" t="s">
        <v>49</v>
      </c>
      <c r="O363" s="48">
        <v>1</v>
      </c>
      <c r="P363" s="48">
        <v>0</v>
      </c>
      <c r="Q363" s="48" t="s">
        <v>51</v>
      </c>
      <c r="R363" s="51">
        <v>43636.5977199074</v>
      </c>
    </row>
    <row r="364" s="56" customFormat="1" spans="1:18">
      <c r="A364" s="55" t="e">
        <f>VLOOKUP(B364,[1]天猫!$B$3:$H$258,1,FALSE)</f>
        <v>#N/A</v>
      </c>
      <c r="B364" s="56" t="str">
        <f>"283431111745763799"</f>
        <v>283431111745763799</v>
      </c>
      <c r="C364" s="56" t="s">
        <v>1799</v>
      </c>
      <c r="D364" s="56">
        <v>555.44</v>
      </c>
      <c r="E364" s="56" t="s">
        <v>53</v>
      </c>
      <c r="F364" s="56" t="s">
        <v>1800</v>
      </c>
      <c r="G364" s="56" t="s">
        <v>1801</v>
      </c>
      <c r="H364" s="56" t="s">
        <v>1802</v>
      </c>
      <c r="I364" s="59">
        <v>43625.8823611111</v>
      </c>
      <c r="J364" s="59">
        <v>43625.8835648148</v>
      </c>
      <c r="K364" s="56" t="s">
        <v>1351</v>
      </c>
      <c r="L364" s="56" t="s">
        <v>1803</v>
      </c>
      <c r="M364" s="56" t="s">
        <v>49</v>
      </c>
      <c r="N364" s="56" t="s">
        <v>1804</v>
      </c>
      <c r="O364" s="56">
        <v>1</v>
      </c>
      <c r="P364" s="56">
        <v>0</v>
      </c>
      <c r="Q364" s="56" t="s">
        <v>51</v>
      </c>
      <c r="R364" s="59">
        <v>43636.6286458333</v>
      </c>
    </row>
    <row r="365" s="56" customFormat="1" spans="1:18">
      <c r="A365" s="55" t="e">
        <f>VLOOKUP(B365,[1]天猫!$B$3:$H$258,1,FALSE)</f>
        <v>#N/A</v>
      </c>
      <c r="B365" s="56" t="str">
        <f>"480186499823673381"</f>
        <v>480186499823673381</v>
      </c>
      <c r="C365" s="56" t="s">
        <v>1805</v>
      </c>
      <c r="D365" s="56">
        <v>729.4</v>
      </c>
      <c r="E365" s="56" t="s">
        <v>53</v>
      </c>
      <c r="F365" s="56" t="s">
        <v>1806</v>
      </c>
      <c r="G365" s="56" t="s">
        <v>1807</v>
      </c>
      <c r="H365" s="56" t="s">
        <v>1808</v>
      </c>
      <c r="I365" s="59">
        <v>43625.7774421296</v>
      </c>
      <c r="J365" s="59">
        <v>43625.7779166667</v>
      </c>
      <c r="K365" s="56" t="s">
        <v>790</v>
      </c>
      <c r="L365" s="56" t="s">
        <v>1809</v>
      </c>
      <c r="M365" s="56" t="s">
        <v>49</v>
      </c>
      <c r="N365" s="56" t="s">
        <v>1810</v>
      </c>
      <c r="O365" s="56">
        <v>1</v>
      </c>
      <c r="P365" s="56">
        <v>0</v>
      </c>
      <c r="Q365" s="56" t="s">
        <v>51</v>
      </c>
      <c r="R365" s="59">
        <v>43628.7721296296</v>
      </c>
    </row>
    <row r="366" s="55" customFormat="1" spans="1:18">
      <c r="A366" s="55" t="e">
        <f>VLOOKUP(B366,[1]天猫!$B$3:$H$258,1,FALSE)</f>
        <v>#N/A</v>
      </c>
      <c r="B366" s="55" t="str">
        <f>"479756770876038140"</f>
        <v>479756770876038140</v>
      </c>
      <c r="C366" s="55" t="s">
        <v>1811</v>
      </c>
      <c r="D366" s="55">
        <v>674.1</v>
      </c>
      <c r="E366" s="55" t="s">
        <v>53</v>
      </c>
      <c r="F366" s="55" t="s">
        <v>1812</v>
      </c>
      <c r="G366" s="55" t="s">
        <v>1813</v>
      </c>
      <c r="H366" s="55" t="s">
        <v>1814</v>
      </c>
      <c r="I366" s="58">
        <v>43625.6986574074</v>
      </c>
      <c r="J366" s="58">
        <v>43625.69875</v>
      </c>
      <c r="K366" s="55" t="s">
        <v>790</v>
      </c>
      <c r="L366" s="55" t="s">
        <v>1815</v>
      </c>
      <c r="M366" s="55" t="s">
        <v>49</v>
      </c>
      <c r="N366" s="55" t="s">
        <v>1816</v>
      </c>
      <c r="O366" s="55">
        <v>1</v>
      </c>
      <c r="P366" s="55">
        <v>0</v>
      </c>
      <c r="Q366" s="55" t="s">
        <v>51</v>
      </c>
      <c r="R366" s="58">
        <v>43635.7106365741</v>
      </c>
    </row>
    <row r="367" s="48" customFormat="1" spans="1:18">
      <c r="A367" s="55" t="e">
        <f>VLOOKUP(B367,[1]天猫!$B$3:$H$258,1,FALSE)</f>
        <v>#N/A</v>
      </c>
      <c r="B367" s="48" t="str">
        <f>"479278049630023518"</f>
        <v>479278049630023518</v>
      </c>
      <c r="C367" s="48" t="s">
        <v>1817</v>
      </c>
      <c r="D367" s="48">
        <v>1</v>
      </c>
      <c r="E367" s="48" t="s">
        <v>53</v>
      </c>
      <c r="F367" s="48" t="s">
        <v>1818</v>
      </c>
      <c r="G367" s="48" t="s">
        <v>1819</v>
      </c>
      <c r="H367" s="48" t="s">
        <v>1820</v>
      </c>
      <c r="I367" s="51">
        <v>43625.6201157407</v>
      </c>
      <c r="J367" s="51">
        <v>43625.620150463</v>
      </c>
      <c r="K367" s="48" t="s">
        <v>1331</v>
      </c>
      <c r="M367" s="48" t="s">
        <v>635</v>
      </c>
      <c r="O367" s="48">
        <v>1</v>
      </c>
      <c r="P367" s="48">
        <v>0</v>
      </c>
      <c r="Q367" s="48" t="s">
        <v>51</v>
      </c>
      <c r="R367" s="51">
        <v>43625.6205208333</v>
      </c>
    </row>
    <row r="368" s="48" customFormat="1" hidden="1" spans="1:18">
      <c r="A368" s="55" t="str">
        <f>VLOOKUP(B368,[1]天猫!$B$3:$H$258,1,FALSE)</f>
        <v>305292046062405201</v>
      </c>
      <c r="B368" s="48" t="str">
        <f>"305292046062405201"</f>
        <v>305292046062405201</v>
      </c>
      <c r="C368" s="48" t="s">
        <v>1821</v>
      </c>
      <c r="D368" s="48">
        <v>2788</v>
      </c>
      <c r="E368" s="48" t="s">
        <v>53</v>
      </c>
      <c r="F368" s="48" t="s">
        <v>1822</v>
      </c>
      <c r="G368" s="48" t="s">
        <v>1823</v>
      </c>
      <c r="H368" s="48" t="s">
        <v>1824</v>
      </c>
      <c r="I368" s="51">
        <v>43625.5900115741</v>
      </c>
      <c r="J368" s="51">
        <v>43625.5972337963</v>
      </c>
      <c r="K368" s="48" t="s">
        <v>75</v>
      </c>
      <c r="L368" s="48" t="s">
        <v>1825</v>
      </c>
      <c r="M368" s="48" t="s">
        <v>49</v>
      </c>
      <c r="O368" s="48">
        <v>3</v>
      </c>
      <c r="P368" s="48">
        <v>0</v>
      </c>
      <c r="Q368" s="48" t="s">
        <v>51</v>
      </c>
      <c r="R368" s="51">
        <v>43633.7350347222</v>
      </c>
    </row>
    <row r="369" s="48" customFormat="1" spans="1:18">
      <c r="A369" s="55" t="e">
        <f>VLOOKUP(B369,[1]天猫!$B$3:$H$258,1,FALSE)</f>
        <v>#N/A</v>
      </c>
      <c r="B369" s="48" t="str">
        <f>"305634415001405201"</f>
        <v>305634415001405201</v>
      </c>
      <c r="C369" s="48" t="s">
        <v>1821</v>
      </c>
      <c r="D369" s="48">
        <v>1</v>
      </c>
      <c r="E369" s="48" t="s">
        <v>53</v>
      </c>
      <c r="F369" s="48" t="s">
        <v>1822</v>
      </c>
      <c r="G369" s="48" t="s">
        <v>1823</v>
      </c>
      <c r="H369" s="48" t="s">
        <v>1824</v>
      </c>
      <c r="I369" s="51">
        <v>43625.5874421296</v>
      </c>
      <c r="J369" s="51">
        <v>43625.5875115741</v>
      </c>
      <c r="K369" s="48" t="s">
        <v>1331</v>
      </c>
      <c r="M369" s="48" t="s">
        <v>635</v>
      </c>
      <c r="O369" s="48">
        <v>1</v>
      </c>
      <c r="P369" s="48">
        <v>0</v>
      </c>
      <c r="Q369" s="48" t="s">
        <v>51</v>
      </c>
      <c r="R369" s="51">
        <v>43625.5878935185</v>
      </c>
    </row>
    <row r="370" s="48" customFormat="1" hidden="1" spans="1:18">
      <c r="A370" s="55" t="str">
        <f>VLOOKUP(B370,[1]天猫!$B$3:$H$258,1,FALSE)</f>
        <v>479308962018037038</v>
      </c>
      <c r="B370" s="48" t="str">
        <f>"479308962018037038"</f>
        <v>479308962018037038</v>
      </c>
      <c r="C370" s="48" t="s">
        <v>1826</v>
      </c>
      <c r="D370" s="48">
        <v>1799</v>
      </c>
      <c r="E370" s="48" t="s">
        <v>53</v>
      </c>
      <c r="F370" s="48" t="s">
        <v>1827</v>
      </c>
      <c r="G370" s="48" t="s">
        <v>1828</v>
      </c>
      <c r="H370" s="48" t="s">
        <v>1829</v>
      </c>
      <c r="I370" s="51">
        <v>43625.4755439815</v>
      </c>
      <c r="J370" s="51">
        <v>43625.4818634259</v>
      </c>
      <c r="K370" s="48" t="s">
        <v>57</v>
      </c>
      <c r="L370" s="48" t="s">
        <v>1830</v>
      </c>
      <c r="M370" s="48" t="s">
        <v>49</v>
      </c>
      <c r="O370" s="48">
        <v>3</v>
      </c>
      <c r="P370" s="48">
        <v>0</v>
      </c>
      <c r="Q370" s="48" t="s">
        <v>51</v>
      </c>
      <c r="R370" s="51">
        <v>43635.5937152778</v>
      </c>
    </row>
    <row r="371" s="48" customFormat="1" spans="1:18">
      <c r="A371" s="55" t="e">
        <f>VLOOKUP(B371,[1]天猫!$B$3:$H$258,1,FALSE)</f>
        <v>#N/A</v>
      </c>
      <c r="B371" s="48" t="str">
        <f>"479303202002037038"</f>
        <v>479303202002037038</v>
      </c>
      <c r="C371" s="48" t="s">
        <v>1826</v>
      </c>
      <c r="D371" s="48">
        <v>1</v>
      </c>
      <c r="E371" s="48" t="s">
        <v>53</v>
      </c>
      <c r="F371" s="48" t="s">
        <v>1827</v>
      </c>
      <c r="G371" s="48" t="s">
        <v>1828</v>
      </c>
      <c r="H371" s="48" t="s">
        <v>1829</v>
      </c>
      <c r="I371" s="51">
        <v>43625.4728009259</v>
      </c>
      <c r="J371" s="51">
        <v>43625.4731365741</v>
      </c>
      <c r="K371" s="48" t="s">
        <v>1331</v>
      </c>
      <c r="M371" s="48" t="s">
        <v>635</v>
      </c>
      <c r="O371" s="48">
        <v>1</v>
      </c>
      <c r="P371" s="48">
        <v>0</v>
      </c>
      <c r="Q371" s="48" t="s">
        <v>51</v>
      </c>
      <c r="R371" s="51">
        <v>43625.4734606482</v>
      </c>
    </row>
    <row r="372" s="55" customFormat="1" spans="1:18">
      <c r="A372" s="55" t="e">
        <f>VLOOKUP(B372,[1]天猫!$B$3:$H$258,1,FALSE)</f>
        <v>#N/A</v>
      </c>
      <c r="B372" s="55" t="str">
        <f>"305611663843590706"</f>
        <v>305611663843590706</v>
      </c>
      <c r="C372" s="55" t="s">
        <v>1831</v>
      </c>
      <c r="D372" s="55">
        <v>1888</v>
      </c>
      <c r="E372" s="55" t="s">
        <v>53</v>
      </c>
      <c r="F372" s="55" t="s">
        <v>1832</v>
      </c>
      <c r="G372" s="55" t="s">
        <v>1833</v>
      </c>
      <c r="H372" s="55" t="s">
        <v>1834</v>
      </c>
      <c r="I372" s="58">
        <v>43625.4647916667</v>
      </c>
      <c r="J372" s="58">
        <v>43625.4667824074</v>
      </c>
      <c r="K372" s="55" t="s">
        <v>57</v>
      </c>
      <c r="L372" s="55" t="s">
        <v>1835</v>
      </c>
      <c r="M372" s="55" t="s">
        <v>49</v>
      </c>
      <c r="N372" s="55" t="s">
        <v>1836</v>
      </c>
      <c r="O372" s="55">
        <v>3</v>
      </c>
      <c r="P372" s="55">
        <v>0</v>
      </c>
      <c r="Q372" s="55" t="s">
        <v>51</v>
      </c>
      <c r="R372" s="58">
        <v>43629.7187615741</v>
      </c>
    </row>
    <row r="373" s="48" customFormat="1" spans="1:18">
      <c r="A373" s="55" t="e">
        <f>VLOOKUP(B373,[1]天猫!$B$3:$H$258,1,FALSE)</f>
        <v>#N/A</v>
      </c>
      <c r="B373" s="48" t="str">
        <f>"305608399562590706"</f>
        <v>305608399562590706</v>
      </c>
      <c r="C373" s="48" t="s">
        <v>1831</v>
      </c>
      <c r="D373" s="48">
        <v>1</v>
      </c>
      <c r="E373" s="48" t="s">
        <v>53</v>
      </c>
      <c r="F373" s="48" t="s">
        <v>1832</v>
      </c>
      <c r="G373" s="48" t="s">
        <v>1833</v>
      </c>
      <c r="H373" s="48" t="s">
        <v>1834</v>
      </c>
      <c r="I373" s="51">
        <v>43625.4477199074</v>
      </c>
      <c r="J373" s="51">
        <v>43625.4477662037</v>
      </c>
      <c r="K373" s="48" t="s">
        <v>1331</v>
      </c>
      <c r="M373" s="48" t="s">
        <v>635</v>
      </c>
      <c r="O373" s="48">
        <v>1</v>
      </c>
      <c r="P373" s="48">
        <v>0</v>
      </c>
      <c r="Q373" s="48" t="s">
        <v>51</v>
      </c>
      <c r="R373" s="51">
        <v>43625.4481365741</v>
      </c>
    </row>
    <row r="374" s="48" customFormat="1" hidden="1" spans="1:18">
      <c r="A374" s="55" t="str">
        <f>VLOOKUP(B374,[1]天猫!$B$3:$H$258,1,FALSE)</f>
        <v>283359943898419897</v>
      </c>
      <c r="B374" s="48" t="str">
        <f>"283359943898419897"</f>
        <v>283359943898419897</v>
      </c>
      <c r="C374" s="48" t="s">
        <v>1837</v>
      </c>
      <c r="D374" s="48">
        <v>1799</v>
      </c>
      <c r="E374" s="48" t="s">
        <v>53</v>
      </c>
      <c r="F374" s="48" t="s">
        <v>1838</v>
      </c>
      <c r="G374" s="48" t="s">
        <v>1839</v>
      </c>
      <c r="H374" s="48" t="s">
        <v>1840</v>
      </c>
      <c r="I374" s="51">
        <v>43625.447337963</v>
      </c>
      <c r="J374" s="51">
        <v>43625.4584143519</v>
      </c>
      <c r="K374" s="48" t="s">
        <v>57</v>
      </c>
      <c r="L374" s="48" t="s">
        <v>1841</v>
      </c>
      <c r="M374" s="48" t="s">
        <v>49</v>
      </c>
      <c r="O374" s="48">
        <v>3</v>
      </c>
      <c r="P374" s="48">
        <v>0</v>
      </c>
      <c r="Q374" s="48" t="s">
        <v>51</v>
      </c>
      <c r="R374" s="51">
        <v>43627.8907060185</v>
      </c>
    </row>
    <row r="375" s="48" customFormat="1" spans="1:18">
      <c r="A375" s="55" t="e">
        <f>VLOOKUP(B375,[1]天猫!$B$3:$H$258,1,FALSE)</f>
        <v>#N/A</v>
      </c>
      <c r="B375" s="48" t="str">
        <f>"283202374089419897"</f>
        <v>283202374089419897</v>
      </c>
      <c r="C375" s="48" t="s">
        <v>1837</v>
      </c>
      <c r="D375" s="48">
        <v>1</v>
      </c>
      <c r="E375" s="48" t="s">
        <v>53</v>
      </c>
      <c r="F375" s="48" t="s">
        <v>1838</v>
      </c>
      <c r="G375" s="48" t="s">
        <v>1839</v>
      </c>
      <c r="H375" s="48" t="s">
        <v>1840</v>
      </c>
      <c r="I375" s="51">
        <v>43625.4401967593</v>
      </c>
      <c r="J375" s="51">
        <v>43625.4402546296</v>
      </c>
      <c r="K375" s="48" t="s">
        <v>1331</v>
      </c>
      <c r="M375" s="48" t="s">
        <v>635</v>
      </c>
      <c r="O375" s="48">
        <v>1</v>
      </c>
      <c r="P375" s="48">
        <v>0</v>
      </c>
      <c r="Q375" s="48" t="s">
        <v>51</v>
      </c>
      <c r="R375" s="51">
        <v>43625.4406018518</v>
      </c>
    </row>
    <row r="376" s="55" customFormat="1" spans="1:18">
      <c r="A376" s="55" t="e">
        <f>VLOOKUP(B376,[1]天猫!$B$3:$H$258,1,FALSE)</f>
        <v>#N/A</v>
      </c>
      <c r="B376" s="55" t="str">
        <f>"283184326502228496"</f>
        <v>283184326502228496</v>
      </c>
      <c r="C376" s="55" t="s">
        <v>1842</v>
      </c>
      <c r="D376" s="55">
        <v>3999</v>
      </c>
      <c r="E376" s="55" t="s">
        <v>53</v>
      </c>
      <c r="F376" s="55" t="s">
        <v>1843</v>
      </c>
      <c r="G376" s="55" t="s">
        <v>1844</v>
      </c>
      <c r="H376" s="55" t="s">
        <v>1845</v>
      </c>
      <c r="I376" s="58">
        <v>43625.2594212963</v>
      </c>
      <c r="J376" s="58">
        <v>43625.2595833333</v>
      </c>
      <c r="K376" s="55" t="s">
        <v>69</v>
      </c>
      <c r="L376" s="55" t="s">
        <v>1846</v>
      </c>
      <c r="M376" s="55" t="s">
        <v>49</v>
      </c>
      <c r="N376" s="55" t="s">
        <v>1847</v>
      </c>
      <c r="O376" s="55">
        <v>1</v>
      </c>
      <c r="P376" s="55">
        <v>0</v>
      </c>
      <c r="Q376" s="55" t="s">
        <v>51</v>
      </c>
      <c r="R376" s="58">
        <v>43627.7473958333</v>
      </c>
    </row>
    <row r="377" s="48" customFormat="1" spans="1:18">
      <c r="A377" s="55" t="e">
        <f>VLOOKUP(B377,[1]天猫!$B$3:$H$258,1,FALSE)</f>
        <v>#N/A</v>
      </c>
      <c r="B377" s="48" t="str">
        <f>"283176934154165593"</f>
        <v>283176934154165593</v>
      </c>
      <c r="C377" s="48" t="s">
        <v>1848</v>
      </c>
      <c r="D377" s="48">
        <v>1</v>
      </c>
      <c r="E377" s="48" t="s">
        <v>53</v>
      </c>
      <c r="F377" s="48" t="s">
        <v>1849</v>
      </c>
      <c r="G377" s="48" t="s">
        <v>1850</v>
      </c>
      <c r="H377" s="48" t="s">
        <v>1851</v>
      </c>
      <c r="I377" s="51">
        <v>43625.0010185185</v>
      </c>
      <c r="J377" s="51">
        <v>43625.0010648148</v>
      </c>
      <c r="K377" s="48" t="s">
        <v>1331</v>
      </c>
      <c r="M377" s="48" t="s">
        <v>635</v>
      </c>
      <c r="O377" s="48">
        <v>1</v>
      </c>
      <c r="P377" s="48">
        <v>0</v>
      </c>
      <c r="Q377" s="48" t="s">
        <v>51</v>
      </c>
      <c r="R377" s="51">
        <v>43625.0013888889</v>
      </c>
    </row>
    <row r="378" s="56" customFormat="1" spans="1:18">
      <c r="A378" s="55" t="e">
        <f>VLOOKUP(B378,[1]天猫!$B$3:$H$258,1,FALSE)</f>
        <v>#N/A</v>
      </c>
      <c r="B378" s="56" t="str">
        <f>"478782626424115665"</f>
        <v>478782626424115665</v>
      </c>
      <c r="C378" s="56" t="s">
        <v>1852</v>
      </c>
      <c r="D378" s="56">
        <v>1069.2</v>
      </c>
      <c r="E378" s="56" t="s">
        <v>53</v>
      </c>
      <c r="F378" s="56" t="s">
        <v>1853</v>
      </c>
      <c r="G378" s="56" t="s">
        <v>1854</v>
      </c>
      <c r="H378" s="56" t="s">
        <v>1855</v>
      </c>
      <c r="I378" s="59">
        <v>43624.8989814815</v>
      </c>
      <c r="J378" s="59">
        <v>43624.8990625</v>
      </c>
      <c r="K378" s="56" t="s">
        <v>1856</v>
      </c>
      <c r="L378" s="56" t="s">
        <v>1857</v>
      </c>
      <c r="M378" s="56" t="s">
        <v>49</v>
      </c>
      <c r="N378" s="56" t="s">
        <v>815</v>
      </c>
      <c r="O378" s="56">
        <v>1</v>
      </c>
      <c r="P378" s="56">
        <v>0</v>
      </c>
      <c r="Q378" s="56" t="s">
        <v>51</v>
      </c>
      <c r="R378" s="59">
        <v>43635.7105902778</v>
      </c>
    </row>
    <row r="379" s="48" customFormat="1" spans="1:18">
      <c r="A379" s="55" t="e">
        <f>VLOOKUP(B379,[1]天猫!$B$3:$H$258,1,FALSE)</f>
        <v>#N/A</v>
      </c>
      <c r="B379" s="48" t="str">
        <f>"478664386610766269"</f>
        <v>478664386610766269</v>
      </c>
      <c r="C379" s="48" t="s">
        <v>1858</v>
      </c>
      <c r="D379" s="48">
        <v>1</v>
      </c>
      <c r="E379" s="48" t="s">
        <v>53</v>
      </c>
      <c r="F379" s="48" t="s">
        <v>1859</v>
      </c>
      <c r="G379" s="48" t="s">
        <v>1860</v>
      </c>
      <c r="H379" s="48" t="s">
        <v>1861</v>
      </c>
      <c r="I379" s="51">
        <v>43624.8423611111</v>
      </c>
      <c r="J379" s="51">
        <v>43624.8425115741</v>
      </c>
      <c r="K379" s="48" t="s">
        <v>1331</v>
      </c>
      <c r="M379" s="48" t="s">
        <v>635</v>
      </c>
      <c r="O379" s="48">
        <v>1</v>
      </c>
      <c r="P379" s="48">
        <v>0</v>
      </c>
      <c r="Q379" s="48" t="s">
        <v>51</v>
      </c>
      <c r="R379" s="51">
        <v>43624.8428472222</v>
      </c>
    </row>
    <row r="380" s="48" customFormat="1" spans="1:18">
      <c r="A380" s="55" t="e">
        <f>VLOOKUP(B380,[1]天猫!$B$3:$H$258,1,FALSE)</f>
        <v>#N/A</v>
      </c>
      <c r="B380" s="48" t="str">
        <f>"305210894561186903"</f>
        <v>305210894561186903</v>
      </c>
      <c r="C380" s="48" t="s">
        <v>1862</v>
      </c>
      <c r="D380" s="48">
        <v>1</v>
      </c>
      <c r="E380" s="48" t="s">
        <v>53</v>
      </c>
      <c r="F380" s="48" t="s">
        <v>1863</v>
      </c>
      <c r="G380" s="48" t="s">
        <v>1864</v>
      </c>
      <c r="H380" s="48" t="s">
        <v>1865</v>
      </c>
      <c r="I380" s="51">
        <v>43624.8120833333</v>
      </c>
      <c r="J380" s="51">
        <v>43624.8121296296</v>
      </c>
      <c r="K380" s="48" t="s">
        <v>1331</v>
      </c>
      <c r="M380" s="48" t="s">
        <v>635</v>
      </c>
      <c r="O380" s="48">
        <v>1</v>
      </c>
      <c r="P380" s="48">
        <v>0</v>
      </c>
      <c r="Q380" s="48" t="s">
        <v>51</v>
      </c>
      <c r="R380" s="51">
        <v>43624.8125</v>
      </c>
    </row>
    <row r="381" s="56" customFormat="1" spans="1:18">
      <c r="A381" s="55" t="e">
        <f>VLOOKUP(B381,[1]天猫!$B$3:$H$258,1,FALSE)</f>
        <v>#N/A</v>
      </c>
      <c r="B381" s="56" t="str">
        <f>"477837600771519366"</f>
        <v>477837600771519366</v>
      </c>
      <c r="C381" s="56" t="s">
        <v>1866</v>
      </c>
      <c r="D381" s="56">
        <v>1799</v>
      </c>
      <c r="E381" s="56" t="s">
        <v>53</v>
      </c>
      <c r="F381" s="56" t="s">
        <v>1867</v>
      </c>
      <c r="G381" s="56" t="s">
        <v>1868</v>
      </c>
      <c r="H381" s="56" t="s">
        <v>1869</v>
      </c>
      <c r="I381" s="59">
        <v>43624.7499305556</v>
      </c>
      <c r="J381" s="59">
        <v>43624.7516435185</v>
      </c>
      <c r="K381" s="56" t="s">
        <v>57</v>
      </c>
      <c r="L381" s="56" t="s">
        <v>1870</v>
      </c>
      <c r="M381" s="56" t="s">
        <v>49</v>
      </c>
      <c r="N381" s="56" t="s">
        <v>1871</v>
      </c>
      <c r="O381" s="56">
        <v>3</v>
      </c>
      <c r="P381" s="56">
        <v>0</v>
      </c>
      <c r="Q381" s="56" t="s">
        <v>51</v>
      </c>
      <c r="R381" s="59">
        <v>43628.5715740741</v>
      </c>
    </row>
    <row r="382" s="48" customFormat="1" hidden="1" spans="1:18">
      <c r="A382" s="55" t="str">
        <f>VLOOKUP(B382,[1]天猫!$B$3:$H$258,1,FALSE)</f>
        <v>478490530913615060</v>
      </c>
      <c r="B382" s="48" t="str">
        <f>"478490530913615060"</f>
        <v>478490530913615060</v>
      </c>
      <c r="C382" s="48" t="s">
        <v>1872</v>
      </c>
      <c r="D382" s="48">
        <v>1799</v>
      </c>
      <c r="E382" s="48" t="s">
        <v>53</v>
      </c>
      <c r="F382" s="48" t="s">
        <v>1873</v>
      </c>
      <c r="G382" s="48" t="s">
        <v>1874</v>
      </c>
      <c r="H382" s="48" t="s">
        <v>1875</v>
      </c>
      <c r="I382" s="51">
        <v>43624.7441550926</v>
      </c>
      <c r="J382" s="51">
        <v>43624.7497916667</v>
      </c>
      <c r="K382" s="48" t="s">
        <v>1876</v>
      </c>
      <c r="L382" s="48" t="s">
        <v>1877</v>
      </c>
      <c r="M382" s="48" t="s">
        <v>49</v>
      </c>
      <c r="O382" s="48">
        <v>3</v>
      </c>
      <c r="P382" s="48">
        <v>0</v>
      </c>
      <c r="Q382" s="48" t="s">
        <v>51</v>
      </c>
      <c r="R382" s="51">
        <v>43628.8361458333</v>
      </c>
    </row>
    <row r="383" s="48" customFormat="1" spans="1:18">
      <c r="A383" s="55" t="e">
        <f>VLOOKUP(B383,[1]天猫!$B$3:$H$258,1,FALSE)</f>
        <v>#N/A</v>
      </c>
      <c r="B383" s="48" t="str">
        <f>"477816480013615060"</f>
        <v>477816480013615060</v>
      </c>
      <c r="C383" s="48" t="s">
        <v>1872</v>
      </c>
      <c r="D383" s="48">
        <v>1</v>
      </c>
      <c r="E383" s="48" t="s">
        <v>53</v>
      </c>
      <c r="F383" s="48" t="s">
        <v>1873</v>
      </c>
      <c r="G383" s="48" t="s">
        <v>1874</v>
      </c>
      <c r="H383" s="48" t="s">
        <v>1875</v>
      </c>
      <c r="I383" s="51">
        <v>43624.7370949074</v>
      </c>
      <c r="J383" s="51">
        <v>43624.7372222222</v>
      </c>
      <c r="K383" s="48" t="s">
        <v>1331</v>
      </c>
      <c r="M383" s="48" t="s">
        <v>635</v>
      </c>
      <c r="O383" s="48">
        <v>1</v>
      </c>
      <c r="P383" s="48">
        <v>0</v>
      </c>
      <c r="Q383" s="48" t="s">
        <v>51</v>
      </c>
      <c r="R383" s="51">
        <v>43624.7376273148</v>
      </c>
    </row>
    <row r="384" s="48" customFormat="1" hidden="1" spans="1:18">
      <c r="A384" s="55" t="str">
        <f>VLOOKUP(B384,[1]天猫!$B$3:$H$258,1,FALSE)</f>
        <v>477797728889136142</v>
      </c>
      <c r="B384" s="48" t="str">
        <f>"477797728889136142"</f>
        <v>477797728889136142</v>
      </c>
      <c r="C384" s="48" t="s">
        <v>1878</v>
      </c>
      <c r="D384" s="48">
        <v>3166</v>
      </c>
      <c r="E384" s="48" t="s">
        <v>53</v>
      </c>
      <c r="F384" s="48" t="s">
        <v>1879</v>
      </c>
      <c r="G384" s="48" t="s">
        <v>1880</v>
      </c>
      <c r="H384" s="48" t="s">
        <v>1881</v>
      </c>
      <c r="I384" s="51">
        <v>43624.7314814815</v>
      </c>
      <c r="J384" s="51">
        <v>43624.7436458333</v>
      </c>
      <c r="K384" s="48" t="s">
        <v>75</v>
      </c>
      <c r="L384" s="48" t="s">
        <v>1882</v>
      </c>
      <c r="M384" s="48" t="s">
        <v>49</v>
      </c>
      <c r="O384" s="48">
        <v>3</v>
      </c>
      <c r="P384" s="48">
        <v>0</v>
      </c>
      <c r="Q384" s="48" t="s">
        <v>51</v>
      </c>
      <c r="R384" s="51">
        <v>43629.4311689815</v>
      </c>
    </row>
    <row r="385" s="56" customFormat="1" spans="1:18">
      <c r="A385" s="55" t="e">
        <f>VLOOKUP(B385,[1]天猫!$B$3:$H$258,1,FALSE)</f>
        <v>#N/A</v>
      </c>
      <c r="B385" s="56" t="str">
        <f>"478462498625620052"</f>
        <v>478462498625620052</v>
      </c>
      <c r="C385" s="56" t="s">
        <v>1883</v>
      </c>
      <c r="D385" s="56">
        <v>499.84</v>
      </c>
      <c r="E385" s="56" t="s">
        <v>53</v>
      </c>
      <c r="F385" s="56" t="s">
        <v>1884</v>
      </c>
      <c r="G385" s="56" t="s">
        <v>1885</v>
      </c>
      <c r="H385" s="56" t="s">
        <v>1886</v>
      </c>
      <c r="I385" s="59">
        <v>43624.7292592593</v>
      </c>
      <c r="J385" s="59">
        <v>43624.73</v>
      </c>
      <c r="K385" s="56" t="s">
        <v>1351</v>
      </c>
      <c r="L385" s="56" t="s">
        <v>1887</v>
      </c>
      <c r="M385" s="56" t="s">
        <v>49</v>
      </c>
      <c r="N385" s="56" t="s">
        <v>1888</v>
      </c>
      <c r="O385" s="56">
        <v>1</v>
      </c>
      <c r="P385" s="56">
        <v>0</v>
      </c>
      <c r="Q385" s="56" t="s">
        <v>51</v>
      </c>
      <c r="R385" s="59">
        <v>43632.4155555556</v>
      </c>
    </row>
    <row r="386" s="48" customFormat="1" spans="1:18">
      <c r="A386" s="55" t="e">
        <f>VLOOKUP(B386,[1]天猫!$B$3:$H$258,1,FALSE)</f>
        <v>#N/A</v>
      </c>
      <c r="B386" s="48" t="str">
        <f>"478737859881136142"</f>
        <v>478737859881136142</v>
      </c>
      <c r="C386" s="48" t="s">
        <v>1878</v>
      </c>
      <c r="D386" s="48">
        <v>1</v>
      </c>
      <c r="E386" s="48" t="s">
        <v>53</v>
      </c>
      <c r="F386" s="48" t="s">
        <v>1879</v>
      </c>
      <c r="G386" s="48" t="s">
        <v>1880</v>
      </c>
      <c r="H386" s="48" t="s">
        <v>1881</v>
      </c>
      <c r="I386" s="51">
        <v>43624.727662037</v>
      </c>
      <c r="J386" s="51">
        <v>43624.7280902778</v>
      </c>
      <c r="K386" s="48" t="s">
        <v>1331</v>
      </c>
      <c r="M386" s="48" t="s">
        <v>635</v>
      </c>
      <c r="O386" s="48">
        <v>1</v>
      </c>
      <c r="P386" s="48">
        <v>0</v>
      </c>
      <c r="Q386" s="48" t="s">
        <v>51</v>
      </c>
      <c r="R386" s="51">
        <v>43624.7284259259</v>
      </c>
    </row>
    <row r="387" s="48" customFormat="1" spans="1:18">
      <c r="A387" s="55" t="e">
        <f>VLOOKUP(B387,[1]天猫!$B$3:$H$258,1,FALSE)</f>
        <v>#N/A</v>
      </c>
      <c r="B387" s="48" t="str">
        <f>"478423970751278115"</f>
        <v>478423970751278115</v>
      </c>
      <c r="C387" s="48" t="s">
        <v>1279</v>
      </c>
      <c r="D387" s="48">
        <v>1</v>
      </c>
      <c r="E387" s="48" t="s">
        <v>53</v>
      </c>
      <c r="F387" s="48" t="s">
        <v>1280</v>
      </c>
      <c r="G387" s="48" t="s">
        <v>1889</v>
      </c>
      <c r="H387" s="48" t="s">
        <v>1282</v>
      </c>
      <c r="I387" s="51">
        <v>43624.7108449074</v>
      </c>
      <c r="J387" s="51">
        <v>43624.7108796296</v>
      </c>
      <c r="K387" s="48" t="s">
        <v>1331</v>
      </c>
      <c r="M387" s="48" t="s">
        <v>635</v>
      </c>
      <c r="N387" s="48" t="s">
        <v>699</v>
      </c>
      <c r="O387" s="48">
        <v>1</v>
      </c>
      <c r="P387" s="48">
        <v>0</v>
      </c>
      <c r="Q387" s="48" t="s">
        <v>51</v>
      </c>
      <c r="R387" s="51">
        <v>43624.7112268519</v>
      </c>
    </row>
    <row r="388" s="55" customFormat="1" spans="1:18">
      <c r="A388" s="55" t="e">
        <f>VLOOKUP(B388,[1]天猫!$B$3:$H$258,1,FALSE)</f>
        <v>#N/A</v>
      </c>
      <c r="B388" s="55" t="str">
        <f>"283113446273688896"</f>
        <v>283113446273688896</v>
      </c>
      <c r="C388" s="55" t="s">
        <v>1632</v>
      </c>
      <c r="D388" s="55">
        <v>1</v>
      </c>
      <c r="E388" s="55" t="s">
        <v>53</v>
      </c>
      <c r="F388" s="55" t="s">
        <v>1633</v>
      </c>
      <c r="G388" s="55" t="s">
        <v>1634</v>
      </c>
      <c r="H388" s="55" t="s">
        <v>1635</v>
      </c>
      <c r="I388" s="58">
        <v>43624.5862847222</v>
      </c>
      <c r="J388" s="58">
        <v>43624.5896180556</v>
      </c>
      <c r="K388" s="55" t="s">
        <v>1331</v>
      </c>
      <c r="M388" s="55" t="s">
        <v>635</v>
      </c>
      <c r="N388" s="55" t="s">
        <v>1099</v>
      </c>
      <c r="O388" s="55">
        <v>1</v>
      </c>
      <c r="P388" s="55">
        <v>0</v>
      </c>
      <c r="Q388" s="55" t="s">
        <v>51</v>
      </c>
      <c r="R388" s="58">
        <v>43624.59</v>
      </c>
    </row>
    <row r="389" s="55" customFormat="1" spans="1:18">
      <c r="A389" s="55" t="e">
        <f>VLOOKUP(B389,[1]天猫!$B$3:$H$258,1,FALSE)</f>
        <v>#N/A</v>
      </c>
      <c r="B389" s="55" t="str">
        <f>"478367875994862221"</f>
        <v>478367875994862221</v>
      </c>
      <c r="C389" s="55" t="s">
        <v>1890</v>
      </c>
      <c r="D389" s="55">
        <v>1799</v>
      </c>
      <c r="E389" s="55" t="s">
        <v>53</v>
      </c>
      <c r="F389" s="55" t="s">
        <v>1891</v>
      </c>
      <c r="G389" s="55" t="s">
        <v>1892</v>
      </c>
      <c r="H389" s="55" t="s">
        <v>1893</v>
      </c>
      <c r="I389" s="58">
        <v>43624.5431597222</v>
      </c>
      <c r="J389" s="58">
        <v>43624.5432407407</v>
      </c>
      <c r="K389" s="55" t="s">
        <v>57</v>
      </c>
      <c r="L389" s="55" t="s">
        <v>1894</v>
      </c>
      <c r="M389" s="55" t="s">
        <v>49</v>
      </c>
      <c r="N389" s="55" t="s">
        <v>1895</v>
      </c>
      <c r="O389" s="55">
        <v>3</v>
      </c>
      <c r="P389" s="55">
        <v>0</v>
      </c>
      <c r="Q389" s="55" t="s">
        <v>51</v>
      </c>
      <c r="R389" s="58">
        <v>43627.6794560185</v>
      </c>
    </row>
    <row r="390" s="55" customFormat="1" spans="1:18">
      <c r="A390" s="55" t="e">
        <f>VLOOKUP(B390,[1]天猫!$B$3:$H$258,1,FALSE)</f>
        <v>#N/A</v>
      </c>
      <c r="B390" s="55" t="str">
        <f>"478091138147862221"</f>
        <v>478091138147862221</v>
      </c>
      <c r="C390" s="55" t="s">
        <v>1890</v>
      </c>
      <c r="D390" s="55">
        <v>1</v>
      </c>
      <c r="E390" s="55" t="s">
        <v>53</v>
      </c>
      <c r="F390" s="55" t="s">
        <v>1891</v>
      </c>
      <c r="G390" s="55" t="s">
        <v>1892</v>
      </c>
      <c r="H390" s="55" t="s">
        <v>1893</v>
      </c>
      <c r="I390" s="58">
        <v>43624.5407986111</v>
      </c>
      <c r="J390" s="58">
        <v>43624.5408912037</v>
      </c>
      <c r="K390" s="55" t="s">
        <v>1331</v>
      </c>
      <c r="M390" s="55" t="s">
        <v>635</v>
      </c>
      <c r="N390" s="55" t="s">
        <v>1099</v>
      </c>
      <c r="O390" s="55">
        <v>1</v>
      </c>
      <c r="P390" s="55">
        <v>0</v>
      </c>
      <c r="Q390" s="55" t="s">
        <v>51</v>
      </c>
      <c r="R390" s="58">
        <v>43624.5412268518</v>
      </c>
    </row>
    <row r="391" s="48" customFormat="1" hidden="1" spans="1:18">
      <c r="A391" s="55" t="str">
        <f>VLOOKUP(B391,[1]天猫!$B$3:$H$258,1,FALSE)</f>
        <v>478330371131935250</v>
      </c>
      <c r="B391" s="48" t="str">
        <f>"478330371131935250"</f>
        <v>478330371131935250</v>
      </c>
      <c r="C391" s="48" t="s">
        <v>1896</v>
      </c>
      <c r="D391" s="48">
        <v>1210.88</v>
      </c>
      <c r="E391" s="48" t="s">
        <v>53</v>
      </c>
      <c r="F391" s="48" t="s">
        <v>1897</v>
      </c>
      <c r="G391" s="48" t="s">
        <v>1898</v>
      </c>
      <c r="H391" s="48" t="s">
        <v>1899</v>
      </c>
      <c r="I391" s="51">
        <v>43624.5187037037</v>
      </c>
      <c r="J391" s="51">
        <v>43624.5243865741</v>
      </c>
      <c r="K391" s="48" t="s">
        <v>1351</v>
      </c>
      <c r="L391" s="48" t="s">
        <v>1900</v>
      </c>
      <c r="M391" s="48" t="s">
        <v>49</v>
      </c>
      <c r="O391" s="48">
        <v>2</v>
      </c>
      <c r="P391" s="48">
        <v>0</v>
      </c>
      <c r="Q391" s="48" t="s">
        <v>51</v>
      </c>
      <c r="R391" s="51">
        <v>43627.3959722222</v>
      </c>
    </row>
    <row r="392" s="48" customFormat="1" hidden="1" spans="1:18">
      <c r="A392" s="55" t="str">
        <f>VLOOKUP(B392,[1]天猫!$B$3:$H$258,1,FALSE)</f>
        <v>478140643028797128</v>
      </c>
      <c r="B392" s="48" t="str">
        <f>"478140643028797128"</f>
        <v>478140643028797128</v>
      </c>
      <c r="C392" s="48" t="s">
        <v>1901</v>
      </c>
      <c r="D392" s="48">
        <v>1799</v>
      </c>
      <c r="E392" s="48" t="s">
        <v>53</v>
      </c>
      <c r="F392" s="48" t="s">
        <v>1902</v>
      </c>
      <c r="G392" s="48" t="s">
        <v>1903</v>
      </c>
      <c r="H392" s="48" t="s">
        <v>1904</v>
      </c>
      <c r="I392" s="51">
        <v>43624.4244212963</v>
      </c>
      <c r="J392" s="51">
        <v>43624.4416782407</v>
      </c>
      <c r="K392" s="48" t="s">
        <v>57</v>
      </c>
      <c r="L392" s="48" t="s">
        <v>1905</v>
      </c>
      <c r="M392" s="48" t="s">
        <v>49</v>
      </c>
      <c r="N392" s="48" t="s">
        <v>1906</v>
      </c>
      <c r="O392" s="48">
        <v>3</v>
      </c>
      <c r="P392" s="48">
        <v>0</v>
      </c>
      <c r="Q392" s="48" t="s">
        <v>51</v>
      </c>
      <c r="R392" s="51">
        <v>43629.9275115741</v>
      </c>
    </row>
    <row r="393" s="48" customFormat="1" spans="1:18">
      <c r="A393" s="55" t="e">
        <f>VLOOKUP(B393,[1]天猫!$B$3:$H$258,1,FALSE)</f>
        <v>#N/A</v>
      </c>
      <c r="B393" s="48" t="str">
        <f>"477536929146797128"</f>
        <v>477536929146797128</v>
      </c>
      <c r="C393" s="48" t="s">
        <v>1901</v>
      </c>
      <c r="D393" s="48">
        <v>1</v>
      </c>
      <c r="E393" s="48" t="s">
        <v>53</v>
      </c>
      <c r="F393" s="48" t="s">
        <v>1902</v>
      </c>
      <c r="G393" s="48" t="s">
        <v>1903</v>
      </c>
      <c r="H393" s="48" t="s">
        <v>1904</v>
      </c>
      <c r="I393" s="51">
        <v>43624.4214699074</v>
      </c>
      <c r="J393" s="51">
        <v>43624.4215393519</v>
      </c>
      <c r="K393" s="48" t="s">
        <v>1331</v>
      </c>
      <c r="M393" s="48" t="s">
        <v>635</v>
      </c>
      <c r="N393" s="48" t="s">
        <v>83</v>
      </c>
      <c r="O393" s="48">
        <v>1</v>
      </c>
      <c r="P393" s="48">
        <v>0</v>
      </c>
      <c r="Q393" s="48" t="s">
        <v>51</v>
      </c>
      <c r="R393" s="51">
        <v>43624.4219444444</v>
      </c>
    </row>
    <row r="394" s="55" customFormat="1" spans="1:18">
      <c r="A394" s="55" t="e">
        <f>VLOOKUP(B394,[1]天猫!$B$3:$H$258,1,FALSE)</f>
        <v>#N/A</v>
      </c>
      <c r="B394" s="55" t="str">
        <f>"477485217361633585"</f>
        <v>477485217361633585</v>
      </c>
      <c r="C394" s="55" t="s">
        <v>1907</v>
      </c>
      <c r="D394" s="55">
        <v>2466</v>
      </c>
      <c r="E394" s="55" t="s">
        <v>53</v>
      </c>
      <c r="F394" s="55" t="s">
        <v>1908</v>
      </c>
      <c r="G394" s="55" t="s">
        <v>1909</v>
      </c>
      <c r="H394" s="55" t="s">
        <v>1910</v>
      </c>
      <c r="I394" s="58">
        <v>43624.3955208333</v>
      </c>
      <c r="J394" s="58">
        <v>43624.3955555556</v>
      </c>
      <c r="K394" s="55" t="s">
        <v>69</v>
      </c>
      <c r="L394" s="55" t="s">
        <v>1911</v>
      </c>
      <c r="M394" s="55" t="s">
        <v>49</v>
      </c>
      <c r="N394" s="55" t="s">
        <v>1912</v>
      </c>
      <c r="O394" s="55">
        <v>1</v>
      </c>
      <c r="P394" s="55">
        <v>0</v>
      </c>
      <c r="Q394" s="55" t="s">
        <v>51</v>
      </c>
      <c r="R394" s="58">
        <v>43634.7540856482</v>
      </c>
    </row>
    <row r="395" s="55" customFormat="1" spans="1:18">
      <c r="A395" s="55" t="e">
        <f>VLOOKUP(B395,[1]天猫!$B$3:$H$258,1,FALSE)</f>
        <v>#N/A</v>
      </c>
      <c r="B395" s="55" t="str">
        <f>"477477793016633585"</f>
        <v>477477793016633585</v>
      </c>
      <c r="C395" s="55" t="s">
        <v>1907</v>
      </c>
      <c r="D395" s="55">
        <v>1</v>
      </c>
      <c r="E395" s="55" t="s">
        <v>53</v>
      </c>
      <c r="F395" s="55" t="s">
        <v>1908</v>
      </c>
      <c r="G395" s="55" t="s">
        <v>1909</v>
      </c>
      <c r="H395" s="55" t="s">
        <v>1910</v>
      </c>
      <c r="I395" s="58">
        <v>43624.3885648148</v>
      </c>
      <c r="J395" s="58">
        <v>43624.388587963</v>
      </c>
      <c r="K395" s="55" t="s">
        <v>1331</v>
      </c>
      <c r="M395" s="55" t="s">
        <v>635</v>
      </c>
      <c r="N395" s="55" t="s">
        <v>1099</v>
      </c>
      <c r="O395" s="55">
        <v>1</v>
      </c>
      <c r="P395" s="55">
        <v>0</v>
      </c>
      <c r="Q395" s="55" t="s">
        <v>51</v>
      </c>
      <c r="R395" s="58">
        <v>43624.388900463</v>
      </c>
    </row>
    <row r="396" s="56" customFormat="1" spans="1:18">
      <c r="A396" s="55" t="e">
        <f>VLOOKUP(B396,[1]天猫!$B$3:$H$258,1,FALSE)</f>
        <v>#N/A</v>
      </c>
      <c r="B396" s="56" t="str">
        <f>"282795076361331099"</f>
        <v>282795076361331099</v>
      </c>
      <c r="C396" s="56" t="s">
        <v>1913</v>
      </c>
      <c r="D396" s="56">
        <v>1799</v>
      </c>
      <c r="E396" s="56" t="s">
        <v>53</v>
      </c>
      <c r="F396" s="56" t="s">
        <v>1914</v>
      </c>
      <c r="G396" s="56" t="s">
        <v>1915</v>
      </c>
      <c r="H396" s="56" t="s">
        <v>1916</v>
      </c>
      <c r="I396" s="59">
        <v>43623.9427083333</v>
      </c>
      <c r="J396" s="59">
        <v>43623.9427777778</v>
      </c>
      <c r="K396" s="56" t="s">
        <v>57</v>
      </c>
      <c r="L396" s="56" t="s">
        <v>1917</v>
      </c>
      <c r="M396" s="56" t="s">
        <v>49</v>
      </c>
      <c r="N396" s="56" t="s">
        <v>1918</v>
      </c>
      <c r="O396" s="56">
        <v>3</v>
      </c>
      <c r="P396" s="56">
        <v>0</v>
      </c>
      <c r="Q396" s="56" t="s">
        <v>51</v>
      </c>
      <c r="R396" s="59">
        <v>43634.7541319444</v>
      </c>
    </row>
    <row r="397" s="48" customFormat="1" spans="1:18">
      <c r="A397" s="55" t="e">
        <f>VLOOKUP(B397,[1]天猫!$B$3:$H$258,1,FALSE)</f>
        <v>#N/A</v>
      </c>
      <c r="B397" s="48" t="str">
        <f>"283215815740331099"</f>
        <v>283215815740331099</v>
      </c>
      <c r="C397" s="48" t="s">
        <v>1913</v>
      </c>
      <c r="D397" s="48">
        <v>1</v>
      </c>
      <c r="E397" s="48" t="s">
        <v>53</v>
      </c>
      <c r="F397" s="48" t="s">
        <v>1914</v>
      </c>
      <c r="G397" s="48" t="s">
        <v>1915</v>
      </c>
      <c r="H397" s="48" t="s">
        <v>1916</v>
      </c>
      <c r="I397" s="51">
        <v>43623.9409027778</v>
      </c>
      <c r="J397" s="51">
        <v>43623.9409837963</v>
      </c>
      <c r="K397" s="48" t="s">
        <v>1331</v>
      </c>
      <c r="M397" s="48" t="s">
        <v>635</v>
      </c>
      <c r="N397" s="48" t="s">
        <v>699</v>
      </c>
      <c r="O397" s="48">
        <v>1</v>
      </c>
      <c r="P397" s="48">
        <v>0</v>
      </c>
      <c r="Q397" s="48" t="s">
        <v>51</v>
      </c>
      <c r="R397" s="51">
        <v>43623.9413310185</v>
      </c>
    </row>
    <row r="398" s="48" customFormat="1" hidden="1" spans="1:18">
      <c r="A398" s="55" t="str">
        <f>VLOOKUP(B398,[1]天猫!$B$3:$H$258,1,FALSE)</f>
        <v>477487106232106217</v>
      </c>
      <c r="B398" s="48" t="str">
        <f>"477487106232106217"</f>
        <v>477487106232106217</v>
      </c>
      <c r="C398" s="48" t="s">
        <v>1919</v>
      </c>
      <c r="D398" s="48">
        <v>1323.36</v>
      </c>
      <c r="E398" s="48" t="s">
        <v>53</v>
      </c>
      <c r="F398" s="48" t="s">
        <v>1920</v>
      </c>
      <c r="G398" s="48" t="s">
        <v>1921</v>
      </c>
      <c r="H398" s="48" t="s">
        <v>1922</v>
      </c>
      <c r="I398" s="51">
        <v>43623.9165393518</v>
      </c>
      <c r="J398" s="51">
        <v>43623.9167361111</v>
      </c>
      <c r="K398" s="48" t="s">
        <v>1923</v>
      </c>
      <c r="L398" s="48" t="s">
        <v>1924</v>
      </c>
      <c r="M398" s="48" t="s">
        <v>49</v>
      </c>
      <c r="O398" s="48">
        <v>4</v>
      </c>
      <c r="P398" s="48">
        <v>0</v>
      </c>
      <c r="Q398" s="48" t="s">
        <v>51</v>
      </c>
      <c r="R398" s="51">
        <v>43626.714224537</v>
      </c>
    </row>
    <row r="399" s="48" customFormat="1" spans="1:18">
      <c r="A399" s="55" t="e">
        <f>VLOOKUP(B399,[1]天猫!$B$3:$H$258,1,FALSE)</f>
        <v>#N/A</v>
      </c>
      <c r="B399" s="48" t="str">
        <f>"477472802953106217"</f>
        <v>477472802953106217</v>
      </c>
      <c r="C399" s="48" t="s">
        <v>1919</v>
      </c>
      <c r="D399" s="48">
        <v>1</v>
      </c>
      <c r="E399" s="48" t="s">
        <v>53</v>
      </c>
      <c r="F399" s="48" t="s">
        <v>1925</v>
      </c>
      <c r="G399" s="48" t="s">
        <v>1926</v>
      </c>
      <c r="H399" s="48" t="s">
        <v>1922</v>
      </c>
      <c r="I399" s="51">
        <v>43623.9128240741</v>
      </c>
      <c r="J399" s="51">
        <v>43623.9142476852</v>
      </c>
      <c r="K399" s="48" t="s">
        <v>1331</v>
      </c>
      <c r="M399" s="48" t="s">
        <v>635</v>
      </c>
      <c r="N399" s="48" t="s">
        <v>699</v>
      </c>
      <c r="O399" s="48">
        <v>1</v>
      </c>
      <c r="P399" s="48">
        <v>0</v>
      </c>
      <c r="Q399" s="48" t="s">
        <v>51</v>
      </c>
      <c r="R399" s="51">
        <v>43623.9146296296</v>
      </c>
    </row>
    <row r="400" s="56" customFormat="1" spans="1:18">
      <c r="A400" s="55" t="e">
        <f>VLOOKUP(B400,[1]天猫!$B$3:$H$258,1,FALSE)</f>
        <v>#N/A</v>
      </c>
      <c r="B400" s="56" t="str">
        <f>"476621728130472543"</f>
        <v>476621728130472543</v>
      </c>
      <c r="C400" s="56" t="s">
        <v>1927</v>
      </c>
      <c r="D400" s="56">
        <v>1799</v>
      </c>
      <c r="E400" s="56" t="s">
        <v>53</v>
      </c>
      <c r="F400" s="56" t="s">
        <v>1927</v>
      </c>
      <c r="G400" s="56" t="s">
        <v>1928</v>
      </c>
      <c r="H400" s="56" t="s">
        <v>1929</v>
      </c>
      <c r="I400" s="59">
        <v>43623.8115162037</v>
      </c>
      <c r="J400" s="59">
        <v>43623.8117939815</v>
      </c>
      <c r="K400" s="56" t="s">
        <v>57</v>
      </c>
      <c r="L400" s="56" t="s">
        <v>1930</v>
      </c>
      <c r="M400" s="56" t="s">
        <v>49</v>
      </c>
      <c r="N400" s="56" t="s">
        <v>1931</v>
      </c>
      <c r="O400" s="56">
        <v>3</v>
      </c>
      <c r="P400" s="56">
        <v>0</v>
      </c>
      <c r="Q400" s="56" t="s">
        <v>51</v>
      </c>
      <c r="R400" s="59">
        <v>43634.7541203704</v>
      </c>
    </row>
    <row r="401" s="48" customFormat="1" spans="1:18">
      <c r="A401" s="55" t="e">
        <f>VLOOKUP(B401,[1]天猫!$B$3:$H$258,1,FALSE)</f>
        <v>#N/A</v>
      </c>
      <c r="B401" s="48" t="str">
        <f>"476613632502413069"</f>
        <v>476613632502413069</v>
      </c>
      <c r="C401" s="48" t="s">
        <v>1641</v>
      </c>
      <c r="D401" s="48">
        <v>1</v>
      </c>
      <c r="E401" s="48" t="s">
        <v>53</v>
      </c>
      <c r="F401" s="48" t="s">
        <v>1642</v>
      </c>
      <c r="G401" s="48" t="s">
        <v>1643</v>
      </c>
      <c r="H401" s="48" t="s">
        <v>1644</v>
      </c>
      <c r="I401" s="51">
        <v>43623.809224537</v>
      </c>
      <c r="J401" s="51">
        <v>43623.8092708333</v>
      </c>
      <c r="K401" s="48" t="s">
        <v>1331</v>
      </c>
      <c r="M401" s="48" t="s">
        <v>635</v>
      </c>
      <c r="N401" s="48" t="s">
        <v>699</v>
      </c>
      <c r="O401" s="48">
        <v>1</v>
      </c>
      <c r="P401" s="48">
        <v>0</v>
      </c>
      <c r="Q401" s="48" t="s">
        <v>51</v>
      </c>
      <c r="R401" s="51">
        <v>43623.8097222222</v>
      </c>
    </row>
    <row r="402" s="56" customFormat="1" spans="1:18">
      <c r="A402" s="55" t="e">
        <f>VLOOKUP(B402,[1]天猫!$B$3:$H$258,1,FALSE)</f>
        <v>#N/A</v>
      </c>
      <c r="B402" s="56" t="str">
        <f>"477514083745615668"</f>
        <v>477514083745615668</v>
      </c>
      <c r="C402" s="56" t="s">
        <v>1932</v>
      </c>
      <c r="D402" s="56">
        <v>587.44</v>
      </c>
      <c r="E402" s="56" t="s">
        <v>53</v>
      </c>
      <c r="F402" s="56" t="s">
        <v>1933</v>
      </c>
      <c r="G402" s="56" t="s">
        <v>1934</v>
      </c>
      <c r="H402" s="56" t="s">
        <v>1935</v>
      </c>
      <c r="I402" s="59">
        <v>43623.774537037</v>
      </c>
      <c r="J402" s="59">
        <v>43623.7812384259</v>
      </c>
      <c r="K402" s="56" t="s">
        <v>1351</v>
      </c>
      <c r="L402" s="56" t="s">
        <v>1936</v>
      </c>
      <c r="M402" s="56" t="s">
        <v>49</v>
      </c>
      <c r="N402" s="56" t="s">
        <v>1937</v>
      </c>
      <c r="O402" s="56">
        <v>1</v>
      </c>
      <c r="P402" s="56">
        <v>0</v>
      </c>
      <c r="Q402" s="56" t="s">
        <v>51</v>
      </c>
      <c r="R402" s="59">
        <v>43628.4743981482</v>
      </c>
    </row>
    <row r="403" s="56" customFormat="1" spans="1:18">
      <c r="A403" s="55" t="e">
        <f>VLOOKUP(B403,[1]天猫!$B$3:$H$258,1,FALSE)</f>
        <v>#N/A</v>
      </c>
      <c r="B403" s="56" t="str">
        <f>"477125794957004553"</f>
        <v>477125794957004553</v>
      </c>
      <c r="C403" s="56" t="s">
        <v>1938</v>
      </c>
      <c r="D403" s="56">
        <v>1888</v>
      </c>
      <c r="E403" s="56" t="s">
        <v>53</v>
      </c>
      <c r="F403" s="56" t="s">
        <v>1939</v>
      </c>
      <c r="G403" s="56" t="s">
        <v>1940</v>
      </c>
      <c r="H403" s="56" t="s">
        <v>1941</v>
      </c>
      <c r="I403" s="59">
        <v>43623.7207175926</v>
      </c>
      <c r="J403" s="59">
        <v>43623.7207638889</v>
      </c>
      <c r="K403" s="56" t="s">
        <v>57</v>
      </c>
      <c r="L403" s="56" t="s">
        <v>1942</v>
      </c>
      <c r="M403" s="56" t="s">
        <v>49</v>
      </c>
      <c r="N403" s="56" t="s">
        <v>1943</v>
      </c>
      <c r="O403" s="56">
        <v>3</v>
      </c>
      <c r="P403" s="56">
        <v>0</v>
      </c>
      <c r="Q403" s="56" t="s">
        <v>51</v>
      </c>
      <c r="R403" s="59">
        <v>43626.5729976852</v>
      </c>
    </row>
    <row r="404" s="48" customFormat="1" spans="1:18">
      <c r="A404" s="55" t="e">
        <f>VLOOKUP(B404,[1]天猫!$B$3:$H$258,1,FALSE)</f>
        <v>#N/A</v>
      </c>
      <c r="B404" s="48" t="str">
        <f>"477403939562004553"</f>
        <v>477403939562004553</v>
      </c>
      <c r="C404" s="48" t="s">
        <v>1938</v>
      </c>
      <c r="D404" s="48">
        <v>1</v>
      </c>
      <c r="E404" s="48" t="s">
        <v>53</v>
      </c>
      <c r="F404" s="48" t="s">
        <v>1939</v>
      </c>
      <c r="G404" s="48" t="s">
        <v>1940</v>
      </c>
      <c r="H404" s="48" t="s">
        <v>1941</v>
      </c>
      <c r="I404" s="51">
        <v>43623.7103009259</v>
      </c>
      <c r="J404" s="51">
        <v>43623.7107986111</v>
      </c>
      <c r="K404" s="48" t="s">
        <v>1331</v>
      </c>
      <c r="M404" s="48" t="s">
        <v>635</v>
      </c>
      <c r="N404" s="48" t="s">
        <v>699</v>
      </c>
      <c r="O404" s="48">
        <v>1</v>
      </c>
      <c r="P404" s="48">
        <v>0</v>
      </c>
      <c r="Q404" s="48" t="s">
        <v>51</v>
      </c>
      <c r="R404" s="51">
        <v>43623.7111111111</v>
      </c>
    </row>
    <row r="405" s="56" customFormat="1" spans="1:18">
      <c r="A405" s="55" t="e">
        <f>VLOOKUP(B405,[1]天猫!$B$3:$H$258,1,FALSE)</f>
        <v>#N/A</v>
      </c>
      <c r="B405" s="56" t="str">
        <f>"304959789061981802"</f>
        <v>304959789061981802</v>
      </c>
      <c r="C405" s="56" t="s">
        <v>1944</v>
      </c>
      <c r="D405" s="56">
        <v>1799</v>
      </c>
      <c r="E405" s="56" t="s">
        <v>53</v>
      </c>
      <c r="F405" s="56" t="s">
        <v>1945</v>
      </c>
      <c r="G405" s="56" t="s">
        <v>1946</v>
      </c>
      <c r="H405" s="56" t="s">
        <v>1947</v>
      </c>
      <c r="I405" s="59">
        <v>43623.6741550926</v>
      </c>
      <c r="J405" s="59">
        <v>43623.678275463</v>
      </c>
      <c r="K405" s="56" t="s">
        <v>57</v>
      </c>
      <c r="L405" s="56" t="s">
        <v>1948</v>
      </c>
      <c r="M405" s="56" t="s">
        <v>49</v>
      </c>
      <c r="N405" s="56" t="s">
        <v>1949</v>
      </c>
      <c r="O405" s="56">
        <v>3</v>
      </c>
      <c r="P405" s="56">
        <v>0</v>
      </c>
      <c r="Q405" s="56" t="s">
        <v>51</v>
      </c>
      <c r="R405" s="59">
        <v>43627.6265277778</v>
      </c>
    </row>
    <row r="406" s="48" customFormat="1" spans="1:18">
      <c r="A406" s="55" t="e">
        <f>VLOOKUP(B406,[1]天猫!$B$3:$H$258,1,FALSE)</f>
        <v>#N/A</v>
      </c>
      <c r="B406" s="48" t="str">
        <f>"477025250959036441"</f>
        <v>477025250959036441</v>
      </c>
      <c r="C406" s="48" t="s">
        <v>1950</v>
      </c>
      <c r="D406" s="48">
        <v>1</v>
      </c>
      <c r="E406" s="48" t="s">
        <v>53</v>
      </c>
      <c r="F406" s="48" t="s">
        <v>1951</v>
      </c>
      <c r="G406" s="48" t="s">
        <v>1952</v>
      </c>
      <c r="H406" s="48" t="s">
        <v>1953</v>
      </c>
      <c r="I406" s="51">
        <v>43623.6705555556</v>
      </c>
      <c r="J406" s="51">
        <v>43623.6705902778</v>
      </c>
      <c r="K406" s="48" t="s">
        <v>1331</v>
      </c>
      <c r="M406" s="48" t="s">
        <v>635</v>
      </c>
      <c r="N406" s="48" t="s">
        <v>699</v>
      </c>
      <c r="O406" s="48">
        <v>1</v>
      </c>
      <c r="P406" s="48">
        <v>0</v>
      </c>
      <c r="Q406" s="48" t="s">
        <v>51</v>
      </c>
      <c r="R406" s="51">
        <v>43623.6709722222</v>
      </c>
    </row>
    <row r="407" s="48" customFormat="1" spans="1:18">
      <c r="A407" s="55" t="e">
        <f>VLOOKUP(B407,[1]天猫!$B$3:$H$258,1,FALSE)</f>
        <v>#N/A</v>
      </c>
      <c r="B407" s="48" t="str">
        <f>"305412047378981802"</f>
        <v>305412047378981802</v>
      </c>
      <c r="C407" s="48" t="s">
        <v>1944</v>
      </c>
      <c r="D407" s="48">
        <v>1</v>
      </c>
      <c r="E407" s="48" t="s">
        <v>53</v>
      </c>
      <c r="F407" s="48" t="s">
        <v>1945</v>
      </c>
      <c r="G407" s="48" t="s">
        <v>1954</v>
      </c>
      <c r="H407" s="48" t="s">
        <v>1947</v>
      </c>
      <c r="I407" s="51">
        <v>43623.663900463</v>
      </c>
      <c r="J407" s="51">
        <v>43623.6639583333</v>
      </c>
      <c r="K407" s="48" t="s">
        <v>1331</v>
      </c>
      <c r="M407" s="48" t="s">
        <v>635</v>
      </c>
      <c r="N407" s="48" t="s">
        <v>699</v>
      </c>
      <c r="O407" s="48">
        <v>1</v>
      </c>
      <c r="P407" s="48">
        <v>0</v>
      </c>
      <c r="Q407" s="48" t="s">
        <v>51</v>
      </c>
      <c r="R407" s="51">
        <v>43623.6643402778</v>
      </c>
    </row>
    <row r="408" s="48" customFormat="1" spans="1:18">
      <c r="A408" s="55" t="e">
        <f>VLOOKUP(B408,[1]天猫!$B$3:$H$258,1,FALSE)</f>
        <v>#N/A</v>
      </c>
      <c r="B408" s="48" t="str">
        <f>"477282179777437682"</f>
        <v>477282179777437682</v>
      </c>
      <c r="C408" s="48" t="s">
        <v>1002</v>
      </c>
      <c r="D408" s="48">
        <v>1</v>
      </c>
      <c r="E408" s="48" t="s">
        <v>53</v>
      </c>
      <c r="F408" s="48" t="s">
        <v>1003</v>
      </c>
      <c r="G408" s="48" t="s">
        <v>1955</v>
      </c>
      <c r="H408" s="48" t="s">
        <v>1005</v>
      </c>
      <c r="I408" s="51">
        <v>43623.6544675926</v>
      </c>
      <c r="J408" s="51">
        <v>43623.6545023148</v>
      </c>
      <c r="K408" s="48" t="s">
        <v>1331</v>
      </c>
      <c r="M408" s="48" t="s">
        <v>635</v>
      </c>
      <c r="N408" s="48" t="s">
        <v>699</v>
      </c>
      <c r="O408" s="48">
        <v>1</v>
      </c>
      <c r="P408" s="48">
        <v>0</v>
      </c>
      <c r="Q408" s="48" t="s">
        <v>51</v>
      </c>
      <c r="R408" s="51">
        <v>43623.6548148148</v>
      </c>
    </row>
    <row r="409" s="48" customFormat="1" hidden="1" spans="1:18">
      <c r="A409" s="55" t="str">
        <f>VLOOKUP(B409,[1]天猫!$B$3:$H$258,1,FALSE)</f>
        <v>476969602911943449</v>
      </c>
      <c r="B409" s="48" t="str">
        <f>"476969602911943449"</f>
        <v>476969602911943449</v>
      </c>
      <c r="C409" s="48" t="s">
        <v>1956</v>
      </c>
      <c r="D409" s="48">
        <v>1210.88</v>
      </c>
      <c r="E409" s="48" t="s">
        <v>53</v>
      </c>
      <c r="F409" s="48" t="s">
        <v>1957</v>
      </c>
      <c r="G409" s="48" t="s">
        <v>1958</v>
      </c>
      <c r="H409" s="48" t="s">
        <v>1959</v>
      </c>
      <c r="I409" s="51">
        <v>43623.6469444444</v>
      </c>
      <c r="J409" s="51">
        <v>43623.6638541667</v>
      </c>
      <c r="K409" s="48" t="s">
        <v>1351</v>
      </c>
      <c r="L409" s="48" t="s">
        <v>1960</v>
      </c>
      <c r="M409" s="48" t="s">
        <v>49</v>
      </c>
      <c r="O409" s="48">
        <v>2</v>
      </c>
      <c r="P409" s="48">
        <v>0</v>
      </c>
      <c r="Q409" s="48" t="s">
        <v>51</v>
      </c>
      <c r="R409" s="51">
        <v>43631.4974421296</v>
      </c>
    </row>
    <row r="410" s="48" customFormat="1" hidden="1" spans="1:18">
      <c r="A410" s="55" t="str">
        <f>VLOOKUP(B410,[1]天猫!$B$3:$H$258,1,FALSE)</f>
        <v>476605729627912038</v>
      </c>
      <c r="B410" s="48" t="str">
        <f>"476605729627912038"</f>
        <v>476605729627912038</v>
      </c>
      <c r="C410" s="48" t="s">
        <v>1961</v>
      </c>
      <c r="D410" s="48">
        <v>1799</v>
      </c>
      <c r="E410" s="48" t="s">
        <v>53</v>
      </c>
      <c r="F410" s="48" t="s">
        <v>1962</v>
      </c>
      <c r="G410" s="48" t="s">
        <v>1963</v>
      </c>
      <c r="H410" s="48" t="s">
        <v>1964</v>
      </c>
      <c r="I410" s="51">
        <v>43623.6189236111</v>
      </c>
      <c r="J410" s="51">
        <v>43623.6237962963</v>
      </c>
      <c r="K410" s="48" t="s">
        <v>57</v>
      </c>
      <c r="L410" s="48" t="s">
        <v>1965</v>
      </c>
      <c r="M410" s="48" t="s">
        <v>49</v>
      </c>
      <c r="O410" s="48">
        <v>3</v>
      </c>
      <c r="P410" s="48">
        <v>0</v>
      </c>
      <c r="Q410" s="48" t="s">
        <v>51</v>
      </c>
      <c r="R410" s="51">
        <v>43630.9655324074</v>
      </c>
    </row>
    <row r="411" s="48" customFormat="1" spans="1:18">
      <c r="A411" s="55" t="e">
        <f>VLOOKUP(B411,[1]天猫!$B$3:$H$258,1,FALSE)</f>
        <v>#N/A</v>
      </c>
      <c r="B411" s="48" t="str">
        <f>"476905986605912038"</f>
        <v>476905986605912038</v>
      </c>
      <c r="C411" s="48" t="s">
        <v>1961</v>
      </c>
      <c r="D411" s="48">
        <v>1</v>
      </c>
      <c r="E411" s="48" t="s">
        <v>53</v>
      </c>
      <c r="F411" s="48" t="s">
        <v>1962</v>
      </c>
      <c r="G411" s="48" t="s">
        <v>1963</v>
      </c>
      <c r="H411" s="48" t="s">
        <v>1964</v>
      </c>
      <c r="I411" s="51">
        <v>43623.6133449074</v>
      </c>
      <c r="J411" s="51">
        <v>43623.6134722222</v>
      </c>
      <c r="K411" s="48" t="s">
        <v>1331</v>
      </c>
      <c r="M411" s="48" t="s">
        <v>635</v>
      </c>
      <c r="O411" s="48">
        <v>1</v>
      </c>
      <c r="P411" s="48">
        <v>0</v>
      </c>
      <c r="Q411" s="48" t="s">
        <v>51</v>
      </c>
      <c r="R411" s="51">
        <v>43623.6137731482</v>
      </c>
    </row>
    <row r="412" s="48" customFormat="1" hidden="1" spans="1:18">
      <c r="A412" s="55" t="str">
        <f>VLOOKUP(B412,[1]天猫!$B$3:$H$258,1,FALSE)</f>
        <v>476129824021252528</v>
      </c>
      <c r="B412" s="48" t="str">
        <f>"476129824021252528"</f>
        <v>476129824021252528</v>
      </c>
      <c r="C412" s="48" t="s">
        <v>1966</v>
      </c>
      <c r="D412" s="48">
        <v>1799</v>
      </c>
      <c r="E412" s="48" t="s">
        <v>53</v>
      </c>
      <c r="F412" s="48" t="s">
        <v>1967</v>
      </c>
      <c r="G412" s="48" t="s">
        <v>1968</v>
      </c>
      <c r="H412" s="48" t="s">
        <v>1969</v>
      </c>
      <c r="I412" s="51">
        <v>43623.5503009259</v>
      </c>
      <c r="J412" s="51">
        <v>43623.5569328704</v>
      </c>
      <c r="K412" s="48" t="s">
        <v>57</v>
      </c>
      <c r="L412" s="48" t="s">
        <v>1970</v>
      </c>
      <c r="M412" s="48" t="s">
        <v>49</v>
      </c>
      <c r="O412" s="48">
        <v>3</v>
      </c>
      <c r="P412" s="48">
        <v>0</v>
      </c>
      <c r="Q412" s="48" t="s">
        <v>51</v>
      </c>
      <c r="R412" s="51">
        <v>43630.7445833333</v>
      </c>
    </row>
    <row r="413" s="48" customFormat="1" spans="1:18">
      <c r="A413" s="55" t="e">
        <f>VLOOKUP(B413,[1]天猫!$B$3:$H$258,1,FALSE)</f>
        <v>#N/A</v>
      </c>
      <c r="B413" s="48" t="str">
        <f>"476108192767252528"</f>
        <v>476108192767252528</v>
      </c>
      <c r="C413" s="48" t="s">
        <v>1966</v>
      </c>
      <c r="D413" s="48">
        <v>1</v>
      </c>
      <c r="E413" s="48" t="s">
        <v>53</v>
      </c>
      <c r="F413" s="48" t="s">
        <v>1967</v>
      </c>
      <c r="G413" s="48" t="s">
        <v>1968</v>
      </c>
      <c r="H413" s="48" t="s">
        <v>1969</v>
      </c>
      <c r="I413" s="51">
        <v>43623.5424189815</v>
      </c>
      <c r="J413" s="51">
        <v>43623.5425115741</v>
      </c>
      <c r="K413" s="48" t="s">
        <v>1331</v>
      </c>
      <c r="M413" s="48" t="s">
        <v>635</v>
      </c>
      <c r="O413" s="48">
        <v>1</v>
      </c>
      <c r="P413" s="48">
        <v>0</v>
      </c>
      <c r="Q413" s="48" t="s">
        <v>51</v>
      </c>
      <c r="R413" s="51">
        <v>43623.5428703704</v>
      </c>
    </row>
    <row r="414" s="48" customFormat="1" spans="1:18">
      <c r="A414" s="55" t="e">
        <f>VLOOKUP(B414,[1]天猫!$B$3:$H$258,1,FALSE)</f>
        <v>#N/A</v>
      </c>
      <c r="B414" s="48" t="str">
        <f>"476662722038298290"</f>
        <v>476662722038298290</v>
      </c>
      <c r="C414" s="48" t="s">
        <v>1971</v>
      </c>
      <c r="D414" s="48">
        <v>1</v>
      </c>
      <c r="E414" s="48" t="s">
        <v>53</v>
      </c>
      <c r="F414" s="48" t="s">
        <v>1972</v>
      </c>
      <c r="G414" s="48" t="s">
        <v>1973</v>
      </c>
      <c r="H414" s="48" t="s">
        <v>1974</v>
      </c>
      <c r="I414" s="51">
        <v>43623.4771759259</v>
      </c>
      <c r="J414" s="51">
        <v>43623.4772222222</v>
      </c>
      <c r="K414" s="48" t="s">
        <v>1331</v>
      </c>
      <c r="M414" s="48" t="s">
        <v>635</v>
      </c>
      <c r="O414" s="48">
        <v>1</v>
      </c>
      <c r="P414" s="48">
        <v>0</v>
      </c>
      <c r="Q414" s="48" t="s">
        <v>51</v>
      </c>
      <c r="R414" s="51">
        <v>43623.4775462963</v>
      </c>
    </row>
    <row r="415" s="48" customFormat="1" spans="1:18">
      <c r="A415" s="55" t="e">
        <f>VLOOKUP(B415,[1]天猫!$B$3:$H$258,1,FALSE)</f>
        <v>#N/A</v>
      </c>
      <c r="B415" s="48" t="str">
        <f>"475803264660163071"</f>
        <v>475803264660163071</v>
      </c>
      <c r="C415" s="48" t="s">
        <v>1975</v>
      </c>
      <c r="D415" s="48">
        <v>1</v>
      </c>
      <c r="E415" s="48" t="s">
        <v>53</v>
      </c>
      <c r="F415" s="48" t="s">
        <v>1976</v>
      </c>
      <c r="G415" s="48" t="s">
        <v>1977</v>
      </c>
      <c r="H415" s="48" t="s">
        <v>1978</v>
      </c>
      <c r="I415" s="51">
        <v>43623.3857407407</v>
      </c>
      <c r="J415" s="51">
        <v>43623.3857986111</v>
      </c>
      <c r="K415" s="48" t="s">
        <v>1331</v>
      </c>
      <c r="M415" s="48" t="s">
        <v>635</v>
      </c>
      <c r="O415" s="48">
        <v>1</v>
      </c>
      <c r="P415" s="48">
        <v>0</v>
      </c>
      <c r="Q415" s="48" t="s">
        <v>51</v>
      </c>
      <c r="R415" s="51">
        <v>43623.3861458333</v>
      </c>
    </row>
    <row r="416" s="55" customFormat="1" spans="1:18">
      <c r="A416" s="55" t="e">
        <f>VLOOKUP(B416,[1]天猫!$B$3:$H$258,1,FALSE)</f>
        <v>#N/A</v>
      </c>
      <c r="B416" s="55" t="str">
        <f>"475650016190013119"</f>
        <v>475650016190013119</v>
      </c>
      <c r="C416" s="55" t="s">
        <v>1979</v>
      </c>
      <c r="D416" s="55">
        <v>605.44</v>
      </c>
      <c r="E416" s="55" t="s">
        <v>53</v>
      </c>
      <c r="F416" s="55" t="s">
        <v>1980</v>
      </c>
      <c r="G416" s="55" t="s">
        <v>1981</v>
      </c>
      <c r="H416" s="55" t="s">
        <v>1982</v>
      </c>
      <c r="I416" s="58">
        <v>43623.015775463</v>
      </c>
      <c r="J416" s="58">
        <v>43623.0184259259</v>
      </c>
      <c r="K416" s="55" t="s">
        <v>1351</v>
      </c>
      <c r="L416" s="55" t="s">
        <v>1983</v>
      </c>
      <c r="M416" s="55" t="s">
        <v>49</v>
      </c>
      <c r="N416" s="55" t="s">
        <v>1984</v>
      </c>
      <c r="O416" s="55">
        <v>1</v>
      </c>
      <c r="P416" s="55">
        <v>0</v>
      </c>
      <c r="Q416" s="55" t="s">
        <v>341</v>
      </c>
      <c r="R416" s="58">
        <v>43626.7881828704</v>
      </c>
    </row>
    <row r="417" s="48" customFormat="1" spans="1:18">
      <c r="A417" s="55" t="e">
        <f>VLOOKUP(B417,[1]天猫!$B$3:$H$258,1,FALSE)</f>
        <v>#N/A</v>
      </c>
      <c r="B417" s="48" t="str">
        <f>"476307906304205527"</f>
        <v>476307906304205527</v>
      </c>
      <c r="C417" s="48" t="s">
        <v>1985</v>
      </c>
      <c r="D417" s="48">
        <v>1</v>
      </c>
      <c r="E417" s="48" t="s">
        <v>53</v>
      </c>
      <c r="F417" s="48" t="s">
        <v>1986</v>
      </c>
      <c r="G417" s="48" t="s">
        <v>1987</v>
      </c>
      <c r="H417" s="48" t="s">
        <v>1988</v>
      </c>
      <c r="I417" s="51">
        <v>43623.003587963</v>
      </c>
      <c r="J417" s="51">
        <v>43623.0036342593</v>
      </c>
      <c r="K417" s="48" t="s">
        <v>1331</v>
      </c>
      <c r="M417" s="48" t="s">
        <v>635</v>
      </c>
      <c r="O417" s="48">
        <v>1</v>
      </c>
      <c r="P417" s="48">
        <v>0</v>
      </c>
      <c r="Q417" s="48" t="s">
        <v>51</v>
      </c>
      <c r="R417" s="51">
        <v>43623.0039583333</v>
      </c>
    </row>
    <row r="418" s="55" customFormat="1" spans="1:18">
      <c r="A418" s="55" t="e">
        <f>VLOOKUP(B418,[1]天猫!$B$3:$H$258,1,FALSE)</f>
        <v>#N/A</v>
      </c>
      <c r="B418" s="55" t="str">
        <f>"476202787025566262"</f>
        <v>476202787025566262</v>
      </c>
      <c r="C418" s="55" t="s">
        <v>1989</v>
      </c>
      <c r="D418" s="55">
        <v>648.4</v>
      </c>
      <c r="E418" s="55" t="s">
        <v>53</v>
      </c>
      <c r="F418" s="55" t="s">
        <v>1990</v>
      </c>
      <c r="G418" s="55" t="s">
        <v>1991</v>
      </c>
      <c r="H418" s="55" t="s">
        <v>1992</v>
      </c>
      <c r="I418" s="58">
        <v>43622.7610648148</v>
      </c>
      <c r="J418" s="58">
        <v>43622.7627893519</v>
      </c>
      <c r="K418" s="55" t="s">
        <v>778</v>
      </c>
      <c r="L418" s="55" t="s">
        <v>1993</v>
      </c>
      <c r="M418" s="55" t="s">
        <v>49</v>
      </c>
      <c r="N418" s="55" t="s">
        <v>1994</v>
      </c>
      <c r="O418" s="55">
        <v>1</v>
      </c>
      <c r="P418" s="55">
        <v>0</v>
      </c>
      <c r="Q418" s="55" t="s">
        <v>51</v>
      </c>
      <c r="R418" s="58">
        <v>43633.7143981481</v>
      </c>
    </row>
    <row r="419" s="48" customFormat="1" hidden="1" spans="1:18">
      <c r="A419" s="55" t="str">
        <f>VLOOKUP(B419,[1]天猫!$B$3:$H$258,1,FALSE)</f>
        <v>282660100668769397</v>
      </c>
      <c r="B419" s="48" t="str">
        <f>"282660100668769397"</f>
        <v>282660100668769397</v>
      </c>
      <c r="C419" s="48" t="s">
        <v>1995</v>
      </c>
      <c r="D419" s="48">
        <v>1323.36</v>
      </c>
      <c r="E419" s="48" t="s">
        <v>53</v>
      </c>
      <c r="F419" s="48" t="s">
        <v>1996</v>
      </c>
      <c r="G419" s="48" t="s">
        <v>1997</v>
      </c>
      <c r="H419" s="48" t="s">
        <v>1998</v>
      </c>
      <c r="I419" s="51">
        <v>43622.7392476852</v>
      </c>
      <c r="J419" s="51">
        <v>43622.7424189815</v>
      </c>
      <c r="K419" s="48" t="s">
        <v>1573</v>
      </c>
      <c r="L419" s="48" t="s">
        <v>1999</v>
      </c>
      <c r="M419" s="48" t="s">
        <v>49</v>
      </c>
      <c r="O419" s="48">
        <v>4</v>
      </c>
      <c r="P419" s="48">
        <v>0</v>
      </c>
      <c r="Q419" s="48" t="s">
        <v>51</v>
      </c>
      <c r="R419" s="51">
        <v>43626.6907638889</v>
      </c>
    </row>
    <row r="420" s="48" customFormat="1" spans="1:18">
      <c r="A420" s="55" t="e">
        <f>VLOOKUP(B420,[1]天猫!$B$3:$H$258,1,FALSE)</f>
        <v>#N/A</v>
      </c>
      <c r="B420" s="48" t="str">
        <f>"282660196310769397"</f>
        <v>282660196310769397</v>
      </c>
      <c r="C420" s="48" t="s">
        <v>1995</v>
      </c>
      <c r="D420" s="48">
        <v>1</v>
      </c>
      <c r="E420" s="48" t="s">
        <v>53</v>
      </c>
      <c r="F420" s="48" t="s">
        <v>1996</v>
      </c>
      <c r="G420" s="48" t="s">
        <v>1997</v>
      </c>
      <c r="H420" s="48" t="s">
        <v>1998</v>
      </c>
      <c r="I420" s="51">
        <v>43622.7369328704</v>
      </c>
      <c r="J420" s="51">
        <v>43622.7370601852</v>
      </c>
      <c r="K420" s="48" t="s">
        <v>1331</v>
      </c>
      <c r="M420" s="48" t="s">
        <v>635</v>
      </c>
      <c r="O420" s="48">
        <v>1</v>
      </c>
      <c r="P420" s="48">
        <v>0</v>
      </c>
      <c r="Q420" s="48" t="s">
        <v>51</v>
      </c>
      <c r="R420" s="51">
        <v>43622.7374305556</v>
      </c>
    </row>
    <row r="421" s="48" customFormat="1" hidden="1" spans="1:18">
      <c r="A421" s="55" t="str">
        <f>VLOOKUP(B421,[1]天猫!$B$3:$H$258,1,FALSE)</f>
        <v>476093699462342762</v>
      </c>
      <c r="B421" s="48" t="str">
        <f>"476093699462342762"</f>
        <v>476093699462342762</v>
      </c>
      <c r="C421" s="48" t="s">
        <v>2000</v>
      </c>
      <c r="D421" s="48">
        <v>1799</v>
      </c>
      <c r="E421" s="48" t="s">
        <v>53</v>
      </c>
      <c r="F421" s="48" t="s">
        <v>2001</v>
      </c>
      <c r="G421" s="48" t="s">
        <v>2002</v>
      </c>
      <c r="H421" s="48" t="s">
        <v>2003</v>
      </c>
      <c r="I421" s="51">
        <v>43622.7000925926</v>
      </c>
      <c r="J421" s="51">
        <v>43622.7046064815</v>
      </c>
      <c r="K421" s="48" t="s">
        <v>1876</v>
      </c>
      <c r="L421" s="48" t="s">
        <v>2004</v>
      </c>
      <c r="M421" s="48" t="s">
        <v>49</v>
      </c>
      <c r="O421" s="48">
        <v>3</v>
      </c>
      <c r="P421" s="48">
        <v>0</v>
      </c>
      <c r="Q421" s="48" t="s">
        <v>51</v>
      </c>
      <c r="R421" s="51">
        <v>43627.6840162037</v>
      </c>
    </row>
    <row r="422" s="48" customFormat="1" spans="1:18">
      <c r="A422" s="55" t="e">
        <f>VLOOKUP(B422,[1]天猫!$B$3:$H$258,1,FALSE)</f>
        <v>#N/A</v>
      </c>
      <c r="B422" s="48" t="str">
        <f>"476075427793342762"</f>
        <v>476075427793342762</v>
      </c>
      <c r="C422" s="48" t="s">
        <v>2000</v>
      </c>
      <c r="D422" s="48">
        <v>1</v>
      </c>
      <c r="E422" s="48" t="s">
        <v>53</v>
      </c>
      <c r="F422" s="48" t="s">
        <v>2001</v>
      </c>
      <c r="G422" s="48" t="s">
        <v>2002</v>
      </c>
      <c r="H422" s="48" t="s">
        <v>2003</v>
      </c>
      <c r="I422" s="51">
        <v>43622.6898263889</v>
      </c>
      <c r="J422" s="51">
        <v>43622.6899074074</v>
      </c>
      <c r="K422" s="48" t="s">
        <v>1331</v>
      </c>
      <c r="M422" s="48" t="s">
        <v>635</v>
      </c>
      <c r="N422" s="48" t="s">
        <v>699</v>
      </c>
      <c r="O422" s="48">
        <v>1</v>
      </c>
      <c r="P422" s="48">
        <v>0</v>
      </c>
      <c r="Q422" s="48" t="s">
        <v>51</v>
      </c>
      <c r="R422" s="51">
        <v>43622.6902662037</v>
      </c>
    </row>
    <row r="423" s="48" customFormat="1" hidden="1" spans="1:18">
      <c r="A423" s="55" t="str">
        <f>VLOOKUP(B423,[1]天猫!$B$3:$H$258,1,FALSE)</f>
        <v>475455905258118638</v>
      </c>
      <c r="B423" s="48" t="str">
        <f>"475455905258118638"</f>
        <v>475455905258118638</v>
      </c>
      <c r="C423" s="48" t="s">
        <v>2005</v>
      </c>
      <c r="D423" s="48">
        <v>1087.68</v>
      </c>
      <c r="E423" s="48" t="s">
        <v>53</v>
      </c>
      <c r="F423" s="48" t="s">
        <v>2006</v>
      </c>
      <c r="G423" s="48" t="s">
        <v>2007</v>
      </c>
      <c r="H423" s="48" t="s">
        <v>2008</v>
      </c>
      <c r="I423" s="51">
        <v>43622.6857523148</v>
      </c>
      <c r="J423" s="51">
        <v>43622.690462963</v>
      </c>
      <c r="K423" s="48" t="s">
        <v>1351</v>
      </c>
      <c r="L423" s="48" t="s">
        <v>2009</v>
      </c>
      <c r="M423" s="48" t="s">
        <v>49</v>
      </c>
      <c r="O423" s="48">
        <v>2</v>
      </c>
      <c r="P423" s="48">
        <v>0</v>
      </c>
      <c r="Q423" s="48" t="s">
        <v>51</v>
      </c>
      <c r="R423" s="51">
        <v>43626.8010185185</v>
      </c>
    </row>
    <row r="424" s="48" customFormat="1" hidden="1" spans="1:18">
      <c r="A424" s="55" t="str">
        <f>VLOOKUP(B424,[1]天猫!$B$3:$H$258,1,FALSE)</f>
        <v>476019747721158729</v>
      </c>
      <c r="B424" s="48" t="str">
        <f>"476019747721158729"</f>
        <v>476019747721158729</v>
      </c>
      <c r="C424" s="48" t="s">
        <v>2010</v>
      </c>
      <c r="D424" s="48">
        <v>1799</v>
      </c>
      <c r="E424" s="48" t="s">
        <v>53</v>
      </c>
      <c r="F424" s="48" t="s">
        <v>2011</v>
      </c>
      <c r="G424" s="48" t="s">
        <v>2012</v>
      </c>
      <c r="H424" s="48" t="s">
        <v>2013</v>
      </c>
      <c r="I424" s="51">
        <v>43622.6621180556</v>
      </c>
      <c r="J424" s="51">
        <v>43622.6700578704</v>
      </c>
      <c r="K424" s="48" t="s">
        <v>57</v>
      </c>
      <c r="L424" s="48" t="s">
        <v>2014</v>
      </c>
      <c r="M424" s="48" t="s">
        <v>49</v>
      </c>
      <c r="O424" s="48">
        <v>3</v>
      </c>
      <c r="P424" s="48">
        <v>0</v>
      </c>
      <c r="Q424" s="48" t="s">
        <v>51</v>
      </c>
      <c r="R424" s="51">
        <v>43629.3976967593</v>
      </c>
    </row>
    <row r="425" s="48" customFormat="1" spans="1:18">
      <c r="A425" s="55" t="e">
        <f>VLOOKUP(B425,[1]天猫!$B$3:$H$258,1,FALSE)</f>
        <v>#N/A</v>
      </c>
      <c r="B425" s="48" t="str">
        <f>"475053408636158729"</f>
        <v>475053408636158729</v>
      </c>
      <c r="C425" s="48" t="s">
        <v>2010</v>
      </c>
      <c r="D425" s="48">
        <v>1</v>
      </c>
      <c r="E425" s="48" t="s">
        <v>53</v>
      </c>
      <c r="F425" s="48" t="s">
        <v>2011</v>
      </c>
      <c r="G425" s="48" t="s">
        <v>2012</v>
      </c>
      <c r="H425" s="48" t="s">
        <v>2013</v>
      </c>
      <c r="I425" s="51">
        <v>43622.6584490741</v>
      </c>
      <c r="J425" s="51">
        <v>43622.6585532407</v>
      </c>
      <c r="K425" s="48" t="s">
        <v>1331</v>
      </c>
      <c r="M425" s="48" t="s">
        <v>635</v>
      </c>
      <c r="O425" s="48">
        <v>1</v>
      </c>
      <c r="P425" s="48">
        <v>0</v>
      </c>
      <c r="Q425" s="48" t="s">
        <v>51</v>
      </c>
      <c r="R425" s="51">
        <v>43622.6588541667</v>
      </c>
    </row>
    <row r="426" s="48" customFormat="1" hidden="1" spans="1:18">
      <c r="A426" s="55" t="str">
        <f>VLOOKUP(B426,[1]天猫!$B$3:$H$258,1,FALSE)</f>
        <v>475997699524423272</v>
      </c>
      <c r="B426" s="48" t="str">
        <f>"475997699524423272"</f>
        <v>475997699524423272</v>
      </c>
      <c r="C426" s="48" t="s">
        <v>2015</v>
      </c>
      <c r="D426" s="48">
        <v>3166</v>
      </c>
      <c r="E426" s="48" t="s">
        <v>53</v>
      </c>
      <c r="F426" s="48" t="s">
        <v>2016</v>
      </c>
      <c r="G426" s="48" t="s">
        <v>2017</v>
      </c>
      <c r="H426" s="48" t="s">
        <v>2018</v>
      </c>
      <c r="I426" s="51">
        <v>43622.649837963</v>
      </c>
      <c r="J426" s="51">
        <v>43622.6561689815</v>
      </c>
      <c r="K426" s="48" t="s">
        <v>75</v>
      </c>
      <c r="L426" s="48" t="s">
        <v>2019</v>
      </c>
      <c r="M426" s="48" t="s">
        <v>49</v>
      </c>
      <c r="N426" s="48" t="s">
        <v>540</v>
      </c>
      <c r="O426" s="48">
        <v>3</v>
      </c>
      <c r="P426" s="48">
        <v>0</v>
      </c>
      <c r="Q426" s="48" t="s">
        <v>51</v>
      </c>
      <c r="R426" s="51">
        <v>43624.6196527778</v>
      </c>
    </row>
    <row r="427" s="48" customFormat="1" spans="1:18">
      <c r="A427" s="55" t="e">
        <f>VLOOKUP(B427,[1]天猫!$B$3:$H$258,1,FALSE)</f>
        <v>#N/A</v>
      </c>
      <c r="B427" s="48" t="str">
        <f>"475698274800423272"</f>
        <v>475698274800423272</v>
      </c>
      <c r="C427" s="48" t="s">
        <v>2015</v>
      </c>
      <c r="D427" s="48">
        <v>1</v>
      </c>
      <c r="E427" s="48" t="s">
        <v>53</v>
      </c>
      <c r="F427" s="48" t="s">
        <v>2016</v>
      </c>
      <c r="G427" s="48" t="s">
        <v>2017</v>
      </c>
      <c r="H427" s="48" t="s">
        <v>2018</v>
      </c>
      <c r="I427" s="51">
        <v>43622.6469560185</v>
      </c>
      <c r="J427" s="51">
        <v>43622.6471527778</v>
      </c>
      <c r="K427" s="48" t="s">
        <v>1331</v>
      </c>
      <c r="M427" s="48" t="s">
        <v>635</v>
      </c>
      <c r="N427" s="48" t="s">
        <v>699</v>
      </c>
      <c r="O427" s="48">
        <v>1</v>
      </c>
      <c r="P427" s="48">
        <v>0</v>
      </c>
      <c r="Q427" s="48" t="s">
        <v>51</v>
      </c>
      <c r="R427" s="51">
        <v>43622.6474652778</v>
      </c>
    </row>
    <row r="428" s="55" customFormat="1" spans="1:18">
      <c r="A428" s="55" t="e">
        <f>VLOOKUP(B428,[1]天猫!$B$3:$H$258,1,FALSE)</f>
        <v>#N/A</v>
      </c>
      <c r="B428" s="55" t="str">
        <f>"475659490567422385"</f>
        <v>475659490567422385</v>
      </c>
      <c r="C428" s="55" t="s">
        <v>2020</v>
      </c>
      <c r="D428" s="55">
        <v>1899</v>
      </c>
      <c r="E428" s="55" t="s">
        <v>53</v>
      </c>
      <c r="F428" s="55" t="s">
        <v>2021</v>
      </c>
      <c r="G428" s="55" t="s">
        <v>2022</v>
      </c>
      <c r="H428" s="55" t="s">
        <v>2023</v>
      </c>
      <c r="I428" s="58">
        <v>43622.6255787037</v>
      </c>
      <c r="J428" s="58">
        <v>43622.6261342593</v>
      </c>
      <c r="K428" s="55" t="s">
        <v>57</v>
      </c>
      <c r="L428" s="55" t="s">
        <v>2024</v>
      </c>
      <c r="M428" s="55" t="s">
        <v>89</v>
      </c>
      <c r="N428" s="55" t="s">
        <v>2025</v>
      </c>
      <c r="O428" s="55">
        <v>3</v>
      </c>
      <c r="P428" s="55">
        <v>0</v>
      </c>
      <c r="Q428" s="55" t="s">
        <v>51</v>
      </c>
      <c r="R428" s="58">
        <v>43642.7059490741</v>
      </c>
    </row>
    <row r="429" s="55" customFormat="1" spans="1:18">
      <c r="A429" s="55" t="e">
        <f>VLOOKUP(B429,[1]天猫!$B$3:$H$258,1,FALSE)</f>
        <v>#N/A</v>
      </c>
      <c r="B429" s="55" t="str">
        <f>"474978016781422385"</f>
        <v>474978016781422385</v>
      </c>
      <c r="C429" s="55" t="s">
        <v>2020</v>
      </c>
      <c r="D429" s="55">
        <v>1.1</v>
      </c>
      <c r="E429" s="55" t="s">
        <v>53</v>
      </c>
      <c r="F429" s="55" t="s">
        <v>2026</v>
      </c>
      <c r="G429" s="55" t="s">
        <v>2027</v>
      </c>
      <c r="H429" s="55" t="s">
        <v>2028</v>
      </c>
      <c r="I429" s="58">
        <v>43622.6218518519</v>
      </c>
      <c r="J429" s="58">
        <v>43622.6234722222</v>
      </c>
      <c r="K429" s="55" t="s">
        <v>1331</v>
      </c>
      <c r="M429" s="55" t="s">
        <v>635</v>
      </c>
      <c r="N429" s="55" t="s">
        <v>1099</v>
      </c>
      <c r="O429" s="55">
        <v>1</v>
      </c>
      <c r="P429" s="55">
        <v>0</v>
      </c>
      <c r="Q429" s="55" t="s">
        <v>51</v>
      </c>
      <c r="R429" s="58">
        <v>43622.6238425926</v>
      </c>
    </row>
    <row r="430" s="55" customFormat="1" spans="1:18">
      <c r="A430" s="55" t="e">
        <f>VLOOKUP(B430,[1]天猫!$B$3:$H$258,1,FALSE)</f>
        <v>#N/A</v>
      </c>
      <c r="B430" s="55" t="str">
        <f>"475257153967385740"</f>
        <v>475257153967385740</v>
      </c>
      <c r="C430" s="55" t="s">
        <v>2029</v>
      </c>
      <c r="D430" s="55">
        <v>1799</v>
      </c>
      <c r="E430" s="55" t="s">
        <v>53</v>
      </c>
      <c r="F430" s="55" t="s">
        <v>2030</v>
      </c>
      <c r="G430" s="55" t="s">
        <v>2031</v>
      </c>
      <c r="H430" s="55" t="s">
        <v>2032</v>
      </c>
      <c r="I430" s="58">
        <v>43622.5838425926</v>
      </c>
      <c r="J430" s="58">
        <v>43622.5839236111</v>
      </c>
      <c r="K430" s="55" t="s">
        <v>57</v>
      </c>
      <c r="L430" s="55" t="s">
        <v>2033</v>
      </c>
      <c r="M430" s="55" t="s">
        <v>49</v>
      </c>
      <c r="N430" s="55" t="s">
        <v>2034</v>
      </c>
      <c r="O430" s="55">
        <v>3</v>
      </c>
      <c r="P430" s="55">
        <v>0</v>
      </c>
      <c r="Q430" s="55" t="s">
        <v>51</v>
      </c>
      <c r="R430" s="58">
        <v>43626.3274189815</v>
      </c>
    </row>
    <row r="431" s="55" customFormat="1" spans="1:18">
      <c r="A431" s="55" t="e">
        <f>VLOOKUP(B431,[1]天猫!$B$3:$H$258,1,FALSE)</f>
        <v>#N/A</v>
      </c>
      <c r="B431" s="55" t="str">
        <f>"475878723049385740"</f>
        <v>475878723049385740</v>
      </c>
      <c r="C431" s="55" t="s">
        <v>2029</v>
      </c>
      <c r="D431" s="55">
        <v>1799</v>
      </c>
      <c r="E431" s="55" t="s">
        <v>53</v>
      </c>
      <c r="F431" s="55" t="s">
        <v>2030</v>
      </c>
      <c r="G431" s="55" t="s">
        <v>2031</v>
      </c>
      <c r="H431" s="55" t="s">
        <v>2032</v>
      </c>
      <c r="I431" s="58">
        <v>43622.5836342593</v>
      </c>
      <c r="J431" s="58">
        <v>43622.5837384259</v>
      </c>
      <c r="K431" s="55" t="s">
        <v>57</v>
      </c>
      <c r="L431" s="55" t="s">
        <v>2033</v>
      </c>
      <c r="M431" s="55" t="s">
        <v>49</v>
      </c>
      <c r="N431" s="55" t="s">
        <v>2034</v>
      </c>
      <c r="O431" s="55">
        <v>3</v>
      </c>
      <c r="P431" s="55">
        <v>0</v>
      </c>
      <c r="Q431" s="55" t="s">
        <v>51</v>
      </c>
      <c r="R431" s="58">
        <v>43626.3275115741</v>
      </c>
    </row>
    <row r="432" s="55" customFormat="1" spans="1:18">
      <c r="A432" s="55" t="e">
        <f>VLOOKUP(B432,[1]天猫!$B$3:$H$258,1,FALSE)</f>
        <v>#N/A</v>
      </c>
      <c r="B432" s="55" t="str">
        <f>"475242017536385740"</f>
        <v>475242017536385740</v>
      </c>
      <c r="C432" s="55" t="s">
        <v>2029</v>
      </c>
      <c r="D432" s="55">
        <v>1</v>
      </c>
      <c r="E432" s="55" t="s">
        <v>53</v>
      </c>
      <c r="F432" s="55" t="s">
        <v>2030</v>
      </c>
      <c r="G432" s="55" t="s">
        <v>2031</v>
      </c>
      <c r="H432" s="55" t="s">
        <v>2032</v>
      </c>
      <c r="I432" s="58">
        <v>43622.5737268518</v>
      </c>
      <c r="J432" s="58">
        <v>43622.5737731481</v>
      </c>
      <c r="K432" s="55" t="s">
        <v>1331</v>
      </c>
      <c r="M432" s="55" t="s">
        <v>635</v>
      </c>
      <c r="N432" s="55" t="s">
        <v>1099</v>
      </c>
      <c r="O432" s="55">
        <v>1</v>
      </c>
      <c r="P432" s="55">
        <v>0</v>
      </c>
      <c r="Q432" s="55" t="s">
        <v>51</v>
      </c>
      <c r="R432" s="58">
        <v>43622.5741319444</v>
      </c>
    </row>
    <row r="433" s="55" customFormat="1" spans="1:18">
      <c r="A433" s="55" t="e">
        <f>VLOOKUP(B433,[1]天猫!$B$3:$H$258,1,FALSE)</f>
        <v>#N/A</v>
      </c>
      <c r="B433" s="55" t="str">
        <f>"475856035536385740"</f>
        <v>475856035536385740</v>
      </c>
      <c r="C433" s="55" t="s">
        <v>2029</v>
      </c>
      <c r="D433" s="55">
        <v>1</v>
      </c>
      <c r="E433" s="55" t="s">
        <v>53</v>
      </c>
      <c r="F433" s="55" t="s">
        <v>2030</v>
      </c>
      <c r="G433" s="55" t="s">
        <v>2031</v>
      </c>
      <c r="H433" s="55" t="s">
        <v>2032</v>
      </c>
      <c r="I433" s="58">
        <v>43622.573599537</v>
      </c>
      <c r="J433" s="58">
        <v>43622.5736574074</v>
      </c>
      <c r="K433" s="55" t="s">
        <v>1331</v>
      </c>
      <c r="M433" s="55" t="s">
        <v>635</v>
      </c>
      <c r="N433" s="55" t="s">
        <v>1099</v>
      </c>
      <c r="O433" s="55">
        <v>1</v>
      </c>
      <c r="P433" s="55">
        <v>0</v>
      </c>
      <c r="Q433" s="55" t="s">
        <v>51</v>
      </c>
      <c r="R433" s="58">
        <v>43622.5736805556</v>
      </c>
    </row>
    <row r="434" s="55" customFormat="1" spans="1:18">
      <c r="A434" s="55" t="e">
        <f>VLOOKUP(B434,[1]天猫!$B$3:$H$258,1,FALSE)</f>
        <v>#N/A</v>
      </c>
      <c r="B434" s="55" t="str">
        <f>"304921006487712006"</f>
        <v>304921006487712006</v>
      </c>
      <c r="C434" s="55" t="s">
        <v>2035</v>
      </c>
      <c r="D434" s="55">
        <v>2090</v>
      </c>
      <c r="E434" s="55" t="s">
        <v>53</v>
      </c>
      <c r="F434" s="55" t="s">
        <v>2036</v>
      </c>
      <c r="G434" s="55" t="s">
        <v>2037</v>
      </c>
      <c r="H434" s="55" t="s">
        <v>2038</v>
      </c>
      <c r="I434" s="58">
        <v>43622.485474537</v>
      </c>
      <c r="J434" s="58">
        <v>43622.4855671296</v>
      </c>
      <c r="K434" s="55" t="s">
        <v>454</v>
      </c>
      <c r="L434" s="55" t="s">
        <v>2039</v>
      </c>
      <c r="M434" s="55" t="s">
        <v>49</v>
      </c>
      <c r="N434" s="55" t="s">
        <v>2040</v>
      </c>
      <c r="O434" s="55">
        <v>1</v>
      </c>
      <c r="P434" s="55">
        <v>0</v>
      </c>
      <c r="Q434" s="55" t="s">
        <v>51</v>
      </c>
      <c r="R434" s="58">
        <v>43632.7058449074</v>
      </c>
    </row>
    <row r="435" s="55" customFormat="1" spans="1:18">
      <c r="A435" s="55" t="e">
        <f>VLOOKUP(B435,[1]天猫!$B$3:$H$258,1,FALSE)</f>
        <v>#N/A</v>
      </c>
      <c r="B435" s="55" t="str">
        <f>"304678220046712006"</f>
        <v>304678220046712006</v>
      </c>
      <c r="C435" s="55" t="s">
        <v>2035</v>
      </c>
      <c r="D435" s="55">
        <v>1</v>
      </c>
      <c r="E435" s="55" t="s">
        <v>53</v>
      </c>
      <c r="F435" s="55" t="s">
        <v>2036</v>
      </c>
      <c r="G435" s="55" t="s">
        <v>2037</v>
      </c>
      <c r="H435" s="55" t="s">
        <v>2038</v>
      </c>
      <c r="I435" s="58">
        <v>43622.4836574074</v>
      </c>
      <c r="J435" s="58">
        <v>43622.4837847222</v>
      </c>
      <c r="K435" s="55" t="s">
        <v>1331</v>
      </c>
      <c r="M435" s="55" t="s">
        <v>635</v>
      </c>
      <c r="N435" s="55" t="s">
        <v>1099</v>
      </c>
      <c r="O435" s="55">
        <v>1</v>
      </c>
      <c r="P435" s="55">
        <v>0</v>
      </c>
      <c r="Q435" s="55" t="s">
        <v>51</v>
      </c>
      <c r="R435" s="58">
        <v>43622.4841435185</v>
      </c>
    </row>
    <row r="436" s="55" customFormat="1" spans="1:18">
      <c r="A436" s="55" t="e">
        <f>VLOOKUP(B436,[1]天猫!$B$3:$H$258,1,FALSE)</f>
        <v>#N/A</v>
      </c>
      <c r="B436" s="55" t="str">
        <f>"475347010005355411"</f>
        <v>475347010005355411</v>
      </c>
      <c r="C436" s="55" t="s">
        <v>2041</v>
      </c>
      <c r="D436" s="55">
        <v>50</v>
      </c>
      <c r="E436" s="55" t="s">
        <v>53</v>
      </c>
      <c r="F436" s="55" t="s">
        <v>2042</v>
      </c>
      <c r="G436" s="55" t="s">
        <v>2043</v>
      </c>
      <c r="H436" s="55" t="s">
        <v>2044</v>
      </c>
      <c r="I436" s="58">
        <v>43622.4692939815</v>
      </c>
      <c r="J436" s="58">
        <v>43622.469375</v>
      </c>
      <c r="K436" s="55" t="s">
        <v>75</v>
      </c>
      <c r="L436" s="55" t="s">
        <v>2045</v>
      </c>
      <c r="M436" s="55" t="s">
        <v>49</v>
      </c>
      <c r="N436" s="55" t="s">
        <v>2046</v>
      </c>
      <c r="O436" s="55">
        <v>3</v>
      </c>
      <c r="P436" s="55">
        <v>2949</v>
      </c>
      <c r="Q436" s="55" t="s">
        <v>51</v>
      </c>
      <c r="R436" s="58">
        <v>43641.5217708333</v>
      </c>
    </row>
    <row r="437" s="55" customFormat="1" spans="1:18">
      <c r="A437" s="55" t="e">
        <f>VLOOKUP(B437,[1]天猫!$B$3:$H$258,1,FALSE)</f>
        <v>#N/A</v>
      </c>
      <c r="B437" s="55" t="str">
        <f>"475623747764355411"</f>
        <v>475623747764355411</v>
      </c>
      <c r="C437" s="55" t="s">
        <v>2041</v>
      </c>
      <c r="D437" s="55">
        <v>1</v>
      </c>
      <c r="E437" s="55" t="s">
        <v>53</v>
      </c>
      <c r="F437" s="55" t="s">
        <v>2042</v>
      </c>
      <c r="G437" s="55" t="s">
        <v>2043</v>
      </c>
      <c r="H437" s="55" t="s">
        <v>2044</v>
      </c>
      <c r="I437" s="58">
        <v>43622.4630671296</v>
      </c>
      <c r="J437" s="58">
        <v>43622.4631944444</v>
      </c>
      <c r="K437" s="55" t="s">
        <v>1331</v>
      </c>
      <c r="M437" s="55" t="s">
        <v>635</v>
      </c>
      <c r="N437" s="55" t="s">
        <v>2047</v>
      </c>
      <c r="O437" s="55">
        <v>1</v>
      </c>
      <c r="P437" s="55">
        <v>0</v>
      </c>
      <c r="Q437" s="55" t="s">
        <v>51</v>
      </c>
      <c r="R437" s="58">
        <v>43622.4635763889</v>
      </c>
    </row>
    <row r="438" s="48" customFormat="1" spans="1:18">
      <c r="A438" s="55" t="e">
        <f>VLOOKUP(B438,[1]天猫!$B$3:$H$258,1,FALSE)</f>
        <v>#N/A</v>
      </c>
      <c r="B438" s="48" t="str">
        <f>"475271234537082721"</f>
        <v>475271234537082721</v>
      </c>
      <c r="C438" s="48" t="s">
        <v>2048</v>
      </c>
      <c r="D438" s="48">
        <v>1</v>
      </c>
      <c r="E438" s="48" t="s">
        <v>53</v>
      </c>
      <c r="F438" s="48" t="s">
        <v>2049</v>
      </c>
      <c r="G438" s="48" t="s">
        <v>2050</v>
      </c>
      <c r="H438" s="48" t="s">
        <v>2051</v>
      </c>
      <c r="I438" s="51">
        <v>43622.4364583333</v>
      </c>
      <c r="J438" s="51">
        <v>43622.4365162037</v>
      </c>
      <c r="K438" s="48" t="s">
        <v>1331</v>
      </c>
      <c r="M438" s="48" t="s">
        <v>635</v>
      </c>
      <c r="O438" s="48">
        <v>1</v>
      </c>
      <c r="P438" s="48">
        <v>0</v>
      </c>
      <c r="Q438" s="48" t="s">
        <v>51</v>
      </c>
      <c r="R438" s="51">
        <v>43622.4368634259</v>
      </c>
    </row>
    <row r="439" s="48" customFormat="1" spans="1:18">
      <c r="A439" s="55" t="e">
        <f>VLOOKUP(B439,[1]天猫!$B$3:$H$258,1,FALSE)</f>
        <v>#N/A</v>
      </c>
      <c r="B439" s="48" t="str">
        <f>"474353313825965656"</f>
        <v>474353313825965656</v>
      </c>
      <c r="C439" s="48" t="s">
        <v>1364</v>
      </c>
      <c r="D439" s="48">
        <v>1</v>
      </c>
      <c r="E439" s="48" t="s">
        <v>53</v>
      </c>
      <c r="F439" s="48" t="s">
        <v>1365</v>
      </c>
      <c r="G439" s="48" t="s">
        <v>1366</v>
      </c>
      <c r="H439" s="48" t="s">
        <v>1367</v>
      </c>
      <c r="I439" s="51">
        <v>43621.8271990741</v>
      </c>
      <c r="J439" s="51">
        <v>43621.8275</v>
      </c>
      <c r="K439" s="48" t="s">
        <v>1331</v>
      </c>
      <c r="M439" s="48" t="s">
        <v>635</v>
      </c>
      <c r="N439" s="48" t="s">
        <v>699</v>
      </c>
      <c r="O439" s="48">
        <v>1</v>
      </c>
      <c r="P439" s="48">
        <v>0</v>
      </c>
      <c r="Q439" s="48" t="s">
        <v>51</v>
      </c>
      <c r="R439" s="51">
        <v>43621.8278472222</v>
      </c>
    </row>
    <row r="440" s="56" customFormat="1" spans="1:18">
      <c r="A440" s="55" t="e">
        <f>VLOOKUP(B440,[1]天猫!$B$3:$H$258,1,FALSE)</f>
        <v>#N/A</v>
      </c>
      <c r="B440" s="56" t="str">
        <f>"282811398135826496"</f>
        <v>282811398135826496</v>
      </c>
      <c r="C440" s="56" t="s">
        <v>2052</v>
      </c>
      <c r="D440" s="56">
        <v>954.24</v>
      </c>
      <c r="E440" s="56" t="s">
        <v>53</v>
      </c>
      <c r="F440" s="56" t="s">
        <v>2053</v>
      </c>
      <c r="G440" s="56" t="s">
        <v>2054</v>
      </c>
      <c r="H440" s="56" t="s">
        <v>2055</v>
      </c>
      <c r="I440" s="59">
        <v>43621.7644791667</v>
      </c>
      <c r="J440" s="59">
        <v>43621.764537037</v>
      </c>
      <c r="K440" s="56" t="s">
        <v>1351</v>
      </c>
      <c r="L440" s="56" t="s">
        <v>2056</v>
      </c>
      <c r="M440" s="56" t="s">
        <v>49</v>
      </c>
      <c r="N440" s="56" t="s">
        <v>2057</v>
      </c>
      <c r="O440" s="56">
        <v>2</v>
      </c>
      <c r="P440" s="56">
        <v>0</v>
      </c>
      <c r="Q440" s="56" t="s">
        <v>51</v>
      </c>
      <c r="R440" s="59">
        <v>43628.5545949074</v>
      </c>
    </row>
    <row r="441" s="56" customFormat="1" spans="1:18">
      <c r="A441" s="55" t="e">
        <f>VLOOKUP(B441,[1]天猫!$B$3:$H$258,1,FALSE)</f>
        <v>#N/A</v>
      </c>
      <c r="B441" s="56" t="str">
        <f>"474821379701088267"</f>
        <v>474821379701088267</v>
      </c>
      <c r="C441" s="56" t="s">
        <v>1181</v>
      </c>
      <c r="D441" s="56">
        <v>3029.12</v>
      </c>
      <c r="E441" s="56" t="s">
        <v>53</v>
      </c>
      <c r="F441" s="56" t="s">
        <v>2058</v>
      </c>
      <c r="G441" s="56" t="s">
        <v>2059</v>
      </c>
      <c r="H441" s="56" t="s">
        <v>2060</v>
      </c>
      <c r="I441" s="59">
        <v>43621.7375925926</v>
      </c>
      <c r="J441" s="59">
        <v>43621.737662037</v>
      </c>
      <c r="K441" s="56" t="s">
        <v>2061</v>
      </c>
      <c r="L441" s="56" t="s">
        <v>2062</v>
      </c>
      <c r="M441" s="56" t="s">
        <v>49</v>
      </c>
      <c r="N441" s="56" t="s">
        <v>2063</v>
      </c>
      <c r="O441" s="56">
        <v>2</v>
      </c>
      <c r="P441" s="56">
        <v>469.88</v>
      </c>
      <c r="Q441" s="56" t="s">
        <v>51</v>
      </c>
      <c r="R441" s="59">
        <v>43632.7218402778</v>
      </c>
    </row>
    <row r="442" s="48" customFormat="1" spans="1:18">
      <c r="A442" s="55" t="e">
        <f>VLOOKUP(B442,[1]天猫!$B$3:$H$258,1,FALSE)</f>
        <v>#N/A</v>
      </c>
      <c r="B442" s="48" t="str">
        <f>"473845888879088267"</f>
        <v>473845888879088267</v>
      </c>
      <c r="C442" s="48" t="s">
        <v>1181</v>
      </c>
      <c r="D442" s="48">
        <v>1</v>
      </c>
      <c r="E442" s="48" t="s">
        <v>53</v>
      </c>
      <c r="F442" s="48" t="s">
        <v>2058</v>
      </c>
      <c r="G442" s="48" t="s">
        <v>2059</v>
      </c>
      <c r="H442" s="48" t="s">
        <v>2060</v>
      </c>
      <c r="I442" s="51">
        <v>43621.7359027778</v>
      </c>
      <c r="J442" s="51">
        <v>43621.7359490741</v>
      </c>
      <c r="K442" s="48" t="s">
        <v>1331</v>
      </c>
      <c r="M442" s="48" t="s">
        <v>635</v>
      </c>
      <c r="O442" s="48">
        <v>1</v>
      </c>
      <c r="P442" s="48">
        <v>0</v>
      </c>
      <c r="Q442" s="48" t="s">
        <v>51</v>
      </c>
      <c r="R442" s="51">
        <v>43621.7362962963</v>
      </c>
    </row>
    <row r="443" s="48" customFormat="1" hidden="1" spans="1:18">
      <c r="A443" s="55" t="str">
        <f>VLOOKUP(B443,[1]天猫!$B$3:$H$258,1,FALSE)</f>
        <v>474391458703956623</v>
      </c>
      <c r="B443" s="48" t="str">
        <f>"474391458703956623"</f>
        <v>474391458703956623</v>
      </c>
      <c r="C443" s="48" t="s">
        <v>2064</v>
      </c>
      <c r="D443" s="48">
        <v>3166</v>
      </c>
      <c r="E443" s="48" t="s">
        <v>53</v>
      </c>
      <c r="F443" s="48" t="s">
        <v>2065</v>
      </c>
      <c r="G443" s="48" t="s">
        <v>2066</v>
      </c>
      <c r="H443" s="48" t="s">
        <v>2067</v>
      </c>
      <c r="I443" s="51">
        <v>43621.6687731482</v>
      </c>
      <c r="J443" s="51">
        <v>43621.7005555556</v>
      </c>
      <c r="K443" s="48" t="s">
        <v>75</v>
      </c>
      <c r="L443" s="48" t="s">
        <v>2068</v>
      </c>
      <c r="M443" s="48" t="s">
        <v>49</v>
      </c>
      <c r="O443" s="48">
        <v>3</v>
      </c>
      <c r="P443" s="48">
        <v>0</v>
      </c>
      <c r="Q443" s="48" t="s">
        <v>51</v>
      </c>
      <c r="R443" s="51">
        <v>43632.2949074074</v>
      </c>
    </row>
    <row r="444" s="48" customFormat="1" spans="1:18">
      <c r="A444" s="55" t="e">
        <f>VLOOKUP(B444,[1]天猫!$B$3:$H$258,1,FALSE)</f>
        <v>#N/A</v>
      </c>
      <c r="B444" s="48" t="str">
        <f>"473721088441956623"</f>
        <v>473721088441956623</v>
      </c>
      <c r="C444" s="48" t="s">
        <v>2064</v>
      </c>
      <c r="D444" s="48">
        <v>1</v>
      </c>
      <c r="E444" s="48" t="s">
        <v>53</v>
      </c>
      <c r="F444" s="48" t="s">
        <v>2065</v>
      </c>
      <c r="G444" s="48" t="s">
        <v>2066</v>
      </c>
      <c r="H444" s="48" t="s">
        <v>2067</v>
      </c>
      <c r="I444" s="51">
        <v>43621.6671064815</v>
      </c>
      <c r="J444" s="51">
        <v>43621.6671412037</v>
      </c>
      <c r="K444" s="48" t="s">
        <v>1331</v>
      </c>
      <c r="M444" s="48" t="s">
        <v>635</v>
      </c>
      <c r="O444" s="48">
        <v>1</v>
      </c>
      <c r="P444" s="48">
        <v>0</v>
      </c>
      <c r="Q444" s="48" t="s">
        <v>51</v>
      </c>
      <c r="R444" s="51">
        <v>43621.6675115741</v>
      </c>
    </row>
    <row r="445" s="48" customFormat="1" spans="1:18">
      <c r="A445" s="55" t="e">
        <f>VLOOKUP(B445,[1]天猫!$B$3:$H$258,1,FALSE)</f>
        <v>#N/A</v>
      </c>
      <c r="B445" s="48" t="str">
        <f>"474060321649519366"</f>
        <v>474060321649519366</v>
      </c>
      <c r="C445" s="48" t="s">
        <v>1866</v>
      </c>
      <c r="D445" s="48">
        <v>1</v>
      </c>
      <c r="E445" s="48" t="s">
        <v>53</v>
      </c>
      <c r="F445" s="48" t="s">
        <v>1867</v>
      </c>
      <c r="G445" s="48" t="s">
        <v>1868</v>
      </c>
      <c r="H445" s="48" t="s">
        <v>1869</v>
      </c>
      <c r="I445" s="51">
        <v>43621.6654513889</v>
      </c>
      <c r="J445" s="51">
        <v>43621.672974537</v>
      </c>
      <c r="K445" s="48" t="s">
        <v>1331</v>
      </c>
      <c r="M445" s="48" t="s">
        <v>635</v>
      </c>
      <c r="N445" s="48" t="s">
        <v>699</v>
      </c>
      <c r="O445" s="48">
        <v>1</v>
      </c>
      <c r="P445" s="48">
        <v>0</v>
      </c>
      <c r="Q445" s="48" t="s">
        <v>51</v>
      </c>
      <c r="R445" s="51">
        <v>43621.6733333333</v>
      </c>
    </row>
    <row r="446" s="48" customFormat="1" hidden="1" spans="1:18">
      <c r="A446" s="55" t="str">
        <f>VLOOKUP(B446,[1]天猫!$B$3:$H$258,1,FALSE)</f>
        <v>474369762752195057</v>
      </c>
      <c r="B446" s="48" t="str">
        <f>"474369762752195057"</f>
        <v>474369762752195057</v>
      </c>
      <c r="C446" s="48" t="s">
        <v>2069</v>
      </c>
      <c r="D446" s="48">
        <v>2235.04</v>
      </c>
      <c r="E446" s="48" t="s">
        <v>53</v>
      </c>
      <c r="F446" s="48" t="s">
        <v>2070</v>
      </c>
      <c r="G446" s="48" t="s">
        <v>2071</v>
      </c>
      <c r="H446" s="48" t="s">
        <v>2072</v>
      </c>
      <c r="I446" s="51">
        <v>43621.6579282407</v>
      </c>
      <c r="J446" s="51">
        <v>43621.6639467593</v>
      </c>
      <c r="K446" s="48" t="s">
        <v>1923</v>
      </c>
      <c r="L446" s="48" t="s">
        <v>2073</v>
      </c>
      <c r="M446" s="48" t="s">
        <v>49</v>
      </c>
      <c r="O446" s="48">
        <v>6</v>
      </c>
      <c r="P446" s="48">
        <v>0</v>
      </c>
      <c r="Q446" s="48" t="s">
        <v>51</v>
      </c>
      <c r="R446" s="51">
        <v>43625.9357986111</v>
      </c>
    </row>
    <row r="447" s="48" customFormat="1" spans="1:18">
      <c r="A447" s="55" t="e">
        <f>VLOOKUP(B447,[1]天猫!$B$3:$H$258,1,FALSE)</f>
        <v>#N/A</v>
      </c>
      <c r="B447" s="48" t="str">
        <f>"474370914291195057"</f>
        <v>474370914291195057</v>
      </c>
      <c r="C447" s="48" t="s">
        <v>2069</v>
      </c>
      <c r="D447" s="48">
        <v>1</v>
      </c>
      <c r="E447" s="48" t="s">
        <v>53</v>
      </c>
      <c r="F447" s="48" t="s">
        <v>2070</v>
      </c>
      <c r="G447" s="48" t="s">
        <v>2071</v>
      </c>
      <c r="H447" s="48" t="s">
        <v>2072</v>
      </c>
      <c r="I447" s="51">
        <v>43621.65625</v>
      </c>
      <c r="J447" s="51">
        <v>43621.6563888889</v>
      </c>
      <c r="K447" s="48" t="s">
        <v>1331</v>
      </c>
      <c r="M447" s="48" t="s">
        <v>635</v>
      </c>
      <c r="O447" s="48">
        <v>1</v>
      </c>
      <c r="P447" s="48">
        <v>0</v>
      </c>
      <c r="Q447" s="48" t="s">
        <v>51</v>
      </c>
      <c r="R447" s="51">
        <v>43621.6567592593</v>
      </c>
    </row>
    <row r="448" s="55" customFormat="1" spans="1:18">
      <c r="A448" s="55" t="e">
        <f>VLOOKUP(B448,[1]天猫!$B$3:$H$258,1,FALSE)</f>
        <v>#N/A</v>
      </c>
      <c r="B448" s="55" t="str">
        <f>"474357154480214560"</f>
        <v>474357154480214560</v>
      </c>
      <c r="C448" s="55" t="s">
        <v>2074</v>
      </c>
      <c r="D448" s="55">
        <v>1054.24</v>
      </c>
      <c r="E448" s="55" t="s">
        <v>53</v>
      </c>
      <c r="F448" s="55" t="s">
        <v>2075</v>
      </c>
      <c r="G448" s="55" t="s">
        <v>2076</v>
      </c>
      <c r="H448" s="55" t="s">
        <v>2077</v>
      </c>
      <c r="I448" s="58">
        <v>43621.6508333333</v>
      </c>
      <c r="J448" s="58">
        <v>43621.6509722222</v>
      </c>
      <c r="K448" s="55" t="s">
        <v>1351</v>
      </c>
      <c r="L448" s="55" t="s">
        <v>2078</v>
      </c>
      <c r="M448" s="55" t="s">
        <v>49</v>
      </c>
      <c r="N448" s="55" t="s">
        <v>2079</v>
      </c>
      <c r="O448" s="55">
        <v>2</v>
      </c>
      <c r="P448" s="55">
        <v>0</v>
      </c>
      <c r="Q448" s="55" t="s">
        <v>51</v>
      </c>
      <c r="R448" s="58">
        <v>43632.6403935185</v>
      </c>
    </row>
    <row r="449" s="48" customFormat="1" hidden="1" spans="1:18">
      <c r="A449" s="55" t="str">
        <f>VLOOKUP(B449,[1]天猫!$B$3:$H$258,1,FALSE)</f>
        <v>474591971298166815</v>
      </c>
      <c r="B449" s="48" t="str">
        <f>"474591971298166815"</f>
        <v>474591971298166815</v>
      </c>
      <c r="C449" s="48" t="s">
        <v>2080</v>
      </c>
      <c r="D449" s="48">
        <v>2763.04</v>
      </c>
      <c r="E449" s="48" t="s">
        <v>53</v>
      </c>
      <c r="F449" s="48" t="s">
        <v>2080</v>
      </c>
      <c r="G449" s="48" t="s">
        <v>2081</v>
      </c>
      <c r="H449" s="48" t="s">
        <v>2082</v>
      </c>
      <c r="I449" s="51">
        <v>43621.6174768519</v>
      </c>
      <c r="J449" s="51">
        <v>43621.6238541667</v>
      </c>
      <c r="K449" s="48" t="s">
        <v>1351</v>
      </c>
      <c r="L449" s="48" t="s">
        <v>2083</v>
      </c>
      <c r="M449" s="48" t="s">
        <v>49</v>
      </c>
      <c r="O449" s="48">
        <v>6</v>
      </c>
      <c r="P449" s="48">
        <v>0</v>
      </c>
      <c r="Q449" s="48" t="s">
        <v>51</v>
      </c>
      <c r="R449" s="51">
        <v>43628.4332407407</v>
      </c>
    </row>
    <row r="450" s="48" customFormat="1" spans="1:18">
      <c r="A450" s="55" t="e">
        <f>VLOOKUP(B450,[1]天猫!$B$3:$H$258,1,FALSE)</f>
        <v>#N/A</v>
      </c>
      <c r="B450" s="48" t="str">
        <f>"474585475337166815"</f>
        <v>474585475337166815</v>
      </c>
      <c r="C450" s="48" t="s">
        <v>2080</v>
      </c>
      <c r="D450" s="48">
        <v>1</v>
      </c>
      <c r="E450" s="48" t="s">
        <v>53</v>
      </c>
      <c r="F450" s="48" t="s">
        <v>2080</v>
      </c>
      <c r="G450" s="48" t="s">
        <v>2081</v>
      </c>
      <c r="H450" s="48" t="s">
        <v>2082</v>
      </c>
      <c r="I450" s="51">
        <v>43621.6143287037</v>
      </c>
      <c r="J450" s="51">
        <v>43621.6144328704</v>
      </c>
      <c r="K450" s="48" t="s">
        <v>1331</v>
      </c>
      <c r="M450" s="48" t="s">
        <v>635</v>
      </c>
      <c r="O450" s="48">
        <v>1</v>
      </c>
      <c r="P450" s="48">
        <v>0</v>
      </c>
      <c r="Q450" s="48" t="s">
        <v>51</v>
      </c>
      <c r="R450" s="51">
        <v>43621.6148263889</v>
      </c>
    </row>
    <row r="451" s="48" customFormat="1" spans="1:18">
      <c r="A451" s="55" t="e">
        <f>VLOOKUP(B451,[1]天猫!$B$3:$H$258,1,FALSE)</f>
        <v>#N/A</v>
      </c>
      <c r="B451" s="48" t="str">
        <f>"473927777718160249"</f>
        <v>473927777718160249</v>
      </c>
      <c r="C451" s="48" t="s">
        <v>2084</v>
      </c>
      <c r="D451" s="48">
        <v>1</v>
      </c>
      <c r="E451" s="48" t="s">
        <v>53</v>
      </c>
      <c r="F451" s="48" t="s">
        <v>2085</v>
      </c>
      <c r="G451" s="48" t="s">
        <v>2086</v>
      </c>
      <c r="H451" s="48" t="s">
        <v>2087</v>
      </c>
      <c r="I451" s="51">
        <v>43621.597025463</v>
      </c>
      <c r="J451" s="51">
        <v>43621.5970833333</v>
      </c>
      <c r="K451" s="48" t="s">
        <v>1331</v>
      </c>
      <c r="M451" s="48" t="s">
        <v>635</v>
      </c>
      <c r="N451" s="48" t="s">
        <v>699</v>
      </c>
      <c r="O451" s="48">
        <v>1</v>
      </c>
      <c r="P451" s="48">
        <v>0</v>
      </c>
      <c r="Q451" s="48" t="s">
        <v>51</v>
      </c>
      <c r="R451" s="51">
        <v>43621.5974768518</v>
      </c>
    </row>
    <row r="452" s="48" customFormat="1" hidden="1" spans="1:18">
      <c r="A452" s="55" t="str">
        <f>VLOOKUP(B452,[1]天猫!$B$3:$H$258,1,FALSE)</f>
        <v>473928673499018758</v>
      </c>
      <c r="B452" s="48" t="str">
        <f>"473928673499018758"</f>
        <v>473928673499018758</v>
      </c>
      <c r="C452" s="48" t="s">
        <v>2088</v>
      </c>
      <c r="D452" s="48">
        <v>1999.2</v>
      </c>
      <c r="E452" s="48" t="s">
        <v>53</v>
      </c>
      <c r="F452" s="48" t="s">
        <v>2089</v>
      </c>
      <c r="G452" s="48" t="s">
        <v>2090</v>
      </c>
      <c r="H452" s="48" t="s">
        <v>2091</v>
      </c>
      <c r="I452" s="51">
        <v>43621.5965740741</v>
      </c>
      <c r="J452" s="51">
        <v>43621.6032060185</v>
      </c>
      <c r="K452" s="48" t="s">
        <v>1351</v>
      </c>
      <c r="L452" s="48" t="s">
        <v>2092</v>
      </c>
      <c r="M452" s="48" t="s">
        <v>49</v>
      </c>
      <c r="O452" s="48">
        <v>5</v>
      </c>
      <c r="P452" s="48">
        <v>0</v>
      </c>
      <c r="Q452" s="48" t="s">
        <v>51</v>
      </c>
      <c r="R452" s="51">
        <v>43629.637349537</v>
      </c>
    </row>
    <row r="453" s="48" customFormat="1" spans="1:18">
      <c r="A453" s="55" t="e">
        <f>VLOOKUP(B453,[1]天猫!$B$3:$H$258,1,FALSE)</f>
        <v>#N/A</v>
      </c>
      <c r="B453" s="48" t="str">
        <f>"474541795669018758"</f>
        <v>474541795669018758</v>
      </c>
      <c r="C453" s="48" t="s">
        <v>2088</v>
      </c>
      <c r="D453" s="48">
        <v>1</v>
      </c>
      <c r="E453" s="48" t="s">
        <v>53</v>
      </c>
      <c r="F453" s="48" t="s">
        <v>2089</v>
      </c>
      <c r="G453" s="48" t="s">
        <v>2090</v>
      </c>
      <c r="H453" s="48" t="s">
        <v>2091</v>
      </c>
      <c r="I453" s="51">
        <v>43621.5938657407</v>
      </c>
      <c r="J453" s="51">
        <v>43621.5939814815</v>
      </c>
      <c r="K453" s="48" t="s">
        <v>1331</v>
      </c>
      <c r="M453" s="48" t="s">
        <v>635</v>
      </c>
      <c r="O453" s="48">
        <v>1</v>
      </c>
      <c r="P453" s="48">
        <v>0</v>
      </c>
      <c r="Q453" s="48" t="s">
        <v>51</v>
      </c>
      <c r="R453" s="51">
        <v>43621.5943287037</v>
      </c>
    </row>
    <row r="454" s="55" customFormat="1" spans="1:18">
      <c r="A454" s="55" t="e">
        <f>VLOOKUP(B454,[1]天猫!$B$3:$H$258,1,FALSE)</f>
        <v>#N/A</v>
      </c>
      <c r="B454" s="55" t="str">
        <f>"474243362275892871"</f>
        <v>474243362275892871</v>
      </c>
      <c r="C454" s="55" t="s">
        <v>2093</v>
      </c>
      <c r="D454" s="55">
        <v>1799</v>
      </c>
      <c r="E454" s="55" t="s">
        <v>53</v>
      </c>
      <c r="F454" s="55" t="s">
        <v>2094</v>
      </c>
      <c r="G454" s="55" t="s">
        <v>2095</v>
      </c>
      <c r="H454" s="55" t="s">
        <v>2096</v>
      </c>
      <c r="I454" s="58">
        <v>43621.592974537</v>
      </c>
      <c r="J454" s="58">
        <v>43621.5930324074</v>
      </c>
      <c r="K454" s="55" t="s">
        <v>57</v>
      </c>
      <c r="L454" s="55" t="s">
        <v>2097</v>
      </c>
      <c r="M454" s="55" t="s">
        <v>49</v>
      </c>
      <c r="N454" s="55" t="s">
        <v>2098</v>
      </c>
      <c r="O454" s="55">
        <v>3</v>
      </c>
      <c r="P454" s="55">
        <v>0</v>
      </c>
      <c r="Q454" s="55" t="s">
        <v>51</v>
      </c>
      <c r="R454" s="58">
        <v>43632.6403703704</v>
      </c>
    </row>
    <row r="455" s="48" customFormat="1" spans="1:18">
      <c r="A455" s="55" t="e">
        <f>VLOOKUP(B455,[1]天猫!$B$3:$H$258,1,FALSE)</f>
        <v>#N/A</v>
      </c>
      <c r="B455" s="48" t="str">
        <f>"474216802205892871"</f>
        <v>474216802205892871</v>
      </c>
      <c r="C455" s="48" t="s">
        <v>2093</v>
      </c>
      <c r="D455" s="48">
        <v>1</v>
      </c>
      <c r="E455" s="48" t="s">
        <v>53</v>
      </c>
      <c r="F455" s="48" t="s">
        <v>2094</v>
      </c>
      <c r="G455" s="48" t="s">
        <v>2095</v>
      </c>
      <c r="H455" s="48" t="s">
        <v>2096</v>
      </c>
      <c r="I455" s="51">
        <v>43621.5790046296</v>
      </c>
      <c r="J455" s="51">
        <v>43621.5790393519</v>
      </c>
      <c r="K455" s="48" t="s">
        <v>1331</v>
      </c>
      <c r="M455" s="48" t="s">
        <v>635</v>
      </c>
      <c r="O455" s="48">
        <v>1</v>
      </c>
      <c r="P455" s="48">
        <v>0</v>
      </c>
      <c r="Q455" s="48" t="s">
        <v>51</v>
      </c>
      <c r="R455" s="51">
        <v>43621.5794212963</v>
      </c>
    </row>
    <row r="456" s="48" customFormat="1" hidden="1" spans="1:18">
      <c r="A456" s="55" t="str">
        <f>VLOOKUP(B456,[1]天猫!$B$3:$H$258,1,FALSE)</f>
        <v>473739233168673482</v>
      </c>
      <c r="B456" s="48" t="str">
        <f>"473739233168673482"</f>
        <v>473739233168673482</v>
      </c>
      <c r="C456" s="48" t="s">
        <v>2099</v>
      </c>
      <c r="D456" s="48">
        <v>1799</v>
      </c>
      <c r="E456" s="48" t="s">
        <v>53</v>
      </c>
      <c r="F456" s="48" t="s">
        <v>2100</v>
      </c>
      <c r="G456" s="48" t="s">
        <v>2101</v>
      </c>
      <c r="H456" s="48" t="s">
        <v>2102</v>
      </c>
      <c r="I456" s="51">
        <v>43621.4966550926</v>
      </c>
      <c r="J456" s="51">
        <v>43621.5021296296</v>
      </c>
      <c r="K456" s="48" t="s">
        <v>634</v>
      </c>
      <c r="L456" s="48" t="s">
        <v>2103</v>
      </c>
      <c r="M456" s="48" t="s">
        <v>49</v>
      </c>
      <c r="O456" s="48">
        <v>1</v>
      </c>
      <c r="P456" s="48">
        <v>0</v>
      </c>
      <c r="Q456" s="48" t="s">
        <v>51</v>
      </c>
      <c r="R456" s="51">
        <v>43630.3651967593</v>
      </c>
    </row>
    <row r="457" s="48" customFormat="1" spans="1:18">
      <c r="A457" s="55" t="e">
        <f>VLOOKUP(B457,[1]天猫!$B$3:$H$258,1,FALSE)</f>
        <v>#N/A</v>
      </c>
      <c r="B457" s="48" t="str">
        <f>"473374400563673482"</f>
        <v>473374400563673482</v>
      </c>
      <c r="C457" s="48" t="s">
        <v>2099</v>
      </c>
      <c r="D457" s="48">
        <v>1</v>
      </c>
      <c r="E457" s="48" t="s">
        <v>53</v>
      </c>
      <c r="F457" s="48" t="s">
        <v>2100</v>
      </c>
      <c r="G457" s="48" t="s">
        <v>2101</v>
      </c>
      <c r="H457" s="48" t="s">
        <v>2102</v>
      </c>
      <c r="I457" s="51">
        <v>43621.4891550926</v>
      </c>
      <c r="J457" s="51">
        <v>43621.489537037</v>
      </c>
      <c r="K457" s="48" t="s">
        <v>1331</v>
      </c>
      <c r="M457" s="48" t="s">
        <v>635</v>
      </c>
      <c r="O457" s="48">
        <v>1</v>
      </c>
      <c r="P457" s="48">
        <v>0</v>
      </c>
      <c r="Q457" s="48" t="s">
        <v>51</v>
      </c>
      <c r="R457" s="51">
        <v>43621.4899074074</v>
      </c>
    </row>
    <row r="458" s="48" customFormat="1" hidden="1" spans="1:18">
      <c r="A458" s="55" t="str">
        <f>VLOOKUP(B458,[1]天猫!$B$3:$H$258,1,FALSE)</f>
        <v>304683821238213300</v>
      </c>
      <c r="B458" s="48" t="str">
        <f>"304683821238213300"</f>
        <v>304683821238213300</v>
      </c>
      <c r="C458" s="48" t="s">
        <v>2104</v>
      </c>
      <c r="D458" s="48">
        <v>1799</v>
      </c>
      <c r="E458" s="48" t="s">
        <v>53</v>
      </c>
      <c r="F458" s="48" t="s">
        <v>2105</v>
      </c>
      <c r="G458" s="48" t="s">
        <v>2106</v>
      </c>
      <c r="H458" s="48" t="s">
        <v>2107</v>
      </c>
      <c r="I458" s="51">
        <v>43621.4663657407</v>
      </c>
      <c r="J458" s="51">
        <v>43621.4717476852</v>
      </c>
      <c r="K458" s="48" t="s">
        <v>634</v>
      </c>
      <c r="L458" s="48" t="s">
        <v>2108</v>
      </c>
      <c r="M458" s="48" t="s">
        <v>49</v>
      </c>
      <c r="O458" s="48">
        <v>1</v>
      </c>
      <c r="P458" s="48">
        <v>0</v>
      </c>
      <c r="Q458" s="48" t="s">
        <v>51</v>
      </c>
      <c r="R458" s="51">
        <v>43627.3558449074</v>
      </c>
    </row>
    <row r="459" s="48" customFormat="1" spans="1:18">
      <c r="A459" s="55" t="e">
        <f>VLOOKUP(B459,[1]天猫!$B$3:$H$258,1,FALSE)</f>
        <v>#N/A</v>
      </c>
      <c r="B459" s="48" t="str">
        <f>"304546636844213300"</f>
        <v>304546636844213300</v>
      </c>
      <c r="C459" s="48" t="s">
        <v>2104</v>
      </c>
      <c r="D459" s="48">
        <v>1</v>
      </c>
      <c r="E459" s="48" t="s">
        <v>53</v>
      </c>
      <c r="F459" s="48" t="s">
        <v>2105</v>
      </c>
      <c r="G459" s="48" t="s">
        <v>2106</v>
      </c>
      <c r="H459" s="48" t="s">
        <v>2107</v>
      </c>
      <c r="I459" s="51">
        <v>43621.4631365741</v>
      </c>
      <c r="J459" s="51">
        <v>43621.4632407407</v>
      </c>
      <c r="K459" s="48" t="s">
        <v>1331</v>
      </c>
      <c r="M459" s="48" t="s">
        <v>635</v>
      </c>
      <c r="O459" s="48">
        <v>1</v>
      </c>
      <c r="P459" s="48">
        <v>0</v>
      </c>
      <c r="Q459" s="48" t="s">
        <v>51</v>
      </c>
      <c r="R459" s="51">
        <v>43621.4632638889</v>
      </c>
    </row>
    <row r="460" s="48" customFormat="1" spans="1:18">
      <c r="A460" s="55" t="e">
        <f>VLOOKUP(B460,[1]天猫!$B$3:$H$258,1,FALSE)</f>
        <v>#N/A</v>
      </c>
      <c r="B460" s="48" t="str">
        <f>"473377697916859580"</f>
        <v>473377697916859580</v>
      </c>
      <c r="C460" s="48" t="s">
        <v>2109</v>
      </c>
      <c r="D460" s="48">
        <v>1</v>
      </c>
      <c r="E460" s="48" t="s">
        <v>53</v>
      </c>
      <c r="F460" s="48" t="s">
        <v>2110</v>
      </c>
      <c r="G460" s="48" t="s">
        <v>2111</v>
      </c>
      <c r="H460" s="48" t="s">
        <v>2112</v>
      </c>
      <c r="I460" s="51">
        <v>43621.2637962963</v>
      </c>
      <c r="J460" s="51">
        <v>43621.2641782407</v>
      </c>
      <c r="K460" s="48" t="s">
        <v>1331</v>
      </c>
      <c r="M460" s="48" t="s">
        <v>635</v>
      </c>
      <c r="N460" s="48" t="s">
        <v>699</v>
      </c>
      <c r="O460" s="48">
        <v>1</v>
      </c>
      <c r="P460" s="48">
        <v>0</v>
      </c>
      <c r="Q460" s="48" t="s">
        <v>51</v>
      </c>
      <c r="R460" s="51">
        <v>43621.2645138889</v>
      </c>
    </row>
    <row r="461" s="48" customFormat="1" spans="1:18">
      <c r="A461" s="55" t="e">
        <f>VLOOKUP(B461,[1]天猫!$B$3:$H$258,1,FALSE)</f>
        <v>#N/A</v>
      </c>
      <c r="B461" s="48" t="str">
        <f>"304760206262819203"</f>
        <v>304760206262819203</v>
      </c>
      <c r="C461" s="48" t="s">
        <v>2113</v>
      </c>
      <c r="D461" s="48">
        <v>1</v>
      </c>
      <c r="E461" s="48" t="s">
        <v>53</v>
      </c>
      <c r="F461" s="48" t="s">
        <v>2114</v>
      </c>
      <c r="G461" s="48" t="s">
        <v>2115</v>
      </c>
      <c r="H461" s="48" t="s">
        <v>2116</v>
      </c>
      <c r="I461" s="51">
        <v>43621.2446412037</v>
      </c>
      <c r="J461" s="51">
        <v>43621.2446759259</v>
      </c>
      <c r="K461" s="48" t="s">
        <v>1331</v>
      </c>
      <c r="M461" s="48" t="s">
        <v>635</v>
      </c>
      <c r="N461" s="48" t="s">
        <v>699</v>
      </c>
      <c r="O461" s="48">
        <v>1</v>
      </c>
      <c r="P461" s="48">
        <v>0</v>
      </c>
      <c r="Q461" s="48" t="s">
        <v>51</v>
      </c>
      <c r="R461" s="51">
        <v>43621.2450115741</v>
      </c>
    </row>
    <row r="462" s="48" customFormat="1" spans="1:18">
      <c r="A462" s="55" t="e">
        <f>VLOOKUP(B462,[1]天猫!$B$3:$H$258,1,FALSE)</f>
        <v>#N/A</v>
      </c>
      <c r="B462" s="48" t="str">
        <f>"473875235821555030"</f>
        <v>473875235821555030</v>
      </c>
      <c r="C462" s="48" t="s">
        <v>2117</v>
      </c>
      <c r="D462" s="48">
        <v>1</v>
      </c>
      <c r="E462" s="48" t="s">
        <v>53</v>
      </c>
      <c r="F462" s="48" t="s">
        <v>2118</v>
      </c>
      <c r="G462" s="48" t="s">
        <v>2119</v>
      </c>
      <c r="H462" s="48" t="s">
        <v>2120</v>
      </c>
      <c r="I462" s="51">
        <v>43620.9658564815</v>
      </c>
      <c r="J462" s="51">
        <v>43620.9660300926</v>
      </c>
      <c r="K462" s="48" t="s">
        <v>1331</v>
      </c>
      <c r="M462" s="48" t="s">
        <v>635</v>
      </c>
      <c r="O462" s="48">
        <v>1</v>
      </c>
      <c r="P462" s="48">
        <v>0</v>
      </c>
      <c r="Q462" s="48" t="s">
        <v>51</v>
      </c>
      <c r="R462" s="51">
        <v>43620.9663773148</v>
      </c>
    </row>
    <row r="463" s="48" customFormat="1" spans="1:18">
      <c r="A463" s="55" t="e">
        <f>VLOOKUP(B463,[1]天猫!$B$3:$H$258,1,FALSE)</f>
        <v>#N/A</v>
      </c>
      <c r="B463" s="48" t="str">
        <f>"472583168903532426"</f>
        <v>472583168903532426</v>
      </c>
      <c r="C463" s="48" t="s">
        <v>2121</v>
      </c>
      <c r="D463" s="48">
        <v>1</v>
      </c>
      <c r="E463" s="48" t="s">
        <v>53</v>
      </c>
      <c r="F463" s="48" t="s">
        <v>2122</v>
      </c>
      <c r="G463" s="48" t="s">
        <v>2123</v>
      </c>
      <c r="H463" s="48" t="s">
        <v>2124</v>
      </c>
      <c r="I463" s="51">
        <v>43620.7838425926</v>
      </c>
      <c r="J463" s="51">
        <v>43620.783900463</v>
      </c>
      <c r="K463" s="48" t="s">
        <v>1331</v>
      </c>
      <c r="M463" s="48" t="s">
        <v>635</v>
      </c>
      <c r="O463" s="48">
        <v>1</v>
      </c>
      <c r="P463" s="48">
        <v>0</v>
      </c>
      <c r="Q463" s="48" t="s">
        <v>51</v>
      </c>
      <c r="R463" s="51">
        <v>43620.784224537</v>
      </c>
    </row>
    <row r="464" s="48" customFormat="1" hidden="1" spans="1:18">
      <c r="A464" s="55" t="str">
        <f>VLOOKUP(B464,[1]天猫!$B$3:$H$258,1,FALSE)</f>
        <v>472657185279421181</v>
      </c>
      <c r="B464" s="48" t="str">
        <f>"472657185279421181"</f>
        <v>472657185279421181</v>
      </c>
      <c r="C464" s="48" t="s">
        <v>2125</v>
      </c>
      <c r="D464" s="48">
        <v>2235.04</v>
      </c>
      <c r="E464" s="48" t="s">
        <v>53</v>
      </c>
      <c r="F464" s="48" t="s">
        <v>2126</v>
      </c>
      <c r="G464" s="48" t="s">
        <v>2127</v>
      </c>
      <c r="H464" s="48" t="s">
        <v>2128</v>
      </c>
      <c r="I464" s="51">
        <v>43620.6491550926</v>
      </c>
      <c r="J464" s="51">
        <v>43620.655150463</v>
      </c>
      <c r="K464" s="48" t="s">
        <v>1923</v>
      </c>
      <c r="L464" s="48" t="s">
        <v>2129</v>
      </c>
      <c r="M464" s="48" t="s">
        <v>49</v>
      </c>
      <c r="O464" s="48">
        <v>6</v>
      </c>
      <c r="P464" s="48">
        <v>0</v>
      </c>
      <c r="Q464" s="48" t="s">
        <v>51</v>
      </c>
      <c r="R464" s="51">
        <v>43626.3397337963</v>
      </c>
    </row>
    <row r="465" s="48" customFormat="1" spans="1:18">
      <c r="A465" s="55" t="e">
        <f>VLOOKUP(B465,[1]天猫!$B$3:$H$258,1,FALSE)</f>
        <v>#N/A</v>
      </c>
      <c r="B465" s="48" t="str">
        <f>"472317920778421181"</f>
        <v>472317920778421181</v>
      </c>
      <c r="C465" s="48" t="s">
        <v>2125</v>
      </c>
      <c r="D465" s="48">
        <v>1</v>
      </c>
      <c r="E465" s="48" t="s">
        <v>53</v>
      </c>
      <c r="F465" s="48" t="s">
        <v>2126</v>
      </c>
      <c r="G465" s="48" t="s">
        <v>2127</v>
      </c>
      <c r="H465" s="48" t="s">
        <v>2128</v>
      </c>
      <c r="I465" s="51">
        <v>43620.6469444444</v>
      </c>
      <c r="J465" s="51">
        <v>43620.6470717593</v>
      </c>
      <c r="K465" s="48" t="s">
        <v>1331</v>
      </c>
      <c r="M465" s="48" t="s">
        <v>635</v>
      </c>
      <c r="O465" s="48">
        <v>1</v>
      </c>
      <c r="P465" s="48">
        <v>0</v>
      </c>
      <c r="Q465" s="48" t="s">
        <v>51</v>
      </c>
      <c r="R465" s="51">
        <v>43620.6475</v>
      </c>
    </row>
    <row r="466" s="48" customFormat="1" hidden="1" spans="1:18">
      <c r="A466" s="55" t="str">
        <f>VLOOKUP(B466,[1]天猫!$B$3:$H$258,1,FALSE)</f>
        <v>473180387849621579</v>
      </c>
      <c r="B466" s="48" t="str">
        <f>"473180387849621579"</f>
        <v>473180387849621579</v>
      </c>
      <c r="C466" s="48" t="s">
        <v>2130</v>
      </c>
      <c r="D466" s="48">
        <v>3166</v>
      </c>
      <c r="E466" s="48" t="s">
        <v>53</v>
      </c>
      <c r="F466" s="48" t="s">
        <v>2131</v>
      </c>
      <c r="G466" s="48" t="s">
        <v>2132</v>
      </c>
      <c r="H466" s="48" t="s">
        <v>2133</v>
      </c>
      <c r="I466" s="51">
        <v>43620.6005671296</v>
      </c>
      <c r="J466" s="51">
        <v>43620.6080324074</v>
      </c>
      <c r="K466" s="48" t="s">
        <v>673</v>
      </c>
      <c r="L466" s="48" t="s">
        <v>2134</v>
      </c>
      <c r="M466" s="48" t="s">
        <v>49</v>
      </c>
      <c r="O466" s="48">
        <v>1</v>
      </c>
      <c r="P466" s="48">
        <v>0</v>
      </c>
      <c r="Q466" s="48" t="s">
        <v>51</v>
      </c>
      <c r="R466" s="51">
        <v>43624.570625</v>
      </c>
    </row>
    <row r="467" s="48" customFormat="1" hidden="1" spans="1:18">
      <c r="A467" s="55" t="str">
        <f>VLOOKUP(B467,[1]天猫!$B$3:$H$258,1,FALSE)</f>
        <v>472560321203864216</v>
      </c>
      <c r="B467" s="48" t="str">
        <f>"472560321203864216"</f>
        <v>472560321203864216</v>
      </c>
      <c r="C467" s="48" t="s">
        <v>2135</v>
      </c>
      <c r="D467" s="48">
        <v>1999.2</v>
      </c>
      <c r="E467" s="48" t="s">
        <v>53</v>
      </c>
      <c r="F467" s="48" t="s">
        <v>2136</v>
      </c>
      <c r="G467" s="48" t="s">
        <v>2137</v>
      </c>
      <c r="H467" s="48" t="s">
        <v>2138</v>
      </c>
      <c r="I467" s="51">
        <v>43620.6004166667</v>
      </c>
      <c r="J467" s="51">
        <v>43620.6055439815</v>
      </c>
      <c r="K467" s="48" t="s">
        <v>1351</v>
      </c>
      <c r="L467" s="48" t="s">
        <v>2139</v>
      </c>
      <c r="M467" s="48" t="s">
        <v>49</v>
      </c>
      <c r="O467" s="48">
        <v>5</v>
      </c>
      <c r="P467" s="48">
        <v>0</v>
      </c>
      <c r="Q467" s="48" t="s">
        <v>51</v>
      </c>
      <c r="R467" s="51">
        <v>43622.488125</v>
      </c>
    </row>
    <row r="468" s="48" customFormat="1" spans="1:18">
      <c r="A468" s="55" t="e">
        <f>VLOOKUP(B468,[1]天猫!$B$3:$H$258,1,FALSE)</f>
        <v>#N/A</v>
      </c>
      <c r="B468" s="48" t="str">
        <f>"473177667485864216"</f>
        <v>473177667485864216</v>
      </c>
      <c r="C468" s="48" t="s">
        <v>2135</v>
      </c>
      <c r="D468" s="48">
        <v>1</v>
      </c>
      <c r="E468" s="48" t="s">
        <v>53</v>
      </c>
      <c r="F468" s="48" t="s">
        <v>2136</v>
      </c>
      <c r="G468" s="48" t="s">
        <v>2137</v>
      </c>
      <c r="H468" s="48" t="s">
        <v>2138</v>
      </c>
      <c r="I468" s="51">
        <v>43620.5977314815</v>
      </c>
      <c r="J468" s="51">
        <v>43620.5978009259</v>
      </c>
      <c r="K468" s="48" t="s">
        <v>1331</v>
      </c>
      <c r="M468" s="48" t="s">
        <v>635</v>
      </c>
      <c r="O468" s="48">
        <v>1</v>
      </c>
      <c r="P468" s="48">
        <v>0</v>
      </c>
      <c r="Q468" s="48" t="s">
        <v>51</v>
      </c>
      <c r="R468" s="51">
        <v>43620.598125</v>
      </c>
    </row>
    <row r="469" s="48" customFormat="1" spans="1:18">
      <c r="A469" s="55" t="e">
        <f>VLOOKUP(B469,[1]天猫!$B$3:$H$258,1,FALSE)</f>
        <v>#N/A</v>
      </c>
      <c r="B469" s="48" t="str">
        <f>"472555041019621579"</f>
        <v>472555041019621579</v>
      </c>
      <c r="C469" s="48" t="s">
        <v>2130</v>
      </c>
      <c r="D469" s="48">
        <v>1</v>
      </c>
      <c r="E469" s="48" t="s">
        <v>53</v>
      </c>
      <c r="F469" s="48" t="s">
        <v>2131</v>
      </c>
      <c r="G469" s="48" t="s">
        <v>2132</v>
      </c>
      <c r="H469" s="48" t="s">
        <v>2133</v>
      </c>
      <c r="I469" s="51">
        <v>43620.5969560185</v>
      </c>
      <c r="J469" s="51">
        <v>43620.597037037</v>
      </c>
      <c r="K469" s="48" t="s">
        <v>1331</v>
      </c>
      <c r="M469" s="48" t="s">
        <v>635</v>
      </c>
      <c r="O469" s="48">
        <v>1</v>
      </c>
      <c r="P469" s="48">
        <v>0</v>
      </c>
      <c r="Q469" s="48" t="s">
        <v>51</v>
      </c>
      <c r="R469" s="51">
        <v>43620.5974421296</v>
      </c>
    </row>
    <row r="470" s="55" customFormat="1" spans="1:18">
      <c r="A470" s="55" t="e">
        <f>VLOOKUP(B470,[1]天猫!$B$3:$H$258,1,FALSE)</f>
        <v>#N/A</v>
      </c>
      <c r="B470" s="55" t="str">
        <f>"473025283266711641"</f>
        <v>473025283266711641</v>
      </c>
      <c r="C470" s="55" t="s">
        <v>2140</v>
      </c>
      <c r="D470" s="55">
        <v>2180</v>
      </c>
      <c r="E470" s="55" t="s">
        <v>53</v>
      </c>
      <c r="F470" s="55" t="s">
        <v>2141</v>
      </c>
      <c r="G470" s="55" t="s">
        <v>2142</v>
      </c>
      <c r="H470" s="55" t="s">
        <v>2143</v>
      </c>
      <c r="I470" s="58">
        <v>43620.5220138889</v>
      </c>
      <c r="J470" s="58">
        <v>43620.5221643519</v>
      </c>
      <c r="K470" s="55" t="s">
        <v>634</v>
      </c>
      <c r="L470" s="55" t="s">
        <v>2144</v>
      </c>
      <c r="M470" s="55" t="s">
        <v>49</v>
      </c>
      <c r="N470" s="55" t="s">
        <v>701</v>
      </c>
      <c r="O470" s="55">
        <v>1</v>
      </c>
      <c r="P470" s="55">
        <v>0</v>
      </c>
      <c r="Q470" s="55" t="s">
        <v>51</v>
      </c>
      <c r="R470" s="58">
        <v>43630.7230324074</v>
      </c>
    </row>
    <row r="471" s="48" customFormat="1" hidden="1" spans="1:18">
      <c r="A471" s="55" t="str">
        <f>VLOOKUP(B471,[1]天猫!$B$3:$H$258,1,FALSE)</f>
        <v>472347553914715050</v>
      </c>
      <c r="B471" s="48" t="str">
        <f>"472347553914715050"</f>
        <v>472347553914715050</v>
      </c>
      <c r="C471" s="48" t="s">
        <v>2145</v>
      </c>
      <c r="D471" s="48">
        <v>2527.2</v>
      </c>
      <c r="E471" s="48" t="s">
        <v>53</v>
      </c>
      <c r="F471" s="48" t="s">
        <v>2146</v>
      </c>
      <c r="G471" s="48" t="s">
        <v>2147</v>
      </c>
      <c r="H471" s="48" t="s">
        <v>2148</v>
      </c>
      <c r="I471" s="51">
        <v>43620.4973842593</v>
      </c>
      <c r="J471" s="51">
        <v>43620.5045601852</v>
      </c>
      <c r="K471" s="48" t="s">
        <v>1351</v>
      </c>
      <c r="L471" s="48" t="s">
        <v>2149</v>
      </c>
      <c r="M471" s="48" t="s">
        <v>49</v>
      </c>
      <c r="O471" s="48">
        <v>5</v>
      </c>
      <c r="P471" s="48">
        <v>0</v>
      </c>
      <c r="Q471" s="48" t="s">
        <v>51</v>
      </c>
      <c r="R471" s="51">
        <v>43627.6163425926</v>
      </c>
    </row>
    <row r="472" s="55" customFormat="1" spans="1:18">
      <c r="A472" s="55" t="e">
        <f>VLOOKUP(B472,[1]天猫!$B$3:$H$258,1,FALSE)</f>
        <v>#N/A</v>
      </c>
      <c r="B472" s="55" t="str">
        <f>"304664142402412401"</f>
        <v>304664142402412401</v>
      </c>
      <c r="C472" s="55" t="s">
        <v>2150</v>
      </c>
      <c r="D472" s="55">
        <v>1799</v>
      </c>
      <c r="E472" s="55" t="s">
        <v>53</v>
      </c>
      <c r="F472" s="55" t="s">
        <v>2151</v>
      </c>
      <c r="G472" s="55" t="s">
        <v>2152</v>
      </c>
      <c r="H472" s="55" t="s">
        <v>2153</v>
      </c>
      <c r="I472" s="58">
        <v>43620.4904166667</v>
      </c>
      <c r="J472" s="58">
        <v>43620.490474537</v>
      </c>
      <c r="K472" s="55" t="s">
        <v>634</v>
      </c>
      <c r="L472" s="55" t="s">
        <v>2154</v>
      </c>
      <c r="M472" s="55" t="s">
        <v>49</v>
      </c>
      <c r="N472" s="55" t="s">
        <v>2155</v>
      </c>
      <c r="O472" s="55">
        <v>1</v>
      </c>
      <c r="P472" s="55">
        <v>0</v>
      </c>
      <c r="Q472" s="55" t="s">
        <v>51</v>
      </c>
      <c r="R472" s="58">
        <v>43630.722974537</v>
      </c>
    </row>
    <row r="473" s="48" customFormat="1" spans="1:18">
      <c r="A473" s="55" t="e">
        <f>VLOOKUP(B473,[1]天猫!$B$3:$H$258,1,FALSE)</f>
        <v>#N/A</v>
      </c>
      <c r="B473" s="48" t="str">
        <f>"304559021910412401"</f>
        <v>304559021910412401</v>
      </c>
      <c r="C473" s="48" t="s">
        <v>2150</v>
      </c>
      <c r="D473" s="48">
        <v>1</v>
      </c>
      <c r="E473" s="48" t="s">
        <v>53</v>
      </c>
      <c r="F473" s="48" t="s">
        <v>2151</v>
      </c>
      <c r="G473" s="48" t="s">
        <v>2156</v>
      </c>
      <c r="H473" s="48" t="s">
        <v>2153</v>
      </c>
      <c r="I473" s="51">
        <v>43620.4886805556</v>
      </c>
      <c r="J473" s="51">
        <v>43620.4887384259</v>
      </c>
      <c r="K473" s="48" t="s">
        <v>1331</v>
      </c>
      <c r="M473" s="48" t="s">
        <v>635</v>
      </c>
      <c r="N473" s="48" t="s">
        <v>699</v>
      </c>
      <c r="O473" s="48">
        <v>1</v>
      </c>
      <c r="P473" s="48">
        <v>0</v>
      </c>
      <c r="Q473" s="48" t="s">
        <v>51</v>
      </c>
      <c r="R473" s="51">
        <v>43620.4890740741</v>
      </c>
    </row>
    <row r="474" s="48" customFormat="1" hidden="1" spans="1:18">
      <c r="A474" s="55" t="str">
        <f>VLOOKUP(B474,[1]天猫!$B$3:$H$258,1,FALSE)</f>
        <v>472956483430060146</v>
      </c>
      <c r="B474" s="48" t="str">
        <f>"472956483430060146"</f>
        <v>472956483430060146</v>
      </c>
      <c r="C474" s="48" t="s">
        <v>2157</v>
      </c>
      <c r="D474" s="48">
        <v>1799</v>
      </c>
      <c r="E474" s="48" t="s">
        <v>53</v>
      </c>
      <c r="F474" s="48" t="s">
        <v>2158</v>
      </c>
      <c r="G474" s="48" t="s">
        <v>2159</v>
      </c>
      <c r="H474" s="48" t="s">
        <v>2160</v>
      </c>
      <c r="I474" s="51">
        <v>43620.4881597222</v>
      </c>
      <c r="J474" s="51">
        <v>43620.4981944444</v>
      </c>
      <c r="K474" s="48" t="s">
        <v>634</v>
      </c>
      <c r="L474" s="48" t="s">
        <v>2161</v>
      </c>
      <c r="M474" s="48" t="s">
        <v>49</v>
      </c>
      <c r="O474" s="48">
        <v>1</v>
      </c>
      <c r="P474" s="48">
        <v>0</v>
      </c>
      <c r="Q474" s="48" t="s">
        <v>51</v>
      </c>
      <c r="R474" s="51">
        <v>43626.387349537</v>
      </c>
    </row>
    <row r="475" s="48" customFormat="1" spans="1:18">
      <c r="A475" s="55" t="e">
        <f>VLOOKUP(B475,[1]天猫!$B$3:$H$258,1,FALSE)</f>
        <v>#N/A</v>
      </c>
      <c r="B475" s="48" t="str">
        <f>"472322337561715050"</f>
        <v>472322337561715050</v>
      </c>
      <c r="C475" s="48" t="s">
        <v>2145</v>
      </c>
      <c r="D475" s="48">
        <v>1</v>
      </c>
      <c r="E475" s="48" t="s">
        <v>53</v>
      </c>
      <c r="F475" s="48" t="s">
        <v>2146</v>
      </c>
      <c r="G475" s="48" t="s">
        <v>2147</v>
      </c>
      <c r="H475" s="48" t="s">
        <v>2148</v>
      </c>
      <c r="I475" s="51">
        <v>43620.4859375</v>
      </c>
      <c r="J475" s="51">
        <v>43620.4860300926</v>
      </c>
      <c r="K475" s="48" t="s">
        <v>1331</v>
      </c>
      <c r="M475" s="48" t="s">
        <v>635</v>
      </c>
      <c r="O475" s="48">
        <v>1</v>
      </c>
      <c r="P475" s="48">
        <v>0</v>
      </c>
      <c r="Q475" s="48" t="s">
        <v>51</v>
      </c>
      <c r="R475" s="51">
        <v>43620.4863888889</v>
      </c>
    </row>
    <row r="476" s="48" customFormat="1" spans="1:18">
      <c r="A476" s="55" t="e">
        <f>VLOOKUP(B476,[1]天猫!$B$3:$H$258,1,FALSE)</f>
        <v>#N/A</v>
      </c>
      <c r="B476" s="48" t="str">
        <f>"472313601581060146"</f>
        <v>472313601581060146</v>
      </c>
      <c r="C476" s="48" t="s">
        <v>2157</v>
      </c>
      <c r="D476" s="48">
        <v>1</v>
      </c>
      <c r="E476" s="48" t="s">
        <v>53</v>
      </c>
      <c r="F476" s="48" t="s">
        <v>2158</v>
      </c>
      <c r="G476" s="48" t="s">
        <v>2159</v>
      </c>
      <c r="H476" s="48" t="s">
        <v>2160</v>
      </c>
      <c r="I476" s="51">
        <v>43620.4821759259</v>
      </c>
      <c r="J476" s="51">
        <v>43620.4822337963</v>
      </c>
      <c r="K476" s="48" t="s">
        <v>1331</v>
      </c>
      <c r="M476" s="48" t="s">
        <v>635</v>
      </c>
      <c r="O476" s="48">
        <v>1</v>
      </c>
      <c r="P476" s="48">
        <v>0</v>
      </c>
      <c r="Q476" s="48" t="s">
        <v>51</v>
      </c>
      <c r="R476" s="51">
        <v>43620.4825925926</v>
      </c>
    </row>
    <row r="477" s="48" customFormat="1" hidden="1" spans="1:18">
      <c r="A477" s="55" t="str">
        <f>VLOOKUP(B477,[1]天猫!$B$3:$H$258,1,FALSE)</f>
        <v>471885632169275238</v>
      </c>
      <c r="B477" s="48" t="str">
        <f>"471885632169275238"</f>
        <v>471885632169275238</v>
      </c>
      <c r="C477" s="48" t="s">
        <v>2162</v>
      </c>
      <c r="D477" s="48">
        <v>1799</v>
      </c>
      <c r="E477" s="48" t="s">
        <v>53</v>
      </c>
      <c r="F477" s="48" t="s">
        <v>2163</v>
      </c>
      <c r="G477" s="48" t="s">
        <v>2164</v>
      </c>
      <c r="H477" s="48" t="s">
        <v>2165</v>
      </c>
      <c r="I477" s="51">
        <v>43620.4380324074</v>
      </c>
      <c r="J477" s="51">
        <v>43620.4422569444</v>
      </c>
      <c r="K477" s="48" t="s">
        <v>634</v>
      </c>
      <c r="L477" s="48" t="s">
        <v>2166</v>
      </c>
      <c r="M477" s="48" t="s">
        <v>49</v>
      </c>
      <c r="O477" s="48">
        <v>1</v>
      </c>
      <c r="P477" s="48">
        <v>0</v>
      </c>
      <c r="Q477" s="48" t="s">
        <v>51</v>
      </c>
      <c r="R477" s="51">
        <v>43623.6211574074</v>
      </c>
    </row>
    <row r="478" s="48" customFormat="1" spans="1:18">
      <c r="A478" s="55" t="e">
        <f>VLOOKUP(B478,[1]天猫!$B$3:$H$258,1,FALSE)</f>
        <v>#N/A</v>
      </c>
      <c r="B478" s="48" t="str">
        <f>"472838371472275238"</f>
        <v>472838371472275238</v>
      </c>
      <c r="C478" s="48" t="s">
        <v>2162</v>
      </c>
      <c r="D478" s="48">
        <v>1</v>
      </c>
      <c r="E478" s="48" t="s">
        <v>53</v>
      </c>
      <c r="F478" s="48" t="s">
        <v>2163</v>
      </c>
      <c r="G478" s="48" t="s">
        <v>2164</v>
      </c>
      <c r="H478" s="48" t="s">
        <v>2165</v>
      </c>
      <c r="I478" s="51">
        <v>43620.436412037</v>
      </c>
      <c r="J478" s="51">
        <v>43620.4364814815</v>
      </c>
      <c r="K478" s="48" t="s">
        <v>1331</v>
      </c>
      <c r="M478" s="48" t="s">
        <v>635</v>
      </c>
      <c r="N478" s="48" t="s">
        <v>699</v>
      </c>
      <c r="O478" s="48">
        <v>1</v>
      </c>
      <c r="P478" s="48">
        <v>0</v>
      </c>
      <c r="Q478" s="48" t="s">
        <v>51</v>
      </c>
      <c r="R478" s="51">
        <v>43620.4368518519</v>
      </c>
    </row>
    <row r="479" s="55" customFormat="1" spans="1:18">
      <c r="A479" s="55" t="e">
        <f>VLOOKUP(B479,[1]天猫!$B$3:$H$258,1,FALSE)</f>
        <v>#N/A</v>
      </c>
      <c r="B479" s="55" t="str">
        <f>"471789248949930526"</f>
        <v>471789248949930526</v>
      </c>
      <c r="C479" s="55" t="s">
        <v>2167</v>
      </c>
      <c r="D479" s="55">
        <v>2299</v>
      </c>
      <c r="E479" s="55" t="s">
        <v>53</v>
      </c>
      <c r="F479" s="55" t="s">
        <v>2168</v>
      </c>
      <c r="G479" s="55" t="s">
        <v>2169</v>
      </c>
      <c r="H479" s="55" t="s">
        <v>2170</v>
      </c>
      <c r="I479" s="58">
        <v>43620.3977430556</v>
      </c>
      <c r="J479" s="58">
        <v>43620.3978240741</v>
      </c>
      <c r="K479" s="55" t="s">
        <v>634</v>
      </c>
      <c r="L479" s="55" t="s">
        <v>2171</v>
      </c>
      <c r="M479" s="55" t="s">
        <v>49</v>
      </c>
      <c r="N479" s="55" t="s">
        <v>1238</v>
      </c>
      <c r="O479" s="55">
        <v>1</v>
      </c>
      <c r="P479" s="55">
        <v>0</v>
      </c>
      <c r="Q479" s="55" t="s">
        <v>51</v>
      </c>
      <c r="R479" s="58">
        <v>43630.7230092593</v>
      </c>
    </row>
    <row r="480" s="56" customFormat="1" spans="1:18">
      <c r="A480" s="55" t="e">
        <f>VLOOKUP(B480,[1]天猫!$B$3:$H$258,1,FALSE)</f>
        <v>#N/A</v>
      </c>
      <c r="B480" s="56" t="str">
        <f>"472413506673290762"</f>
        <v>472413506673290762</v>
      </c>
      <c r="C480" s="56" t="s">
        <v>2172</v>
      </c>
      <c r="D480" s="56">
        <v>1799</v>
      </c>
      <c r="E480" s="56" t="s">
        <v>53</v>
      </c>
      <c r="F480" s="56" t="s">
        <v>2173</v>
      </c>
      <c r="G480" s="56" t="s">
        <v>2174</v>
      </c>
      <c r="H480" s="56" t="s">
        <v>2175</v>
      </c>
      <c r="I480" s="59">
        <v>43620.382962963</v>
      </c>
      <c r="J480" s="59">
        <v>43620.3832175926</v>
      </c>
      <c r="K480" s="56" t="s">
        <v>634</v>
      </c>
      <c r="L480" s="56" t="s">
        <v>2176</v>
      </c>
      <c r="M480" s="56" t="s">
        <v>49</v>
      </c>
      <c r="N480" s="56" t="s">
        <v>2177</v>
      </c>
      <c r="O480" s="56">
        <v>1</v>
      </c>
      <c r="P480" s="56">
        <v>0</v>
      </c>
      <c r="Q480" s="56" t="s">
        <v>51</v>
      </c>
      <c r="R480" s="59">
        <v>43630.7230208333</v>
      </c>
    </row>
    <row r="481" s="48" customFormat="1" spans="1:18">
      <c r="A481" s="55" t="e">
        <f>VLOOKUP(B481,[1]天猫!$B$3:$H$258,1,FALSE)</f>
        <v>#N/A</v>
      </c>
      <c r="B481" s="48" t="str">
        <f>"471897825351290762"</f>
        <v>471897825351290762</v>
      </c>
      <c r="C481" s="48" t="s">
        <v>2172</v>
      </c>
      <c r="D481" s="48">
        <v>1</v>
      </c>
      <c r="E481" s="48" t="s">
        <v>53</v>
      </c>
      <c r="F481" s="48" t="s">
        <v>2173</v>
      </c>
      <c r="G481" s="48" t="s">
        <v>2174</v>
      </c>
      <c r="H481" s="48" t="s">
        <v>2175</v>
      </c>
      <c r="I481" s="51">
        <v>43620.0078935185</v>
      </c>
      <c r="J481" s="51">
        <v>43620.0080555556</v>
      </c>
      <c r="K481" s="48" t="s">
        <v>1331</v>
      </c>
      <c r="M481" s="48" t="s">
        <v>635</v>
      </c>
      <c r="O481" s="48">
        <v>1</v>
      </c>
      <c r="P481" s="48">
        <v>0</v>
      </c>
      <c r="Q481" s="48" t="s">
        <v>51</v>
      </c>
      <c r="R481" s="51">
        <v>43620.0084490741</v>
      </c>
    </row>
    <row r="482" s="56" customFormat="1" spans="1:18">
      <c r="A482" s="55" t="e">
        <f>VLOOKUP(B482,[1]天猫!$B$3:$H$258,1,FALSE)</f>
        <v>#N/A</v>
      </c>
      <c r="B482" s="56" t="str">
        <f>"471836769907276954"</f>
        <v>471836769907276954</v>
      </c>
      <c r="C482" s="56" t="s">
        <v>2178</v>
      </c>
      <c r="D482" s="56">
        <v>1799</v>
      </c>
      <c r="E482" s="56" t="s">
        <v>53</v>
      </c>
      <c r="F482" s="56" t="s">
        <v>2179</v>
      </c>
      <c r="G482" s="56" t="s">
        <v>2180</v>
      </c>
      <c r="H482" s="56" t="s">
        <v>2181</v>
      </c>
      <c r="I482" s="59">
        <v>43619.9631712963</v>
      </c>
      <c r="J482" s="59">
        <v>43619.9636574074</v>
      </c>
      <c r="K482" s="56" t="s">
        <v>634</v>
      </c>
      <c r="L482" s="56" t="s">
        <v>2182</v>
      </c>
      <c r="M482" s="56" t="s">
        <v>49</v>
      </c>
      <c r="N482" s="56" t="s">
        <v>2183</v>
      </c>
      <c r="O482" s="56">
        <v>1</v>
      </c>
      <c r="P482" s="56">
        <v>0</v>
      </c>
      <c r="Q482" s="56" t="s">
        <v>51</v>
      </c>
      <c r="R482" s="59">
        <v>43623.5223263889</v>
      </c>
    </row>
    <row r="483" s="48" customFormat="1" spans="1:18">
      <c r="A483" s="55" t="e">
        <f>VLOOKUP(B483,[1]天猫!$B$3:$H$258,1,FALSE)</f>
        <v>#N/A</v>
      </c>
      <c r="B483" s="48" t="str">
        <f>"471517408001472543"</f>
        <v>471517408001472543</v>
      </c>
      <c r="C483" s="48" t="s">
        <v>1927</v>
      </c>
      <c r="D483" s="48">
        <v>1</v>
      </c>
      <c r="E483" s="48" t="s">
        <v>53</v>
      </c>
      <c r="F483" s="48" t="s">
        <v>1927</v>
      </c>
      <c r="G483" s="48" t="s">
        <v>2184</v>
      </c>
      <c r="H483" s="48" t="s">
        <v>1929</v>
      </c>
      <c r="I483" s="51">
        <v>43619.9602430556</v>
      </c>
      <c r="J483" s="51">
        <v>43619.9602777778</v>
      </c>
      <c r="K483" s="48" t="s">
        <v>1331</v>
      </c>
      <c r="M483" s="48" t="s">
        <v>635</v>
      </c>
      <c r="O483" s="48">
        <v>1</v>
      </c>
      <c r="P483" s="48">
        <v>0</v>
      </c>
      <c r="Q483" s="48" t="s">
        <v>51</v>
      </c>
      <c r="R483" s="51">
        <v>43619.960625</v>
      </c>
    </row>
    <row r="484" s="48" customFormat="1" spans="1:18">
      <c r="A484" s="55" t="e">
        <f>VLOOKUP(B484,[1]天猫!$B$3:$H$258,1,FALSE)</f>
        <v>#N/A</v>
      </c>
      <c r="B484" s="48" t="str">
        <f>"472152578442276954"</f>
        <v>472152578442276954</v>
      </c>
      <c r="C484" s="48" t="s">
        <v>2178</v>
      </c>
      <c r="D484" s="48">
        <v>1</v>
      </c>
      <c r="E484" s="48" t="s">
        <v>53</v>
      </c>
      <c r="F484" s="48" t="s">
        <v>2179</v>
      </c>
      <c r="G484" s="48" t="s">
        <v>2180</v>
      </c>
      <c r="H484" s="48" t="s">
        <v>2181</v>
      </c>
      <c r="I484" s="51">
        <v>43619.9507407407</v>
      </c>
      <c r="J484" s="51">
        <v>43619.9509375</v>
      </c>
      <c r="K484" s="48" t="s">
        <v>1331</v>
      </c>
      <c r="M484" s="48" t="s">
        <v>635</v>
      </c>
      <c r="O484" s="48">
        <v>1</v>
      </c>
      <c r="P484" s="48">
        <v>0</v>
      </c>
      <c r="Q484" s="48" t="s">
        <v>51</v>
      </c>
      <c r="R484" s="51">
        <v>43619.95125</v>
      </c>
    </row>
    <row r="485" s="48" customFormat="1" hidden="1" spans="1:18">
      <c r="A485" s="55" t="str">
        <f>VLOOKUP(B485,[1]天猫!$B$3:$H$258,1,FALSE)</f>
        <v>471364961553691164</v>
      </c>
      <c r="B485" s="48" t="str">
        <f>"471364961553691164"</f>
        <v>471364961553691164</v>
      </c>
      <c r="C485" s="48" t="s">
        <v>2185</v>
      </c>
      <c r="D485" s="48">
        <v>811.68</v>
      </c>
      <c r="E485" s="48" t="s">
        <v>53</v>
      </c>
      <c r="F485" s="48" t="s">
        <v>2186</v>
      </c>
      <c r="G485" s="48" t="s">
        <v>2187</v>
      </c>
      <c r="H485" s="48" t="s">
        <v>2188</v>
      </c>
      <c r="I485" s="51">
        <v>43619.7165509259</v>
      </c>
      <c r="J485" s="51">
        <v>43619.7213425926</v>
      </c>
      <c r="K485" s="48" t="s">
        <v>1573</v>
      </c>
      <c r="L485" s="48" t="s">
        <v>2189</v>
      </c>
      <c r="M485" s="48" t="s">
        <v>49</v>
      </c>
      <c r="O485" s="48">
        <v>2</v>
      </c>
      <c r="P485" s="48">
        <v>0</v>
      </c>
      <c r="Q485" s="48" t="s">
        <v>51</v>
      </c>
      <c r="R485" s="51">
        <v>43624.9277893519</v>
      </c>
    </row>
    <row r="486" s="48" customFormat="1" hidden="1" spans="1:18">
      <c r="A486" s="55" t="str">
        <f>VLOOKUP(B486,[1]天猫!$B$3:$H$258,1,FALSE)</f>
        <v>471297121412228252</v>
      </c>
      <c r="B486" s="48" t="str">
        <f>"471297121412228252"</f>
        <v>471297121412228252</v>
      </c>
      <c r="C486" s="48" t="s">
        <v>2190</v>
      </c>
      <c r="D486" s="48">
        <v>3166</v>
      </c>
      <c r="E486" s="48" t="s">
        <v>53</v>
      </c>
      <c r="F486" s="48" t="s">
        <v>2191</v>
      </c>
      <c r="G486" s="48" t="s">
        <v>2192</v>
      </c>
      <c r="H486" s="48" t="s">
        <v>2193</v>
      </c>
      <c r="I486" s="51">
        <v>43619.6824421296</v>
      </c>
      <c r="J486" s="51">
        <v>43619.6985300926</v>
      </c>
      <c r="K486" s="48" t="s">
        <v>673</v>
      </c>
      <c r="L486" s="48" t="s">
        <v>2194</v>
      </c>
      <c r="M486" s="48" t="s">
        <v>49</v>
      </c>
      <c r="O486" s="48">
        <v>1</v>
      </c>
      <c r="P486" s="48">
        <v>0</v>
      </c>
      <c r="Q486" s="48" t="s">
        <v>51</v>
      </c>
      <c r="R486" s="51">
        <v>43623.9225231481</v>
      </c>
    </row>
    <row r="487" s="48" customFormat="1" hidden="1" spans="1:18">
      <c r="A487" s="55" t="str">
        <f>VLOOKUP(B487,[1]天猫!$B$3:$H$258,1,FALSE)</f>
        <v>471595394766716191</v>
      </c>
      <c r="B487" s="48" t="str">
        <f>"471595394766716191"</f>
        <v>471595394766716191</v>
      </c>
      <c r="C487" s="48" t="s">
        <v>2195</v>
      </c>
      <c r="D487" s="48">
        <v>1675.36</v>
      </c>
      <c r="E487" s="48" t="s">
        <v>53</v>
      </c>
      <c r="F487" s="48" t="s">
        <v>2196</v>
      </c>
      <c r="G487" s="48" t="s">
        <v>2197</v>
      </c>
      <c r="H487" s="48" t="s">
        <v>2198</v>
      </c>
      <c r="I487" s="51">
        <v>43619.6737268519</v>
      </c>
      <c r="J487" s="51">
        <v>43619.6805902778</v>
      </c>
      <c r="K487" s="48" t="s">
        <v>1351</v>
      </c>
      <c r="L487" s="48" t="s">
        <v>2199</v>
      </c>
      <c r="M487" s="48" t="s">
        <v>49</v>
      </c>
      <c r="O487" s="48">
        <v>4</v>
      </c>
      <c r="P487" s="48">
        <v>0</v>
      </c>
      <c r="Q487" s="48" t="s">
        <v>51</v>
      </c>
      <c r="R487" s="51">
        <v>43628.4441203704</v>
      </c>
    </row>
    <row r="488" s="48" customFormat="1" spans="1:18">
      <c r="A488" s="55" t="e">
        <f>VLOOKUP(B488,[1]天猫!$B$3:$H$258,1,FALSE)</f>
        <v>#N/A</v>
      </c>
      <c r="B488" s="48" t="str">
        <f>"470943808679228252"</f>
        <v>470943808679228252</v>
      </c>
      <c r="C488" s="48" t="s">
        <v>2190</v>
      </c>
      <c r="D488" s="48">
        <v>1</v>
      </c>
      <c r="E488" s="48" t="s">
        <v>53</v>
      </c>
      <c r="F488" s="48" t="s">
        <v>2191</v>
      </c>
      <c r="G488" s="48" t="s">
        <v>2192</v>
      </c>
      <c r="H488" s="48" t="s">
        <v>2193</v>
      </c>
      <c r="I488" s="51">
        <v>43619.6711574074</v>
      </c>
      <c r="J488" s="51">
        <v>43619.6713078704</v>
      </c>
      <c r="K488" s="48" t="s">
        <v>1331</v>
      </c>
      <c r="M488" s="48" t="s">
        <v>635</v>
      </c>
      <c r="N488" s="48" t="s">
        <v>699</v>
      </c>
      <c r="O488" s="48">
        <v>1</v>
      </c>
      <c r="P488" s="48">
        <v>0</v>
      </c>
      <c r="Q488" s="48" t="s">
        <v>51</v>
      </c>
      <c r="R488" s="51">
        <v>43619.6716435185</v>
      </c>
    </row>
    <row r="489" s="48" customFormat="1" spans="1:18">
      <c r="A489" s="55" t="e">
        <f>VLOOKUP(B489,[1]天猫!$B$3:$H$258,1,FALSE)</f>
        <v>#N/A</v>
      </c>
      <c r="B489" s="48" t="str">
        <f>"471263745751716191"</f>
        <v>471263745751716191</v>
      </c>
      <c r="C489" s="48" t="s">
        <v>2195</v>
      </c>
      <c r="D489" s="48">
        <v>1</v>
      </c>
      <c r="E489" s="48" t="s">
        <v>53</v>
      </c>
      <c r="F489" s="48" t="s">
        <v>2196</v>
      </c>
      <c r="G489" s="48" t="s">
        <v>2197</v>
      </c>
      <c r="H489" s="48" t="s">
        <v>2198</v>
      </c>
      <c r="I489" s="51">
        <v>43619.6695138889</v>
      </c>
      <c r="J489" s="51">
        <v>43619.6695717593</v>
      </c>
      <c r="K489" s="48" t="s">
        <v>1331</v>
      </c>
      <c r="M489" s="48" t="s">
        <v>635</v>
      </c>
      <c r="N489" s="48" t="s">
        <v>699</v>
      </c>
      <c r="O489" s="48">
        <v>1</v>
      </c>
      <c r="P489" s="48">
        <v>0</v>
      </c>
      <c r="Q489" s="48" t="s">
        <v>51</v>
      </c>
      <c r="R489" s="51">
        <v>43619.6699074074</v>
      </c>
    </row>
    <row r="490" s="48" customFormat="1" hidden="1" spans="1:18">
      <c r="A490" s="55" t="str">
        <f>VLOOKUP(B490,[1]天猫!$B$3:$H$258,1,FALSE)</f>
        <v>471032257749516812</v>
      </c>
      <c r="B490" s="48" t="str">
        <f>"471032257749516812"</f>
        <v>471032257749516812</v>
      </c>
      <c r="C490" s="48" t="s">
        <v>2200</v>
      </c>
      <c r="D490" s="48">
        <v>2499.04</v>
      </c>
      <c r="E490" s="48" t="s">
        <v>53</v>
      </c>
      <c r="F490" s="48" t="s">
        <v>2201</v>
      </c>
      <c r="G490" s="48" t="s">
        <v>2202</v>
      </c>
      <c r="H490" s="48" t="s">
        <v>2203</v>
      </c>
      <c r="I490" s="51">
        <v>43619.5626388889</v>
      </c>
      <c r="J490" s="51">
        <v>43619.5670486111</v>
      </c>
      <c r="K490" s="48" t="s">
        <v>1351</v>
      </c>
      <c r="L490" s="48" t="s">
        <v>2204</v>
      </c>
      <c r="M490" s="48" t="s">
        <v>49</v>
      </c>
      <c r="O490" s="48">
        <v>6</v>
      </c>
      <c r="P490" s="48">
        <v>0</v>
      </c>
      <c r="Q490" s="48" t="s">
        <v>51</v>
      </c>
      <c r="R490" s="51">
        <v>43620.7299305556</v>
      </c>
    </row>
    <row r="491" s="48" customFormat="1" spans="1:18">
      <c r="A491" s="55" t="e">
        <f>VLOOKUP(B491,[1]天猫!$B$3:$H$258,1,FALSE)</f>
        <v>#N/A</v>
      </c>
      <c r="B491" s="48" t="str">
        <f>"470714016341516812"</f>
        <v>470714016341516812</v>
      </c>
      <c r="C491" s="48" t="s">
        <v>2200</v>
      </c>
      <c r="D491" s="48">
        <v>1</v>
      </c>
      <c r="E491" s="48" t="s">
        <v>53</v>
      </c>
      <c r="F491" s="48" t="s">
        <v>2201</v>
      </c>
      <c r="G491" s="48" t="s">
        <v>2202</v>
      </c>
      <c r="H491" s="48" t="s">
        <v>2203</v>
      </c>
      <c r="I491" s="51">
        <v>43619.5609027778</v>
      </c>
      <c r="J491" s="51">
        <v>43619.5609722222</v>
      </c>
      <c r="K491" s="48" t="s">
        <v>1331</v>
      </c>
      <c r="M491" s="48" t="s">
        <v>635</v>
      </c>
      <c r="N491" s="48" t="s">
        <v>699</v>
      </c>
      <c r="O491" s="48">
        <v>1</v>
      </c>
      <c r="P491" s="48">
        <v>0</v>
      </c>
      <c r="Q491" s="48" t="s">
        <v>51</v>
      </c>
      <c r="R491" s="51">
        <v>43619.5613657407</v>
      </c>
    </row>
    <row r="492" s="48" customFormat="1" hidden="1" spans="1:18">
      <c r="A492" s="55" t="str">
        <f>VLOOKUP(B492,[1]天猫!$B$3:$H$258,1,FALSE)</f>
        <v>470849953349812484</v>
      </c>
      <c r="B492" s="48" t="str">
        <f>"470849953349812484"</f>
        <v>470849953349812484</v>
      </c>
      <c r="C492" s="48" t="s">
        <v>2205</v>
      </c>
      <c r="D492" s="48">
        <v>1799</v>
      </c>
      <c r="E492" s="48" t="s">
        <v>53</v>
      </c>
      <c r="F492" s="48" t="s">
        <v>2206</v>
      </c>
      <c r="G492" s="48" t="s">
        <v>2207</v>
      </c>
      <c r="H492" s="48" t="s">
        <v>2208</v>
      </c>
      <c r="I492" s="51">
        <v>43619.4771990741</v>
      </c>
      <c r="J492" s="51">
        <v>43619.4905787037</v>
      </c>
      <c r="K492" s="48" t="s">
        <v>634</v>
      </c>
      <c r="L492" s="48" t="s">
        <v>2209</v>
      </c>
      <c r="M492" s="48" t="s">
        <v>49</v>
      </c>
      <c r="O492" s="48">
        <v>1</v>
      </c>
      <c r="P492" s="48">
        <v>0</v>
      </c>
      <c r="Q492" s="48" t="s">
        <v>51</v>
      </c>
      <c r="R492" s="51">
        <v>43625.6868402778</v>
      </c>
    </row>
    <row r="493" s="48" customFormat="1" spans="1:18">
      <c r="A493" s="55" t="e">
        <f>VLOOKUP(B493,[1]天猫!$B$3:$H$258,1,FALSE)</f>
        <v>#N/A</v>
      </c>
      <c r="B493" s="48" t="str">
        <f>"471488291575812484"</f>
        <v>471488291575812484</v>
      </c>
      <c r="C493" s="48" t="s">
        <v>2205</v>
      </c>
      <c r="D493" s="48">
        <v>1</v>
      </c>
      <c r="E493" s="48" t="s">
        <v>53</v>
      </c>
      <c r="F493" s="48" t="s">
        <v>2206</v>
      </c>
      <c r="G493" s="48" t="s">
        <v>2207</v>
      </c>
      <c r="H493" s="48" t="s">
        <v>2208</v>
      </c>
      <c r="I493" s="51">
        <v>43619.4758449074</v>
      </c>
      <c r="J493" s="51">
        <v>43619.4759375</v>
      </c>
      <c r="K493" s="48" t="s">
        <v>1331</v>
      </c>
      <c r="M493" s="48" t="s">
        <v>635</v>
      </c>
      <c r="N493" s="48" t="s">
        <v>699</v>
      </c>
      <c r="O493" s="48">
        <v>1</v>
      </c>
      <c r="P493" s="48">
        <v>0</v>
      </c>
      <c r="Q493" s="48" t="s">
        <v>51</v>
      </c>
      <c r="R493" s="51">
        <v>43619.4759606481</v>
      </c>
    </row>
    <row r="494" s="48" customFormat="1" hidden="1" spans="1:18">
      <c r="A494" s="55" t="str">
        <f>VLOOKUP(B494,[1]天猫!$B$3:$H$258,1,FALSE)</f>
        <v>471483619418408830</v>
      </c>
      <c r="B494" s="48" t="str">
        <f>"471483619418408830"</f>
        <v>471483619418408830</v>
      </c>
      <c r="C494" s="48" t="s">
        <v>2210</v>
      </c>
      <c r="D494" s="48">
        <v>1888</v>
      </c>
      <c r="E494" s="48" t="s">
        <v>53</v>
      </c>
      <c r="F494" s="48" t="s">
        <v>2211</v>
      </c>
      <c r="G494" s="48" t="s">
        <v>2212</v>
      </c>
      <c r="H494" s="48" t="s">
        <v>2213</v>
      </c>
      <c r="I494" s="51">
        <v>43619.4734953704</v>
      </c>
      <c r="J494" s="51">
        <v>43619.4775347222</v>
      </c>
      <c r="K494" s="48" t="s">
        <v>634</v>
      </c>
      <c r="L494" s="48" t="s">
        <v>2214</v>
      </c>
      <c r="M494" s="48" t="s">
        <v>49</v>
      </c>
      <c r="O494" s="48">
        <v>1</v>
      </c>
      <c r="P494" s="48">
        <v>0</v>
      </c>
      <c r="Q494" s="48" t="s">
        <v>51</v>
      </c>
      <c r="R494" s="51">
        <v>43625.613900463</v>
      </c>
    </row>
    <row r="495" s="48" customFormat="1" spans="1:18">
      <c r="A495" s="55" t="e">
        <f>VLOOKUP(B495,[1]天猫!$B$3:$H$258,1,FALSE)</f>
        <v>#N/A</v>
      </c>
      <c r="B495" s="48" t="str">
        <f>"471155874831408830"</f>
        <v>471155874831408830</v>
      </c>
      <c r="C495" s="48" t="s">
        <v>2210</v>
      </c>
      <c r="D495" s="48">
        <v>1</v>
      </c>
      <c r="E495" s="48" t="s">
        <v>53</v>
      </c>
      <c r="F495" s="48" t="s">
        <v>2211</v>
      </c>
      <c r="G495" s="48" t="s">
        <v>2212</v>
      </c>
      <c r="H495" s="48" t="s">
        <v>2213</v>
      </c>
      <c r="I495" s="51">
        <v>43619.4722453704</v>
      </c>
      <c r="J495" s="51">
        <v>43619.4722800926</v>
      </c>
      <c r="K495" s="48" t="s">
        <v>1331</v>
      </c>
      <c r="M495" s="48" t="s">
        <v>635</v>
      </c>
      <c r="N495" s="48" t="s">
        <v>699</v>
      </c>
      <c r="O495" s="48">
        <v>1</v>
      </c>
      <c r="P495" s="48">
        <v>0</v>
      </c>
      <c r="Q495" s="48" t="s">
        <v>51</v>
      </c>
      <c r="R495" s="51">
        <v>43619.4726157407</v>
      </c>
    </row>
    <row r="496" s="48" customFormat="1" spans="1:18">
      <c r="A496" s="55" t="e">
        <f>VLOOKUP(B496,[1]天猫!$B$3:$H$258,1,FALSE)</f>
        <v>#N/A</v>
      </c>
      <c r="B496" s="48" t="str">
        <f>"471480835409934449"</f>
        <v>471480835409934449</v>
      </c>
      <c r="C496" s="48" t="s">
        <v>2215</v>
      </c>
      <c r="D496" s="48">
        <v>1</v>
      </c>
      <c r="E496" s="48" t="s">
        <v>53</v>
      </c>
      <c r="F496" s="48" t="s">
        <v>2216</v>
      </c>
      <c r="G496" s="48" t="s">
        <v>2217</v>
      </c>
      <c r="H496" s="48" t="s">
        <v>2218</v>
      </c>
      <c r="I496" s="51">
        <v>43619.4720138889</v>
      </c>
      <c r="J496" s="51">
        <v>43619.4720601852</v>
      </c>
      <c r="K496" s="48" t="s">
        <v>1331</v>
      </c>
      <c r="M496" s="48" t="s">
        <v>635</v>
      </c>
      <c r="O496" s="48">
        <v>1</v>
      </c>
      <c r="P496" s="48">
        <v>0</v>
      </c>
      <c r="Q496" s="48" t="s">
        <v>51</v>
      </c>
      <c r="R496" s="51">
        <v>43619.4724074074</v>
      </c>
    </row>
    <row r="497" s="56" customFormat="1" spans="1:18">
      <c r="A497" s="55" t="e">
        <f>VLOOKUP(B497,[1]天猫!$B$3:$H$258,1,FALSE)</f>
        <v>#N/A</v>
      </c>
      <c r="B497" s="56" t="str">
        <f>"470673858332179121"</f>
        <v>470673858332179121</v>
      </c>
      <c r="C497" s="56" t="s">
        <v>2219</v>
      </c>
      <c r="D497" s="56">
        <v>1725</v>
      </c>
      <c r="E497" s="56" t="s">
        <v>53</v>
      </c>
      <c r="F497" s="56" t="s">
        <v>2220</v>
      </c>
      <c r="G497" s="56" t="s">
        <v>2221</v>
      </c>
      <c r="H497" s="56" t="s">
        <v>2222</v>
      </c>
      <c r="I497" s="59">
        <v>43618.9838888889</v>
      </c>
      <c r="J497" s="59">
        <v>43618.9846180556</v>
      </c>
      <c r="K497" s="56" t="s">
        <v>2223</v>
      </c>
      <c r="L497" s="56" t="s">
        <v>2224</v>
      </c>
      <c r="M497" s="56" t="s">
        <v>49</v>
      </c>
      <c r="N497" s="56" t="s">
        <v>2225</v>
      </c>
      <c r="O497" s="56">
        <v>1</v>
      </c>
      <c r="P497" s="56">
        <v>0</v>
      </c>
      <c r="Q497" s="56" t="s">
        <v>51</v>
      </c>
      <c r="R497" s="59">
        <v>43629.6966319444</v>
      </c>
    </row>
    <row r="498" s="55" customFormat="1" spans="1:18">
      <c r="A498" s="55" t="e">
        <f>VLOOKUP(B498,[1]天猫!$B$3:$H$258,1,FALSE)</f>
        <v>#N/A</v>
      </c>
      <c r="B498" s="55" t="str">
        <f>"470537794151619161"</f>
        <v>470537794151619161</v>
      </c>
      <c r="C498" s="55" t="s">
        <v>2226</v>
      </c>
      <c r="D498" s="55">
        <v>1664</v>
      </c>
      <c r="E498" s="55" t="s">
        <v>53</v>
      </c>
      <c r="F498" s="55" t="s">
        <v>2227</v>
      </c>
      <c r="G498" s="55" t="s">
        <v>2228</v>
      </c>
      <c r="H498" s="55" t="s">
        <v>2229</v>
      </c>
      <c r="I498" s="58">
        <v>43618.9419212963</v>
      </c>
      <c r="J498" s="58">
        <v>43618.942037037</v>
      </c>
      <c r="K498" s="55" t="s">
        <v>2223</v>
      </c>
      <c r="L498" s="55" t="s">
        <v>2230</v>
      </c>
      <c r="M498" s="55" t="s">
        <v>49</v>
      </c>
      <c r="N498" s="55" t="s">
        <v>2231</v>
      </c>
      <c r="O498" s="55">
        <v>1</v>
      </c>
      <c r="P498" s="55">
        <v>0</v>
      </c>
      <c r="Q498" s="55" t="s">
        <v>51</v>
      </c>
      <c r="R498" s="58">
        <v>43629.3500925926</v>
      </c>
    </row>
    <row r="499" s="56" customFormat="1" spans="1:18">
      <c r="A499" s="55" t="e">
        <f>VLOOKUP(B499,[1]天猫!$B$3:$H$258,1,FALSE)</f>
        <v>#N/A</v>
      </c>
      <c r="B499" s="56" t="str">
        <f>"470718307169881387"</f>
        <v>470718307169881387</v>
      </c>
      <c r="C499" s="56" t="s">
        <v>2232</v>
      </c>
      <c r="D499" s="56">
        <v>1585</v>
      </c>
      <c r="E499" s="56" t="s">
        <v>53</v>
      </c>
      <c r="F499" s="56" t="s">
        <v>687</v>
      </c>
      <c r="G499" s="56" t="s">
        <v>2233</v>
      </c>
      <c r="H499" s="56" t="s">
        <v>2234</v>
      </c>
      <c r="I499" s="59">
        <v>43618.8975115741</v>
      </c>
      <c r="J499" s="59">
        <v>43618.8978240741</v>
      </c>
      <c r="K499" s="56" t="s">
        <v>2223</v>
      </c>
      <c r="L499" s="56" t="s">
        <v>2235</v>
      </c>
      <c r="M499" s="56" t="s">
        <v>49</v>
      </c>
      <c r="N499" s="56" t="s">
        <v>2236</v>
      </c>
      <c r="O499" s="56">
        <v>1</v>
      </c>
      <c r="P499" s="56">
        <v>0</v>
      </c>
      <c r="Q499" s="56" t="s">
        <v>51</v>
      </c>
      <c r="R499" s="59">
        <v>43629.6971412037</v>
      </c>
    </row>
    <row r="500" s="56" customFormat="1" spans="1:18">
      <c r="A500" s="55" t="e">
        <f>VLOOKUP(B500,[1]天猫!$B$3:$H$258,1,FALSE)</f>
        <v>#N/A</v>
      </c>
      <c r="B500" s="56" t="str">
        <f>"304197580817248406"</f>
        <v>304197580817248406</v>
      </c>
      <c r="C500" s="56" t="s">
        <v>91</v>
      </c>
      <c r="D500" s="56">
        <v>1593.87</v>
      </c>
      <c r="E500" s="56" t="s">
        <v>53</v>
      </c>
      <c r="F500" s="56" t="s">
        <v>2237</v>
      </c>
      <c r="G500" s="56" t="s">
        <v>2238</v>
      </c>
      <c r="H500" s="56" t="s">
        <v>94</v>
      </c>
      <c r="I500" s="59">
        <v>43618.8774189815</v>
      </c>
      <c r="J500" s="59">
        <v>43618.8774884259</v>
      </c>
      <c r="K500" s="56" t="s">
        <v>2223</v>
      </c>
      <c r="L500" s="56" t="s">
        <v>2239</v>
      </c>
      <c r="M500" s="56" t="s">
        <v>49</v>
      </c>
      <c r="N500" s="56" t="s">
        <v>2240</v>
      </c>
      <c r="O500" s="56">
        <v>1</v>
      </c>
      <c r="P500" s="56">
        <v>0</v>
      </c>
      <c r="Q500" s="56" t="s">
        <v>51</v>
      </c>
      <c r="R500" s="59">
        <v>43629.6977199074</v>
      </c>
    </row>
    <row r="501" s="56" customFormat="1" spans="1:18">
      <c r="A501" s="55" t="e">
        <f>VLOOKUP(B501,[1]天猫!$B$3:$H$258,1,FALSE)</f>
        <v>#N/A</v>
      </c>
      <c r="B501" s="56" t="str">
        <f>"470267298208527989"</f>
        <v>470267298208527989</v>
      </c>
      <c r="C501" s="56" t="s">
        <v>2241</v>
      </c>
      <c r="D501" s="56">
        <v>1815</v>
      </c>
      <c r="E501" s="56" t="s">
        <v>53</v>
      </c>
      <c r="F501" s="56" t="s">
        <v>2242</v>
      </c>
      <c r="G501" s="56" t="s">
        <v>2243</v>
      </c>
      <c r="H501" s="56" t="s">
        <v>2244</v>
      </c>
      <c r="I501" s="59">
        <v>43618.8553703704</v>
      </c>
      <c r="J501" s="59">
        <v>43618.8555092593</v>
      </c>
      <c r="K501" s="56" t="s">
        <v>2223</v>
      </c>
      <c r="L501" s="56" t="s">
        <v>2245</v>
      </c>
      <c r="M501" s="56" t="s">
        <v>49</v>
      </c>
      <c r="N501" s="56" t="s">
        <v>2246</v>
      </c>
      <c r="O501" s="56">
        <v>1</v>
      </c>
      <c r="P501" s="56">
        <v>0</v>
      </c>
      <c r="Q501" s="56" t="s">
        <v>51</v>
      </c>
      <c r="R501" s="59">
        <v>43624.6187615741</v>
      </c>
    </row>
    <row r="502" s="56" customFormat="1" spans="1:18">
      <c r="A502" s="55" t="e">
        <f>VLOOKUP(B502,[1]天猫!$B$3:$H$258,1,FALSE)</f>
        <v>#N/A</v>
      </c>
      <c r="B502" s="56" t="str">
        <f>"304322157059795105"</f>
        <v>304322157059795105</v>
      </c>
      <c r="C502" s="56" t="s">
        <v>2247</v>
      </c>
      <c r="D502" s="56">
        <v>1585</v>
      </c>
      <c r="E502" s="56" t="s">
        <v>53</v>
      </c>
      <c r="F502" s="56" t="s">
        <v>2248</v>
      </c>
      <c r="G502" s="56" t="s">
        <v>2249</v>
      </c>
      <c r="H502" s="56" t="s">
        <v>2250</v>
      </c>
      <c r="I502" s="59">
        <v>43618.819537037</v>
      </c>
      <c r="J502" s="59">
        <v>43618.8195717593</v>
      </c>
      <c r="K502" s="56" t="s">
        <v>2223</v>
      </c>
      <c r="L502" s="56" t="s">
        <v>2251</v>
      </c>
      <c r="M502" s="56" t="s">
        <v>49</v>
      </c>
      <c r="N502" s="56" t="s">
        <v>2252</v>
      </c>
      <c r="O502" s="56">
        <v>1</v>
      </c>
      <c r="P502" s="56">
        <v>0</v>
      </c>
      <c r="Q502" s="56" t="s">
        <v>51</v>
      </c>
      <c r="R502" s="59">
        <v>43622.5663310185</v>
      </c>
    </row>
    <row r="503" s="56" customFormat="1" spans="1:18">
      <c r="A503" s="55" t="e">
        <f>VLOOKUP(B503,[1]天猫!$B$3:$H$258,1,FALSE)</f>
        <v>#N/A</v>
      </c>
      <c r="B503" s="56" t="str">
        <f>"470345155253094847"</f>
        <v>470345155253094847</v>
      </c>
      <c r="C503" s="56" t="s">
        <v>2253</v>
      </c>
      <c r="D503" s="56">
        <v>1585</v>
      </c>
      <c r="E503" s="56" t="s">
        <v>53</v>
      </c>
      <c r="F503" s="56" t="s">
        <v>2254</v>
      </c>
      <c r="G503" s="56" t="s">
        <v>2255</v>
      </c>
      <c r="H503" s="56" t="s">
        <v>2256</v>
      </c>
      <c r="I503" s="59">
        <v>43618.7630787037</v>
      </c>
      <c r="J503" s="59">
        <v>43618.7631828704</v>
      </c>
      <c r="K503" s="56" t="s">
        <v>2223</v>
      </c>
      <c r="L503" s="56" t="s">
        <v>2257</v>
      </c>
      <c r="M503" s="56" t="s">
        <v>49</v>
      </c>
      <c r="N503" s="56" t="s">
        <v>2258</v>
      </c>
      <c r="O503" s="56">
        <v>1</v>
      </c>
      <c r="P503" s="56">
        <v>0</v>
      </c>
      <c r="Q503" s="56" t="s">
        <v>51</v>
      </c>
      <c r="R503" s="59">
        <v>43629.6951851852</v>
      </c>
    </row>
    <row r="504" s="55" customFormat="1" spans="1:18">
      <c r="A504" s="55" t="e">
        <f>VLOOKUP(B504,[1]天猫!$B$3:$H$258,1,FALSE)</f>
        <v>#N/A</v>
      </c>
      <c r="B504" s="55" t="str">
        <f>"470296963501546885"</f>
        <v>470296963501546885</v>
      </c>
      <c r="C504" s="55" t="s">
        <v>2259</v>
      </c>
      <c r="D504" s="55">
        <v>1585</v>
      </c>
      <c r="E504" s="55" t="s">
        <v>53</v>
      </c>
      <c r="F504" s="55" t="s">
        <v>2260</v>
      </c>
      <c r="G504" s="55" t="s">
        <v>2261</v>
      </c>
      <c r="H504" s="55" t="s">
        <v>2262</v>
      </c>
      <c r="I504" s="58">
        <v>43618.7456828704</v>
      </c>
      <c r="J504" s="58">
        <v>43618.7457407407</v>
      </c>
      <c r="K504" s="55" t="s">
        <v>2223</v>
      </c>
      <c r="L504" s="55" t="s">
        <v>2263</v>
      </c>
      <c r="M504" s="55" t="s">
        <v>49</v>
      </c>
      <c r="N504" s="55" t="s">
        <v>2264</v>
      </c>
      <c r="O504" s="55">
        <v>1</v>
      </c>
      <c r="P504" s="55">
        <v>0</v>
      </c>
      <c r="Q504" s="55" t="s">
        <v>51</v>
      </c>
      <c r="R504" s="58">
        <v>43632.7207986111</v>
      </c>
    </row>
    <row r="505" s="48" customFormat="1" hidden="1" spans="1:18">
      <c r="A505" s="55" t="str">
        <f>VLOOKUP(B505,[1]天猫!$B$3:$H$258,1,FALSE)</f>
        <v>304408142389906507</v>
      </c>
      <c r="B505" s="48" t="str">
        <f>"304408142389906507"</f>
        <v>304408142389906507</v>
      </c>
      <c r="C505" s="48" t="s">
        <v>2265</v>
      </c>
      <c r="D505" s="48">
        <v>861.68</v>
      </c>
      <c r="E505" s="48" t="s">
        <v>53</v>
      </c>
      <c r="F505" s="48" t="s">
        <v>2266</v>
      </c>
      <c r="G505" s="48" t="s">
        <v>2267</v>
      </c>
      <c r="H505" s="48" t="s">
        <v>2268</v>
      </c>
      <c r="I505" s="51">
        <v>43618.7214467593</v>
      </c>
      <c r="J505" s="51">
        <v>43618.7451157407</v>
      </c>
      <c r="K505" s="48" t="s">
        <v>1573</v>
      </c>
      <c r="L505" s="48" t="s">
        <v>2269</v>
      </c>
      <c r="M505" s="48" t="s">
        <v>49</v>
      </c>
      <c r="O505" s="48">
        <v>2</v>
      </c>
      <c r="P505" s="48">
        <v>0</v>
      </c>
      <c r="Q505" s="48" t="s">
        <v>51</v>
      </c>
      <c r="R505" s="51">
        <v>43621.6746412037</v>
      </c>
    </row>
    <row r="506" s="55" customFormat="1" spans="1:18">
      <c r="A506" s="55" t="e">
        <f>VLOOKUP(B506,[1]天猫!$B$3:$H$258,1,FALSE)</f>
        <v>#N/A</v>
      </c>
      <c r="B506" s="55" t="str">
        <f>"469842370482313670"</f>
        <v>469842370482313670</v>
      </c>
      <c r="C506" s="55" t="s">
        <v>2270</v>
      </c>
      <c r="D506" s="55">
        <v>1664</v>
      </c>
      <c r="E506" s="55" t="s">
        <v>53</v>
      </c>
      <c r="F506" s="55" t="s">
        <v>2271</v>
      </c>
      <c r="G506" s="55" t="s">
        <v>2272</v>
      </c>
      <c r="H506" s="55" t="s">
        <v>2273</v>
      </c>
      <c r="I506" s="58">
        <v>43618.6985763889</v>
      </c>
      <c r="J506" s="58">
        <v>43618.6986458333</v>
      </c>
      <c r="K506" s="55" t="s">
        <v>2223</v>
      </c>
      <c r="L506" s="55" t="s">
        <v>2274</v>
      </c>
      <c r="M506" s="55" t="s">
        <v>49</v>
      </c>
      <c r="N506" s="55" t="s">
        <v>2275</v>
      </c>
      <c r="O506" s="55">
        <v>1</v>
      </c>
      <c r="P506" s="55">
        <v>0</v>
      </c>
      <c r="Q506" s="55" t="s">
        <v>341</v>
      </c>
      <c r="R506" s="58">
        <v>43628.7020138889</v>
      </c>
    </row>
    <row r="507" s="55" customFormat="1" spans="1:18">
      <c r="A507" s="55" t="e">
        <f>VLOOKUP(B507,[1]天猫!$B$3:$H$258,1,FALSE)</f>
        <v>#N/A</v>
      </c>
      <c r="B507" s="55" t="str">
        <f>"469503009955449777"</f>
        <v>469503009955449777</v>
      </c>
      <c r="C507" s="55" t="s">
        <v>2276</v>
      </c>
      <c r="D507" s="55">
        <v>463</v>
      </c>
      <c r="E507" s="55" t="s">
        <v>53</v>
      </c>
      <c r="F507" s="55" t="s">
        <v>2277</v>
      </c>
      <c r="G507" s="55" t="s">
        <v>2278</v>
      </c>
      <c r="H507" s="55" t="s">
        <v>2279</v>
      </c>
      <c r="I507" s="58">
        <v>43618.6919097222</v>
      </c>
      <c r="J507" s="58">
        <v>43618.6920949074</v>
      </c>
      <c r="K507" s="55" t="s">
        <v>820</v>
      </c>
      <c r="L507" s="55" t="s">
        <v>2280</v>
      </c>
      <c r="M507" s="55" t="s">
        <v>49</v>
      </c>
      <c r="N507" s="55" t="s">
        <v>2281</v>
      </c>
      <c r="O507" s="55">
        <v>1</v>
      </c>
      <c r="P507" s="55">
        <v>0</v>
      </c>
      <c r="Q507" s="55" t="s">
        <v>51</v>
      </c>
      <c r="R507" s="58">
        <v>43628.7071296296</v>
      </c>
    </row>
    <row r="508" s="48" customFormat="1" hidden="1" spans="1:18">
      <c r="A508" s="55" t="str">
        <f>VLOOKUP(B508,[1]天猫!$B$3:$H$258,1,FALSE)</f>
        <v>470125699386450185</v>
      </c>
      <c r="B508" s="48" t="str">
        <f>"470125699386450185"</f>
        <v>470125699386450185</v>
      </c>
      <c r="C508" s="48" t="s">
        <v>2282</v>
      </c>
      <c r="D508" s="48">
        <v>1026</v>
      </c>
      <c r="E508" s="48" t="s">
        <v>53</v>
      </c>
      <c r="F508" s="48" t="s">
        <v>2283</v>
      </c>
      <c r="G508" s="48" t="s">
        <v>2284</v>
      </c>
      <c r="H508" s="48" t="s">
        <v>2285</v>
      </c>
      <c r="I508" s="51">
        <v>43618.6875115741</v>
      </c>
      <c r="J508" s="51">
        <v>43618.6994328704</v>
      </c>
      <c r="K508" s="48" t="s">
        <v>820</v>
      </c>
      <c r="L508" s="48" t="s">
        <v>2286</v>
      </c>
      <c r="M508" s="48" t="s">
        <v>49</v>
      </c>
      <c r="O508" s="48">
        <v>2</v>
      </c>
      <c r="P508" s="48">
        <v>0</v>
      </c>
      <c r="Q508" s="48" t="s">
        <v>51</v>
      </c>
      <c r="R508" s="51">
        <v>43628.7053009259</v>
      </c>
    </row>
    <row r="509" s="55" customFormat="1" spans="1:18">
      <c r="A509" s="55" t="e">
        <f>VLOOKUP(B509,[1]天猫!$B$3:$H$258,1,FALSE)</f>
        <v>#N/A</v>
      </c>
      <c r="B509" s="55" t="str">
        <f>"469309153681072589"</f>
        <v>469309153681072589</v>
      </c>
      <c r="C509" s="55" t="s">
        <v>2287</v>
      </c>
      <c r="D509" s="55">
        <v>2591</v>
      </c>
      <c r="E509" s="55" t="s">
        <v>53</v>
      </c>
      <c r="F509" s="55" t="s">
        <v>2288</v>
      </c>
      <c r="G509" s="55" t="s">
        <v>2289</v>
      </c>
      <c r="H509" s="55" t="s">
        <v>2290</v>
      </c>
      <c r="I509" s="58">
        <v>43618.6282175926</v>
      </c>
      <c r="J509" s="58">
        <v>43618.6283449074</v>
      </c>
      <c r="K509" s="55" t="s">
        <v>2291</v>
      </c>
      <c r="L509" s="55" t="s">
        <v>2292</v>
      </c>
      <c r="M509" s="55" t="s">
        <v>49</v>
      </c>
      <c r="N509" s="55" t="s">
        <v>2293</v>
      </c>
      <c r="O509" s="55">
        <v>2</v>
      </c>
      <c r="P509" s="55">
        <v>0</v>
      </c>
      <c r="Q509" s="55" t="s">
        <v>51</v>
      </c>
      <c r="R509" s="58">
        <v>43622.8124189815</v>
      </c>
    </row>
    <row r="510" s="48" customFormat="1" hidden="1" spans="1:18">
      <c r="A510" s="55" t="str">
        <f>VLOOKUP(B510,[1]天猫!$B$3:$H$258,1,FALSE)</f>
        <v>469592770078941146</v>
      </c>
      <c r="B510" s="48" t="str">
        <f>"469592770078941146"</f>
        <v>469592770078941146</v>
      </c>
      <c r="C510" s="48" t="s">
        <v>2294</v>
      </c>
      <c r="D510" s="48">
        <v>1765</v>
      </c>
      <c r="E510" s="48" t="s">
        <v>53</v>
      </c>
      <c r="F510" s="48" t="s">
        <v>2295</v>
      </c>
      <c r="G510" s="48" t="s">
        <v>2296</v>
      </c>
      <c r="H510" s="48" t="s">
        <v>2297</v>
      </c>
      <c r="I510" s="51">
        <v>43618.613599537</v>
      </c>
      <c r="J510" s="51">
        <v>43618.621412037</v>
      </c>
      <c r="K510" s="48" t="s">
        <v>2223</v>
      </c>
      <c r="L510" s="48" t="s">
        <v>2298</v>
      </c>
      <c r="M510" s="48" t="s">
        <v>49</v>
      </c>
      <c r="O510" s="48">
        <v>1</v>
      </c>
      <c r="P510" s="48">
        <v>0</v>
      </c>
      <c r="Q510" s="48" t="s">
        <v>51</v>
      </c>
      <c r="R510" s="51">
        <v>43621.5521875</v>
      </c>
    </row>
    <row r="511" s="48" customFormat="1" hidden="1" spans="1:18">
      <c r="A511" s="55" t="str">
        <f>VLOOKUP(B511,[1]天猫!$B$3:$H$258,1,FALSE)</f>
        <v>304261101816267905</v>
      </c>
      <c r="B511" s="48" t="str">
        <f>"304261101816267905"</f>
        <v>304261101816267905</v>
      </c>
      <c r="C511" s="48" t="s">
        <v>2299</v>
      </c>
      <c r="D511" s="48">
        <v>1585</v>
      </c>
      <c r="E511" s="48" t="s">
        <v>53</v>
      </c>
      <c r="F511" s="48" t="s">
        <v>2300</v>
      </c>
      <c r="G511" s="48" t="s">
        <v>2301</v>
      </c>
      <c r="H511" s="48" t="s">
        <v>2302</v>
      </c>
      <c r="I511" s="51">
        <v>43618.583287037</v>
      </c>
      <c r="J511" s="51">
        <v>43618.5847106481</v>
      </c>
      <c r="K511" s="48" t="s">
        <v>2223</v>
      </c>
      <c r="L511" s="48" t="s">
        <v>2303</v>
      </c>
      <c r="M511" s="48" t="s">
        <v>49</v>
      </c>
      <c r="O511" s="48">
        <v>1</v>
      </c>
      <c r="P511" s="48">
        <v>0</v>
      </c>
      <c r="Q511" s="48" t="s">
        <v>51</v>
      </c>
      <c r="R511" s="51">
        <v>43623.5122453704</v>
      </c>
    </row>
    <row r="512" s="48" customFormat="1" hidden="1" spans="1:18">
      <c r="A512" s="55" t="str">
        <f>VLOOKUP(B512,[1]天猫!$B$3:$H$258,1,FALSE)</f>
        <v>469802979804263656</v>
      </c>
      <c r="B512" s="48" t="str">
        <f>"469802979804263656"</f>
        <v>469802979804263656</v>
      </c>
      <c r="C512" s="48" t="s">
        <v>2304</v>
      </c>
      <c r="D512" s="48">
        <v>3172</v>
      </c>
      <c r="E512" s="48" t="s">
        <v>53</v>
      </c>
      <c r="F512" s="48" t="s">
        <v>2305</v>
      </c>
      <c r="G512" s="48" t="s">
        <v>2306</v>
      </c>
      <c r="H512" s="48" t="s">
        <v>2307</v>
      </c>
      <c r="I512" s="51">
        <v>43618.5809027778</v>
      </c>
      <c r="J512" s="51">
        <v>43618.6177546296</v>
      </c>
      <c r="K512" s="48" t="s">
        <v>2308</v>
      </c>
      <c r="L512" s="48" t="s">
        <v>2309</v>
      </c>
      <c r="M512" s="48" t="s">
        <v>49</v>
      </c>
      <c r="O512" s="48">
        <v>2</v>
      </c>
      <c r="P512" s="48">
        <v>0</v>
      </c>
      <c r="Q512" s="48" t="s">
        <v>51</v>
      </c>
      <c r="R512" s="51">
        <v>43621.7928009259</v>
      </c>
    </row>
    <row r="513" s="48" customFormat="1" hidden="1" spans="1:18">
      <c r="A513" s="55" t="str">
        <f>VLOOKUP(B513,[1]天猫!$B$3:$H$258,1,FALSE)</f>
        <v>469466722700978914</v>
      </c>
      <c r="B513" s="48" t="str">
        <f>"469466722700978914"</f>
        <v>469466722700978914</v>
      </c>
      <c r="C513" s="48" t="s">
        <v>2310</v>
      </c>
      <c r="D513" s="48">
        <v>2190</v>
      </c>
      <c r="E513" s="48" t="s">
        <v>53</v>
      </c>
      <c r="F513" s="48" t="s">
        <v>2311</v>
      </c>
      <c r="G513" s="48" t="s">
        <v>2312</v>
      </c>
      <c r="H513" s="48" t="s">
        <v>2313</v>
      </c>
      <c r="I513" s="51">
        <v>43618.5713773148</v>
      </c>
      <c r="J513" s="51">
        <v>43618.5804513889</v>
      </c>
      <c r="K513" s="48" t="s">
        <v>2314</v>
      </c>
      <c r="L513" s="48" t="s">
        <v>2315</v>
      </c>
      <c r="M513" s="48" t="s">
        <v>49</v>
      </c>
      <c r="O513" s="48">
        <v>6</v>
      </c>
      <c r="P513" s="48">
        <v>0</v>
      </c>
      <c r="Q513" s="48" t="s">
        <v>51</v>
      </c>
      <c r="R513" s="51">
        <v>43624.6912037037</v>
      </c>
    </row>
    <row r="514" s="55" customFormat="1" spans="1:18">
      <c r="A514" s="55" t="e">
        <f>VLOOKUP(B514,[1]天猫!$B$3:$H$258,1,FALSE)</f>
        <v>#N/A</v>
      </c>
      <c r="B514" s="55" t="str">
        <f>"468712960925841064"</f>
        <v>468712960925841064</v>
      </c>
      <c r="C514" s="55" t="s">
        <v>2316</v>
      </c>
      <c r="D514" s="55">
        <v>3160</v>
      </c>
      <c r="E514" s="55" t="s">
        <v>53</v>
      </c>
      <c r="F514" s="55" t="s">
        <v>2317</v>
      </c>
      <c r="G514" s="55" t="s">
        <v>2318</v>
      </c>
      <c r="H514" s="55" t="s">
        <v>2319</v>
      </c>
      <c r="I514" s="58">
        <v>43618.534849537</v>
      </c>
      <c r="J514" s="58">
        <v>43618.5349537037</v>
      </c>
      <c r="K514" s="55" t="s">
        <v>2320</v>
      </c>
      <c r="L514" s="55" t="s">
        <v>2321</v>
      </c>
      <c r="M514" s="55" t="s">
        <v>49</v>
      </c>
      <c r="N514" s="55" t="s">
        <v>2322</v>
      </c>
      <c r="O514" s="55">
        <v>3</v>
      </c>
      <c r="P514" s="55">
        <v>0</v>
      </c>
      <c r="Q514" s="55" t="s">
        <v>51</v>
      </c>
      <c r="R514" s="58">
        <v>43628.6911574074</v>
      </c>
    </row>
    <row r="515" s="56" customFormat="1" spans="1:18">
      <c r="A515" s="55" t="e">
        <f>VLOOKUP(B515,[1]天猫!$B$3:$H$258,1,FALSE)</f>
        <v>#N/A</v>
      </c>
      <c r="B515" s="56" t="str">
        <f>"469130499199319527"</f>
        <v>469130499199319527</v>
      </c>
      <c r="C515" s="56" t="s">
        <v>2323</v>
      </c>
      <c r="D515" s="56">
        <v>2163.43</v>
      </c>
      <c r="E515" s="56" t="s">
        <v>53</v>
      </c>
      <c r="F515" s="56" t="s">
        <v>2324</v>
      </c>
      <c r="G515" s="56" t="s">
        <v>2325</v>
      </c>
      <c r="H515" s="56" t="s">
        <v>2326</v>
      </c>
      <c r="I515" s="59">
        <v>43618.3243634259</v>
      </c>
      <c r="J515" s="59">
        <v>43618.3249189815</v>
      </c>
      <c r="K515" s="56" t="s">
        <v>69</v>
      </c>
      <c r="L515" s="56" t="s">
        <v>2327</v>
      </c>
      <c r="M515" s="56" t="s">
        <v>49</v>
      </c>
      <c r="N515" s="56" t="s">
        <v>2328</v>
      </c>
      <c r="O515" s="56">
        <v>1</v>
      </c>
      <c r="P515" s="56">
        <v>0</v>
      </c>
      <c r="Q515" s="56" t="s">
        <v>51</v>
      </c>
      <c r="R515" s="59">
        <v>43628.6623726852</v>
      </c>
    </row>
    <row r="516" s="56" customFormat="1" spans="1:18">
      <c r="A516" s="55" t="e">
        <f>VLOOKUP(B516,[1]天猫!$B$3:$H$258,1,FALSE)</f>
        <v>#N/A</v>
      </c>
      <c r="B516" s="56" t="str">
        <f>"303858508268179306"</f>
        <v>303858508268179306</v>
      </c>
      <c r="C516" s="56" t="s">
        <v>2329</v>
      </c>
      <c r="D516" s="56">
        <v>2014.66</v>
      </c>
      <c r="E516" s="56" t="s">
        <v>53</v>
      </c>
      <c r="F516" s="56" t="s">
        <v>2330</v>
      </c>
      <c r="G516" s="56" t="s">
        <v>2331</v>
      </c>
      <c r="H516" s="56" t="s">
        <v>2332</v>
      </c>
      <c r="I516" s="59">
        <v>43617.9725347222</v>
      </c>
      <c r="J516" s="59">
        <v>43617.9729398148</v>
      </c>
      <c r="K516" s="56" t="s">
        <v>69</v>
      </c>
      <c r="L516" s="56" t="s">
        <v>2333</v>
      </c>
      <c r="M516" s="56" t="s">
        <v>49</v>
      </c>
      <c r="N516" s="56" t="s">
        <v>2334</v>
      </c>
      <c r="O516" s="56">
        <v>1</v>
      </c>
      <c r="P516" s="56">
        <v>0</v>
      </c>
      <c r="Q516" s="56" t="s">
        <v>51</v>
      </c>
      <c r="R516" s="59">
        <v>43623.8878009259</v>
      </c>
    </row>
    <row r="517" s="57" customFormat="1" spans="1:18">
      <c r="A517" s="55" t="e">
        <f>VLOOKUP(B517,[1]天猫!$B$3:$H$258,1,FALSE)</f>
        <v>#N/A</v>
      </c>
      <c r="B517" s="57" t="str">
        <f>"303858508267179306"</f>
        <v>303858508267179306</v>
      </c>
      <c r="C517" s="57" t="s">
        <v>2329</v>
      </c>
      <c r="D517" s="57">
        <v>387.14</v>
      </c>
      <c r="E517" s="57" t="s">
        <v>53</v>
      </c>
      <c r="F517" s="57" t="s">
        <v>2330</v>
      </c>
      <c r="G517" s="57" t="s">
        <v>2331</v>
      </c>
      <c r="H517" s="57" t="s">
        <v>2332</v>
      </c>
      <c r="I517" s="60">
        <v>43617.9725347222</v>
      </c>
      <c r="J517" s="60">
        <v>43617.9729513889</v>
      </c>
      <c r="K517" s="57" t="s">
        <v>95</v>
      </c>
      <c r="L517" s="57" t="s">
        <v>2335</v>
      </c>
      <c r="M517" s="57" t="s">
        <v>49</v>
      </c>
      <c r="O517" s="57">
        <v>399</v>
      </c>
      <c r="P517" s="57">
        <v>0</v>
      </c>
      <c r="Q517" s="57" t="s">
        <v>51</v>
      </c>
      <c r="R517" s="60">
        <v>43623.8876736111</v>
      </c>
    </row>
    <row r="518" s="56" customFormat="1" spans="1:18">
      <c r="A518" s="55" t="e">
        <f>VLOOKUP(B518,[1]天猫!$B$3:$H$258,1,FALSE)</f>
        <v>#N/A</v>
      </c>
      <c r="B518" s="56" t="str">
        <f>"282281606159348291"</f>
        <v>282281606159348291</v>
      </c>
      <c r="C518" s="56" t="s">
        <v>2336</v>
      </c>
      <c r="D518" s="56">
        <v>1593.08</v>
      </c>
      <c r="E518" s="56" t="s">
        <v>53</v>
      </c>
      <c r="F518" s="56" t="s">
        <v>2337</v>
      </c>
      <c r="G518" s="56" t="s">
        <v>2338</v>
      </c>
      <c r="H518" s="56" t="s">
        <v>2339</v>
      </c>
      <c r="I518" s="59">
        <v>43617.9347337963</v>
      </c>
      <c r="J518" s="59">
        <v>43617.9348263889</v>
      </c>
      <c r="K518" s="56" t="s">
        <v>2223</v>
      </c>
      <c r="L518" s="56" t="s">
        <v>2340</v>
      </c>
      <c r="M518" s="56" t="s">
        <v>49</v>
      </c>
      <c r="N518" s="56" t="s">
        <v>2341</v>
      </c>
      <c r="O518" s="56">
        <v>1</v>
      </c>
      <c r="P518" s="56">
        <v>0</v>
      </c>
      <c r="Q518" s="56" t="s">
        <v>51</v>
      </c>
      <c r="R518" s="59">
        <v>43623.7674189815</v>
      </c>
    </row>
    <row r="519" s="56" customFormat="1" spans="1:18">
      <c r="A519" s="55" t="e">
        <f>VLOOKUP(B519,[1]天猫!$B$3:$H$258,1,FALSE)</f>
        <v>#N/A</v>
      </c>
      <c r="B519" s="56" t="str">
        <f>"467752032401017213"</f>
        <v>467752032401017213</v>
      </c>
      <c r="C519" s="56" t="s">
        <v>2342</v>
      </c>
      <c r="D519" s="56">
        <v>567.4</v>
      </c>
      <c r="E519" s="56" t="s">
        <v>53</v>
      </c>
      <c r="F519" s="56" t="s">
        <v>2343</v>
      </c>
      <c r="G519" s="56" t="s">
        <v>2344</v>
      </c>
      <c r="H519" s="56" t="s">
        <v>2345</v>
      </c>
      <c r="I519" s="59">
        <v>43617.90875</v>
      </c>
      <c r="J519" s="59">
        <v>43617.9404976852</v>
      </c>
      <c r="K519" s="56" t="s">
        <v>778</v>
      </c>
      <c r="L519" s="56" t="s">
        <v>2346</v>
      </c>
      <c r="M519" s="56" t="s">
        <v>49</v>
      </c>
      <c r="N519" s="56" t="s">
        <v>2347</v>
      </c>
      <c r="O519" s="56">
        <v>1</v>
      </c>
      <c r="P519" s="56">
        <v>0</v>
      </c>
      <c r="Q519" s="56" t="s">
        <v>51</v>
      </c>
      <c r="R519" s="59">
        <v>43628.6610763889</v>
      </c>
    </row>
    <row r="520" s="56" customFormat="1" spans="1:18">
      <c r="A520" s="55" t="e">
        <f>VLOOKUP(B520,[1]天猫!$B$3:$H$258,1,FALSE)</f>
        <v>#N/A</v>
      </c>
      <c r="B520" s="56" t="str">
        <f>"467718240998342461"</f>
        <v>467718240998342461</v>
      </c>
      <c r="C520" s="56" t="s">
        <v>2348</v>
      </c>
      <c r="D520" s="56">
        <v>1593</v>
      </c>
      <c r="E520" s="56" t="s">
        <v>53</v>
      </c>
      <c r="F520" s="56" t="s">
        <v>2349</v>
      </c>
      <c r="G520" s="56" t="s">
        <v>2350</v>
      </c>
      <c r="H520" s="56" t="s">
        <v>2351</v>
      </c>
      <c r="I520" s="59">
        <v>43617.8967939815</v>
      </c>
      <c r="J520" s="59">
        <v>43617.8993287037</v>
      </c>
      <c r="K520" s="56" t="s">
        <v>2223</v>
      </c>
      <c r="L520" s="56" t="s">
        <v>2352</v>
      </c>
      <c r="M520" s="56" t="s">
        <v>49</v>
      </c>
      <c r="N520" s="56" t="s">
        <v>2353</v>
      </c>
      <c r="O520" s="56">
        <v>1</v>
      </c>
      <c r="P520" s="56">
        <v>0</v>
      </c>
      <c r="Q520" s="56" t="s">
        <v>51</v>
      </c>
      <c r="R520" s="59">
        <v>43628.6608796296</v>
      </c>
    </row>
    <row r="521" s="56" customFormat="1" spans="1:18">
      <c r="A521" s="55" t="e">
        <f>VLOOKUP(B521,[1]天猫!$B$3:$H$258,1,FALSE)</f>
        <v>#N/A</v>
      </c>
      <c r="B521" s="56" t="str">
        <f>"467659169177638146"</f>
        <v>467659169177638146</v>
      </c>
      <c r="C521" s="56" t="s">
        <v>2354</v>
      </c>
      <c r="D521" s="56">
        <v>1715</v>
      </c>
      <c r="E521" s="56" t="s">
        <v>53</v>
      </c>
      <c r="F521" s="56" t="s">
        <v>2355</v>
      </c>
      <c r="G521" s="56" t="s">
        <v>2356</v>
      </c>
      <c r="H521" s="56" t="s">
        <v>2357</v>
      </c>
      <c r="I521" s="59">
        <v>43617.8380208333</v>
      </c>
      <c r="J521" s="59">
        <v>43617.8380787037</v>
      </c>
      <c r="K521" s="56" t="s">
        <v>2223</v>
      </c>
      <c r="L521" s="56" t="s">
        <v>2358</v>
      </c>
      <c r="M521" s="56" t="s">
        <v>49</v>
      </c>
      <c r="N521" s="56" t="s">
        <v>2359</v>
      </c>
      <c r="O521" s="56">
        <v>1</v>
      </c>
      <c r="P521" s="56">
        <v>0</v>
      </c>
      <c r="Q521" s="56" t="s">
        <v>51</v>
      </c>
      <c r="R521" s="59">
        <v>43628.6600462963</v>
      </c>
    </row>
    <row r="522" s="56" customFormat="1" spans="1:18">
      <c r="A522" s="55" t="e">
        <f>VLOOKUP(B522,[1]天猫!$B$3:$H$258,1,FALSE)</f>
        <v>#N/A</v>
      </c>
      <c r="B522" s="56" t="str">
        <f>"468058722864910947"</f>
        <v>468058722864910947</v>
      </c>
      <c r="C522" s="56" t="s">
        <v>2360</v>
      </c>
      <c r="D522" s="56">
        <v>2408.8</v>
      </c>
      <c r="E522" s="56" t="s">
        <v>53</v>
      </c>
      <c r="F522" s="56" t="s">
        <v>2361</v>
      </c>
      <c r="G522" s="56" t="s">
        <v>2362</v>
      </c>
      <c r="H522" s="56" t="s">
        <v>2363</v>
      </c>
      <c r="I522" s="59">
        <v>43617.7900578704</v>
      </c>
      <c r="J522" s="59">
        <v>43617.7928356481</v>
      </c>
      <c r="K522" s="56" t="s">
        <v>69</v>
      </c>
      <c r="L522" s="56" t="s">
        <v>2364</v>
      </c>
      <c r="M522" s="56" t="s">
        <v>49</v>
      </c>
      <c r="N522" s="56" t="s">
        <v>2365</v>
      </c>
      <c r="O522" s="56">
        <v>1</v>
      </c>
      <c r="P522" s="56">
        <v>0</v>
      </c>
      <c r="Q522" s="56" t="s">
        <v>51</v>
      </c>
      <c r="R522" s="59">
        <v>43629.6944907407</v>
      </c>
    </row>
    <row r="523" s="55" customFormat="1" spans="1:18">
      <c r="A523" s="55" t="e">
        <f>VLOOKUP(B523,[1]天猫!$B$3:$H$258,1,FALSE)</f>
        <v>#N/A</v>
      </c>
      <c r="B523" s="55" t="str">
        <f>"468147747867622651"</f>
        <v>468147747867622651</v>
      </c>
      <c r="C523" s="55" t="s">
        <v>2366</v>
      </c>
      <c r="D523" s="55">
        <v>1585</v>
      </c>
      <c r="E523" s="55" t="s">
        <v>53</v>
      </c>
      <c r="F523" s="55" t="s">
        <v>2367</v>
      </c>
      <c r="G523" s="55" t="s">
        <v>2368</v>
      </c>
      <c r="H523" s="55" t="s">
        <v>2369</v>
      </c>
      <c r="I523" s="58">
        <v>43617.7015509259</v>
      </c>
      <c r="J523" s="58">
        <v>43617.7016319444</v>
      </c>
      <c r="K523" s="55" t="s">
        <v>2223</v>
      </c>
      <c r="L523" s="55" t="s">
        <v>2370</v>
      </c>
      <c r="M523" s="55" t="s">
        <v>49</v>
      </c>
      <c r="N523" s="55" t="s">
        <v>2371</v>
      </c>
      <c r="O523" s="55">
        <v>1</v>
      </c>
      <c r="P523" s="55">
        <v>0</v>
      </c>
      <c r="Q523" s="55" t="s">
        <v>51</v>
      </c>
      <c r="R523" s="58">
        <v>43632.7306597222</v>
      </c>
    </row>
    <row r="524" s="55" customFormat="1" spans="1:18">
      <c r="A524" s="55" t="e">
        <f>VLOOKUP(B524,[1]天猫!$B$3:$H$258,1,FALSE)</f>
        <v>#N/A</v>
      </c>
      <c r="B524" s="55" t="str">
        <f>"467981635634887924"</f>
        <v>467981635634887924</v>
      </c>
      <c r="C524" s="55" t="s">
        <v>2372</v>
      </c>
      <c r="D524" s="55">
        <v>2843</v>
      </c>
      <c r="E524" s="55" t="s">
        <v>53</v>
      </c>
      <c r="F524" s="55" t="s">
        <v>2373</v>
      </c>
      <c r="G524" s="55" t="s">
        <v>2374</v>
      </c>
      <c r="H524" s="55" t="s">
        <v>2375</v>
      </c>
      <c r="I524" s="58">
        <v>43617.6480555556</v>
      </c>
      <c r="J524" s="58">
        <v>43617.6481828704</v>
      </c>
      <c r="K524" s="55" t="s">
        <v>2376</v>
      </c>
      <c r="L524" s="55" t="s">
        <v>2377</v>
      </c>
      <c r="M524" s="55" t="s">
        <v>49</v>
      </c>
      <c r="N524" s="55" t="s">
        <v>2378</v>
      </c>
      <c r="O524" s="55">
        <v>1</v>
      </c>
      <c r="P524" s="55">
        <v>0</v>
      </c>
      <c r="Q524" s="55" t="s">
        <v>51</v>
      </c>
      <c r="R524" s="58">
        <v>43632.7305555556</v>
      </c>
    </row>
    <row r="525" s="48" customFormat="1" hidden="1" spans="1:18">
      <c r="A525" s="55" t="str">
        <f>VLOOKUP(B525,[1]天猫!$B$3:$H$258,1,FALSE)</f>
        <v>303957068693622208</v>
      </c>
      <c r="B525" s="48" t="str">
        <f>"303957068693622208"</f>
        <v>303957068693622208</v>
      </c>
      <c r="C525" s="48" t="s">
        <v>2379</v>
      </c>
      <c r="D525" s="48">
        <v>771.68</v>
      </c>
      <c r="E525" s="48" t="s">
        <v>53</v>
      </c>
      <c r="F525" s="48" t="s">
        <v>2380</v>
      </c>
      <c r="G525" s="48" t="s">
        <v>2381</v>
      </c>
      <c r="H525" s="48" t="s">
        <v>1797</v>
      </c>
      <c r="I525" s="51">
        <v>43617.64375</v>
      </c>
      <c r="J525" s="51">
        <v>43617.6452893519</v>
      </c>
      <c r="K525" s="48" t="s">
        <v>1573</v>
      </c>
      <c r="L525" s="48" t="s">
        <v>2382</v>
      </c>
      <c r="M525" s="48" t="s">
        <v>49</v>
      </c>
      <c r="O525" s="48">
        <v>2</v>
      </c>
      <c r="P525" s="48">
        <v>0</v>
      </c>
      <c r="Q525" s="48" t="s">
        <v>51</v>
      </c>
      <c r="R525" s="51">
        <v>43622.6970949074</v>
      </c>
    </row>
    <row r="526" s="48" customFormat="1" hidden="1" spans="1:18">
      <c r="A526" s="55" t="str">
        <f>VLOOKUP(B526,[1]天猫!$B$3:$H$258,1,FALSE)</f>
        <v>466716128970639981</v>
      </c>
      <c r="B526" s="48" t="str">
        <f>"466716128970639981"</f>
        <v>466716128970639981</v>
      </c>
      <c r="C526" s="48" t="s">
        <v>2383</v>
      </c>
      <c r="D526" s="48">
        <v>1755</v>
      </c>
      <c r="E526" s="48" t="s">
        <v>53</v>
      </c>
      <c r="F526" s="48" t="s">
        <v>2384</v>
      </c>
      <c r="G526" s="48" t="s">
        <v>2385</v>
      </c>
      <c r="H526" s="48" t="s">
        <v>2386</v>
      </c>
      <c r="I526" s="51">
        <v>43617.5511921296</v>
      </c>
      <c r="J526" s="51">
        <v>43617.5720833333</v>
      </c>
      <c r="K526" s="48" t="s">
        <v>2223</v>
      </c>
      <c r="L526" s="48" t="s">
        <v>2387</v>
      </c>
      <c r="M526" s="48" t="s">
        <v>49</v>
      </c>
      <c r="O526" s="48">
        <v>1</v>
      </c>
      <c r="P526" s="48">
        <v>0</v>
      </c>
      <c r="Q526" s="48" t="s">
        <v>51</v>
      </c>
      <c r="R526" s="51">
        <v>43624.5125694444</v>
      </c>
    </row>
    <row r="527" s="55" customFormat="1" spans="1:18">
      <c r="A527" s="55" t="e">
        <f>VLOOKUP(B527,[1]天猫!$B$3:$H$258,1,FALSE)</f>
        <v>#N/A</v>
      </c>
      <c r="B527" s="55" t="str">
        <f>"466645120136717247"</f>
        <v>466645120136717247</v>
      </c>
      <c r="C527" s="55" t="s">
        <v>2388</v>
      </c>
      <c r="D527" s="55">
        <v>1725</v>
      </c>
      <c r="E527" s="55" t="s">
        <v>53</v>
      </c>
      <c r="F527" s="55" t="s">
        <v>2389</v>
      </c>
      <c r="G527" s="55" t="s">
        <v>2390</v>
      </c>
      <c r="H527" s="55" t="s">
        <v>2391</v>
      </c>
      <c r="I527" s="58">
        <v>43617.5176388889</v>
      </c>
      <c r="J527" s="58">
        <v>43617.5177430556</v>
      </c>
      <c r="K527" s="55" t="s">
        <v>2223</v>
      </c>
      <c r="L527" s="55" t="s">
        <v>2392</v>
      </c>
      <c r="M527" s="55" t="s">
        <v>49</v>
      </c>
      <c r="N527" s="55" t="s">
        <v>2393</v>
      </c>
      <c r="O527" s="55">
        <v>1</v>
      </c>
      <c r="P527" s="55">
        <v>0</v>
      </c>
      <c r="Q527" s="55" t="s">
        <v>51</v>
      </c>
      <c r="R527" s="58">
        <v>43622.3909606481</v>
      </c>
    </row>
    <row r="528" s="48" customFormat="1" hidden="1" spans="1:18">
      <c r="A528" s="55" t="str">
        <f>VLOOKUP(B528,[1]天猫!$B$3:$H$258,1,FALSE)</f>
        <v>467435203478046618</v>
      </c>
      <c r="B528" s="48" t="str">
        <f>"467435203478046618"</f>
        <v>467435203478046618</v>
      </c>
      <c r="C528" s="48" t="s">
        <v>2394</v>
      </c>
      <c r="D528" s="48">
        <v>3172</v>
      </c>
      <c r="E528" s="48" t="s">
        <v>53</v>
      </c>
      <c r="F528" s="48" t="s">
        <v>2395</v>
      </c>
      <c r="G528" s="48" t="s">
        <v>2396</v>
      </c>
      <c r="H528" s="48" t="s">
        <v>2397</v>
      </c>
      <c r="I528" s="51">
        <v>43617.4683796296</v>
      </c>
      <c r="J528" s="51">
        <v>43617.4712152778</v>
      </c>
      <c r="K528" s="48" t="s">
        <v>2308</v>
      </c>
      <c r="L528" s="48" t="s">
        <v>2398</v>
      </c>
      <c r="M528" s="48" t="s">
        <v>49</v>
      </c>
      <c r="O528" s="48">
        <v>2</v>
      </c>
      <c r="P528" s="48">
        <v>0</v>
      </c>
      <c r="Q528" s="48" t="s">
        <v>51</v>
      </c>
      <c r="R528" s="51">
        <v>43622.7137268518</v>
      </c>
    </row>
    <row r="529" s="48" customFormat="1" hidden="1" spans="1:18">
      <c r="A529" s="55" t="str">
        <f>VLOOKUP(B529,[1]天猫!$B$3:$H$258,1,FALSE)</f>
        <v>467355875986226439</v>
      </c>
      <c r="B529" s="48" t="str">
        <f>"467355875986226439"</f>
        <v>467355875986226439</v>
      </c>
      <c r="C529" s="48" t="s">
        <v>2399</v>
      </c>
      <c r="D529" s="48">
        <v>2350</v>
      </c>
      <c r="E529" s="48" t="s">
        <v>53</v>
      </c>
      <c r="F529" s="48" t="s">
        <v>2400</v>
      </c>
      <c r="G529" s="48" t="s">
        <v>2401</v>
      </c>
      <c r="H529" s="48" t="s">
        <v>2402</v>
      </c>
      <c r="I529" s="51">
        <v>43617.4513888889</v>
      </c>
      <c r="J529" s="51">
        <v>43617.4559837963</v>
      </c>
      <c r="K529" s="48" t="s">
        <v>2314</v>
      </c>
      <c r="L529" s="48" t="s">
        <v>2403</v>
      </c>
      <c r="M529" s="48" t="s">
        <v>49</v>
      </c>
      <c r="O529" s="48">
        <v>6</v>
      </c>
      <c r="P529" s="48">
        <v>0</v>
      </c>
      <c r="Q529" s="48" t="s">
        <v>51</v>
      </c>
      <c r="R529" s="51">
        <v>43620.6409722222</v>
      </c>
    </row>
    <row r="530" s="48" customFormat="1" hidden="1" spans="1:18">
      <c r="A530" s="55" t="str">
        <f>VLOOKUP(B530,[1]天猫!$B$3:$H$258,1,FALSE)</f>
        <v>466393152262509231</v>
      </c>
      <c r="B530" s="48" t="str">
        <f>"466393152262509231"</f>
        <v>466393152262509231</v>
      </c>
      <c r="C530" s="48" t="s">
        <v>2404</v>
      </c>
      <c r="D530" s="48">
        <v>1706</v>
      </c>
      <c r="E530" s="48" t="s">
        <v>53</v>
      </c>
      <c r="F530" s="48" t="s">
        <v>2405</v>
      </c>
      <c r="G530" s="48" t="s">
        <v>2406</v>
      </c>
      <c r="H530" s="48" t="s">
        <v>2407</v>
      </c>
      <c r="I530" s="51">
        <v>43617.4439699074</v>
      </c>
      <c r="J530" s="51">
        <v>43617.5646296296</v>
      </c>
      <c r="K530" s="48" t="s">
        <v>820</v>
      </c>
      <c r="L530" s="48" t="s">
        <v>2408</v>
      </c>
      <c r="M530" s="48" t="s">
        <v>49</v>
      </c>
      <c r="O530" s="48">
        <v>4</v>
      </c>
      <c r="P530" s="48">
        <v>0</v>
      </c>
      <c r="Q530" s="48" t="s">
        <v>51</v>
      </c>
      <c r="R530" s="51">
        <v>43622.6600462963</v>
      </c>
    </row>
    <row r="531" s="55" customFormat="1" spans="1:18">
      <c r="A531" s="55" t="e">
        <f>VLOOKUP(B531,[1]天猫!$B$3:$H$258,1,FALSE)</f>
        <v>#N/A</v>
      </c>
      <c r="B531" s="55" t="str">
        <f>"282158726618181094"</f>
        <v>282158726618181094</v>
      </c>
      <c r="C531" s="55" t="s">
        <v>2409</v>
      </c>
      <c r="D531" s="55">
        <v>1664</v>
      </c>
      <c r="E531" s="55" t="s">
        <v>53</v>
      </c>
      <c r="F531" s="55" t="s">
        <v>2409</v>
      </c>
      <c r="G531" s="55" t="s">
        <v>2410</v>
      </c>
      <c r="H531" s="55" t="s">
        <v>2411</v>
      </c>
      <c r="I531" s="58">
        <v>43617.4330092593</v>
      </c>
      <c r="J531" s="58">
        <v>43617.4332175926</v>
      </c>
      <c r="K531" s="55" t="s">
        <v>2223</v>
      </c>
      <c r="L531" s="55" t="s">
        <v>2412</v>
      </c>
      <c r="M531" s="55" t="s">
        <v>49</v>
      </c>
      <c r="N531" s="55" t="s">
        <v>2413</v>
      </c>
      <c r="O531" s="55">
        <v>1</v>
      </c>
      <c r="P531" s="55">
        <v>0</v>
      </c>
      <c r="Q531" s="55" t="s">
        <v>51</v>
      </c>
      <c r="R531" s="58">
        <v>43632.7300462963</v>
      </c>
    </row>
    <row r="532" s="48" customFormat="1" hidden="1" spans="1:18">
      <c r="A532" s="55" t="str">
        <f>VLOOKUP(B532,[1]天猫!$B$3:$H$258,1,FALSE)</f>
        <v>466929154696210549</v>
      </c>
      <c r="B532" s="48" t="str">
        <f>"466929154696210549"</f>
        <v>466929154696210549</v>
      </c>
      <c r="C532" s="48" t="s">
        <v>2414</v>
      </c>
      <c r="D532" s="48">
        <v>1765</v>
      </c>
      <c r="E532" s="48" t="s">
        <v>53</v>
      </c>
      <c r="F532" s="48" t="s">
        <v>2415</v>
      </c>
      <c r="G532" s="48" t="s">
        <v>2416</v>
      </c>
      <c r="H532" s="48" t="s">
        <v>2417</v>
      </c>
      <c r="I532" s="51">
        <v>43617.4122916667</v>
      </c>
      <c r="J532" s="51">
        <v>43617.4284490741</v>
      </c>
      <c r="K532" s="48" t="s">
        <v>2223</v>
      </c>
      <c r="L532" s="48" t="s">
        <v>2418</v>
      </c>
      <c r="M532" s="48" t="s">
        <v>49</v>
      </c>
      <c r="O532" s="48">
        <v>1</v>
      </c>
      <c r="P532" s="48">
        <v>0</v>
      </c>
      <c r="Q532" s="48" t="s">
        <v>51</v>
      </c>
      <c r="R532" s="51">
        <v>43621.5898611111</v>
      </c>
    </row>
    <row r="533" s="55" customFormat="1" spans="1:18">
      <c r="A533" s="55" t="e">
        <f>VLOOKUP(B533,[1]天猫!$B$3:$H$258,1,FALSE)</f>
        <v>#N/A</v>
      </c>
      <c r="B533" s="55" t="str">
        <f>"466166432286123527"</f>
        <v>466166432286123527</v>
      </c>
      <c r="C533" s="55" t="s">
        <v>2419</v>
      </c>
      <c r="D533" s="55">
        <v>1585</v>
      </c>
      <c r="E533" s="55" t="s">
        <v>53</v>
      </c>
      <c r="F533" s="55" t="s">
        <v>1058</v>
      </c>
      <c r="G533" s="55" t="s">
        <v>2420</v>
      </c>
      <c r="H533" s="55" t="s">
        <v>2421</v>
      </c>
      <c r="I533" s="58">
        <v>43617.3772453704</v>
      </c>
      <c r="J533" s="58">
        <v>43617.377337963</v>
      </c>
      <c r="K533" s="55" t="s">
        <v>2223</v>
      </c>
      <c r="L533" s="55" t="s">
        <v>2422</v>
      </c>
      <c r="M533" s="55" t="s">
        <v>49</v>
      </c>
      <c r="N533" s="55" t="s">
        <v>1272</v>
      </c>
      <c r="O533" s="55">
        <v>1</v>
      </c>
      <c r="P533" s="55">
        <v>0</v>
      </c>
      <c r="Q533" s="55" t="s">
        <v>51</v>
      </c>
      <c r="R533" s="58">
        <v>43621.7817592593</v>
      </c>
    </row>
    <row r="534" s="55" customFormat="1" spans="1:18">
      <c r="A534" s="55" t="e">
        <f>VLOOKUP(B534,[1]天猫!$B$3:$H$258,1,FALSE)</f>
        <v>#N/A</v>
      </c>
      <c r="B534" s="55" t="str">
        <f>"281919365656313392"</f>
        <v>281919365656313392</v>
      </c>
      <c r="C534" s="55" t="s">
        <v>2423</v>
      </c>
      <c r="D534" s="55">
        <v>2072.78</v>
      </c>
      <c r="E534" s="55" t="s">
        <v>53</v>
      </c>
      <c r="F534" s="55" t="s">
        <v>2424</v>
      </c>
      <c r="G534" s="55" t="s">
        <v>2425</v>
      </c>
      <c r="H534" s="55" t="s">
        <v>2426</v>
      </c>
      <c r="I534" s="58">
        <v>43617.0185648148</v>
      </c>
      <c r="J534" s="58">
        <v>43617.0186226852</v>
      </c>
      <c r="K534" s="55" t="s">
        <v>2427</v>
      </c>
      <c r="L534" s="55" t="s">
        <v>2428</v>
      </c>
      <c r="M534" s="55" t="s">
        <v>49</v>
      </c>
      <c r="N534" s="55" t="s">
        <v>2429</v>
      </c>
      <c r="O534" s="55">
        <v>2</v>
      </c>
      <c r="P534" s="55">
        <v>0</v>
      </c>
      <c r="Q534" s="55" t="s">
        <v>51</v>
      </c>
      <c r="R534" s="58">
        <v>43620.8592708333</v>
      </c>
    </row>
    <row r="535" s="55" customFormat="1" spans="1:18">
      <c r="A535" s="55" t="e">
        <f>VLOOKUP(B535,[1]天猫!$B$3:$H$258,1,FALSE)</f>
        <v>#N/A</v>
      </c>
      <c r="B535" s="55" t="str">
        <f>"464963906004870316"</f>
        <v>464963906004870316</v>
      </c>
      <c r="C535" s="55" t="s">
        <v>2430</v>
      </c>
      <c r="D535" s="55">
        <v>3350</v>
      </c>
      <c r="E535" s="55" t="s">
        <v>53</v>
      </c>
      <c r="F535" s="55" t="s">
        <v>2431</v>
      </c>
      <c r="G535" s="55" t="s">
        <v>2432</v>
      </c>
      <c r="H535" s="55" t="s">
        <v>2433</v>
      </c>
      <c r="I535" s="58">
        <v>43617.0006134259</v>
      </c>
      <c r="J535" s="58">
        <v>43617.0007060185</v>
      </c>
      <c r="K535" s="55" t="s">
        <v>790</v>
      </c>
      <c r="L535" s="55" t="s">
        <v>2434</v>
      </c>
      <c r="M535" s="55" t="s">
        <v>49</v>
      </c>
      <c r="N535" s="55" t="s">
        <v>2435</v>
      </c>
      <c r="O535" s="55">
        <v>5</v>
      </c>
      <c r="P535" s="55">
        <v>0</v>
      </c>
      <c r="Q535" s="55" t="s">
        <v>51</v>
      </c>
      <c r="R535" s="58">
        <v>43632.7294097222</v>
      </c>
    </row>
  </sheetData>
  <autoFilter ref="A5:XDL535">
    <filterColumn colId="0">
      <customFilters>
        <customFilter operator="equal" val="#N/A"/>
      </customFilters>
    </filterColumn>
    <extLst/>
  </autoFilter>
  <mergeCells count="2">
    <mergeCell ref="B1:J1"/>
    <mergeCell ref="B2:B3"/>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86"/>
  <sheetViews>
    <sheetView workbookViewId="0">
      <pane ySplit="5" topLeftCell="A6" activePane="bottomLeft" state="frozen"/>
      <selection/>
      <selection pane="bottomLeft" activeCell="L2" sqref="L2"/>
    </sheetView>
  </sheetViews>
  <sheetFormatPr defaultColWidth="9" defaultRowHeight="13.5"/>
  <cols>
    <col min="1" max="2" width="12.625" style="1"/>
    <col min="3" max="3" width="11.625" style="1"/>
    <col min="4" max="4" width="9" style="1"/>
    <col min="5" max="5" width="10.375" style="1"/>
    <col min="6" max="6" width="9" style="1"/>
    <col min="7" max="7" width="10.375" style="1"/>
    <col min="8" max="8" width="12.375" style="1" customWidth="1"/>
    <col min="9" max="9" width="12.625" style="1"/>
    <col min="10" max="11" width="9" style="1"/>
    <col min="12" max="12" width="12.625" style="1" customWidth="1"/>
    <col min="13" max="13" width="20.875" style="1" customWidth="1"/>
    <col min="14" max="16358" width="9" style="1"/>
  </cols>
  <sheetData>
    <row r="1" s="1" customFormat="1" ht="34" customHeight="1" spans="1:13">
      <c r="A1" s="3" t="s">
        <v>17</v>
      </c>
      <c r="B1" s="4"/>
      <c r="C1" s="4"/>
      <c r="D1" s="4"/>
      <c r="E1" s="4"/>
      <c r="F1" s="4"/>
      <c r="G1" s="4"/>
      <c r="H1" s="4"/>
      <c r="I1" s="24"/>
      <c r="J1" s="25"/>
      <c r="K1" s="25"/>
      <c r="L1" s="25"/>
      <c r="M1" s="1" t="s">
        <v>18</v>
      </c>
    </row>
    <row r="2" s="1" customFormat="1" ht="21" customHeight="1" spans="1:12">
      <c r="A2" s="5" t="s">
        <v>19</v>
      </c>
      <c r="B2" s="6" t="s">
        <v>20</v>
      </c>
      <c r="C2" s="7">
        <v>24589.4</v>
      </c>
      <c r="D2" s="8" t="s">
        <v>21</v>
      </c>
      <c r="E2" s="7">
        <v>13118</v>
      </c>
      <c r="F2" s="9" t="s">
        <v>22</v>
      </c>
      <c r="G2" s="7">
        <v>20370.3</v>
      </c>
      <c r="H2" s="10" t="s">
        <v>23</v>
      </c>
      <c r="I2" s="7">
        <v>0</v>
      </c>
      <c r="J2" s="25"/>
      <c r="K2" s="25"/>
      <c r="L2" s="25"/>
    </row>
    <row r="3" s="1" customFormat="1" ht="21" customHeight="1" spans="1:12">
      <c r="A3" s="11"/>
      <c r="B3" s="12" t="s">
        <v>24</v>
      </c>
      <c r="C3" s="13"/>
      <c r="D3" s="14"/>
      <c r="E3" s="15"/>
      <c r="F3" s="16"/>
      <c r="G3" s="15"/>
      <c r="H3" s="17"/>
      <c r="I3" s="15"/>
      <c r="K3" s="25"/>
      <c r="L3" s="25"/>
    </row>
    <row r="4" s="2" customFormat="1" ht="21" customHeight="1" spans="1:9">
      <c r="A4" s="18" t="s">
        <v>16</v>
      </c>
      <c r="B4" s="19" t="s">
        <v>4</v>
      </c>
      <c r="C4" s="20">
        <f t="shared" ref="C4:G4" si="0">C3+C2</f>
        <v>24589.4</v>
      </c>
      <c r="D4" s="21" t="s">
        <v>5</v>
      </c>
      <c r="E4" s="20">
        <f t="shared" si="0"/>
        <v>13118</v>
      </c>
      <c r="F4" s="22" t="s">
        <v>22</v>
      </c>
      <c r="G4" s="20">
        <f t="shared" si="0"/>
        <v>20370.3</v>
      </c>
      <c r="H4" s="23" t="s">
        <v>23</v>
      </c>
      <c r="I4" s="20">
        <f>I3+I2</f>
        <v>0</v>
      </c>
    </row>
    <row r="5" s="1" customFormat="1" spans="1:18">
      <c r="A5" s="1" t="s">
        <v>2436</v>
      </c>
      <c r="B5" s="1" t="s">
        <v>2437</v>
      </c>
      <c r="C5" s="1" t="s">
        <v>2438</v>
      </c>
      <c r="D5" s="1" t="s">
        <v>2439</v>
      </c>
      <c r="E5" s="1" t="s">
        <v>2440</v>
      </c>
      <c r="F5" s="1" t="s">
        <v>2441</v>
      </c>
      <c r="G5" s="1" t="s">
        <v>2442</v>
      </c>
      <c r="H5" s="1" t="s">
        <v>28</v>
      </c>
      <c r="I5" s="1" t="s">
        <v>2443</v>
      </c>
      <c r="J5" s="1" t="s">
        <v>2444</v>
      </c>
      <c r="K5" s="1" t="s">
        <v>2445</v>
      </c>
      <c r="L5" s="1" t="s">
        <v>2446</v>
      </c>
      <c r="M5" s="1" t="s">
        <v>2447</v>
      </c>
      <c r="N5" s="1" t="s">
        <v>2448</v>
      </c>
      <c r="O5" s="1" t="s">
        <v>2449</v>
      </c>
      <c r="P5" s="1" t="s">
        <v>2450</v>
      </c>
      <c r="Q5" s="1" t="s">
        <v>2451</v>
      </c>
      <c r="R5" s="1" t="s">
        <v>2452</v>
      </c>
    </row>
    <row r="6" s="48" customFormat="1" spans="1:18">
      <c r="A6" s="48">
        <v>98697569227</v>
      </c>
      <c r="B6" s="48">
        <v>51094303018</v>
      </c>
      <c r="C6" s="48" t="s">
        <v>2453</v>
      </c>
      <c r="D6" s="48">
        <v>1</v>
      </c>
      <c r="E6" s="48" t="s">
        <v>2454</v>
      </c>
      <c r="F6" s="48" t="s">
        <v>2455</v>
      </c>
      <c r="G6" s="48">
        <v>18</v>
      </c>
      <c r="H6" s="48" t="s">
        <v>2456</v>
      </c>
      <c r="I6" s="48" t="s">
        <v>2457</v>
      </c>
      <c r="J6" s="48" t="s">
        <v>2458</v>
      </c>
      <c r="K6" s="48" t="s">
        <v>2459</v>
      </c>
      <c r="L6" s="48">
        <v>18112191992</v>
      </c>
      <c r="N6" s="48">
        <v>5</v>
      </c>
      <c r="O6" s="48">
        <v>0</v>
      </c>
      <c r="P6" s="48" t="s">
        <v>2460</v>
      </c>
      <c r="Q6" s="48" t="s">
        <v>2461</v>
      </c>
      <c r="R6" s="48" t="s">
        <v>2462</v>
      </c>
    </row>
    <row r="7" s="48" customFormat="1" spans="1:18">
      <c r="A7" s="48">
        <v>98657078352</v>
      </c>
      <c r="B7" s="48">
        <v>51094303018</v>
      </c>
      <c r="C7" s="48" t="s">
        <v>2453</v>
      </c>
      <c r="D7" s="48">
        <v>1</v>
      </c>
      <c r="E7" s="48" t="s">
        <v>2454</v>
      </c>
      <c r="F7" s="48" t="s">
        <v>2463</v>
      </c>
      <c r="G7" s="48">
        <v>18</v>
      </c>
      <c r="H7" s="48" t="s">
        <v>2456</v>
      </c>
      <c r="I7" s="48" t="s">
        <v>2464</v>
      </c>
      <c r="J7" s="48" t="s">
        <v>2465</v>
      </c>
      <c r="K7" s="48" t="s">
        <v>2466</v>
      </c>
      <c r="L7" s="48">
        <v>15032717590</v>
      </c>
      <c r="N7" s="48">
        <v>5</v>
      </c>
      <c r="O7" s="48">
        <v>0</v>
      </c>
      <c r="P7" s="48" t="s">
        <v>2455</v>
      </c>
      <c r="Q7" s="48" t="s">
        <v>2461</v>
      </c>
      <c r="R7" s="48" t="s">
        <v>2467</v>
      </c>
    </row>
    <row r="8" s="48" customFormat="1" spans="1:18">
      <c r="A8" s="48">
        <v>98697242441</v>
      </c>
      <c r="B8" s="48">
        <v>51094303018</v>
      </c>
      <c r="C8" s="48" t="s">
        <v>2453</v>
      </c>
      <c r="D8" s="48">
        <v>1</v>
      </c>
      <c r="E8" s="48" t="s">
        <v>2454</v>
      </c>
      <c r="F8" s="48" t="s">
        <v>2468</v>
      </c>
      <c r="G8" s="48">
        <v>16.7</v>
      </c>
      <c r="H8" s="48" t="s">
        <v>2456</v>
      </c>
      <c r="I8" s="48" t="s">
        <v>2469</v>
      </c>
      <c r="J8" s="48" t="s">
        <v>2470</v>
      </c>
      <c r="K8" s="48" t="s">
        <v>2471</v>
      </c>
      <c r="L8" s="48">
        <v>15705989262</v>
      </c>
      <c r="N8" s="48">
        <v>5</v>
      </c>
      <c r="O8" s="48">
        <v>0</v>
      </c>
      <c r="P8" s="48" t="s">
        <v>2472</v>
      </c>
      <c r="Q8" s="48" t="s">
        <v>2461</v>
      </c>
      <c r="R8" s="48" t="s">
        <v>2473</v>
      </c>
    </row>
    <row r="9" s="48" customFormat="1" spans="1:18">
      <c r="A9" s="48">
        <v>98656289331</v>
      </c>
      <c r="B9" s="48">
        <v>51094303018</v>
      </c>
      <c r="C9" s="48" t="s">
        <v>2453</v>
      </c>
      <c r="D9" s="48">
        <v>1</v>
      </c>
      <c r="E9" s="48" t="s">
        <v>2454</v>
      </c>
      <c r="F9" s="48" t="s">
        <v>2474</v>
      </c>
      <c r="G9" s="48">
        <v>18</v>
      </c>
      <c r="H9" s="48" t="s">
        <v>2456</v>
      </c>
      <c r="I9" s="48" t="s">
        <v>2475</v>
      </c>
      <c r="J9" s="48" t="s">
        <v>2476</v>
      </c>
      <c r="K9" s="48" t="s">
        <v>2477</v>
      </c>
      <c r="L9" s="48">
        <v>15156529807</v>
      </c>
      <c r="N9" s="48">
        <v>5</v>
      </c>
      <c r="O9" s="48">
        <v>0</v>
      </c>
      <c r="P9" s="48" t="s">
        <v>2478</v>
      </c>
      <c r="Q9" s="48" t="s">
        <v>2461</v>
      </c>
      <c r="R9" s="48" t="s">
        <v>2479</v>
      </c>
    </row>
    <row r="10" s="48" customFormat="1" spans="1:18">
      <c r="A10" s="48">
        <v>98698361575</v>
      </c>
      <c r="B10" s="48">
        <v>51094303018</v>
      </c>
      <c r="C10" s="48" t="s">
        <v>2453</v>
      </c>
      <c r="D10" s="48">
        <v>1</v>
      </c>
      <c r="E10" s="48" t="s">
        <v>2454</v>
      </c>
      <c r="F10" s="48" t="s">
        <v>2480</v>
      </c>
      <c r="G10" s="48">
        <v>17.1</v>
      </c>
      <c r="H10" s="48" t="s">
        <v>2456</v>
      </c>
      <c r="I10" s="48" t="s">
        <v>2481</v>
      </c>
      <c r="J10" s="48" t="s">
        <v>2482</v>
      </c>
      <c r="K10" s="48" t="s">
        <v>2483</v>
      </c>
      <c r="L10" s="48">
        <v>13077773284</v>
      </c>
      <c r="N10" s="48">
        <v>5</v>
      </c>
      <c r="O10" s="48">
        <v>0</v>
      </c>
      <c r="P10" s="48" t="s">
        <v>2484</v>
      </c>
      <c r="Q10" s="48" t="s">
        <v>2461</v>
      </c>
      <c r="R10" s="48" t="s">
        <v>2485</v>
      </c>
    </row>
    <row r="11" s="48" customFormat="1" spans="1:18">
      <c r="A11" s="48">
        <v>98699121638</v>
      </c>
      <c r="B11" s="48">
        <v>51094303018</v>
      </c>
      <c r="C11" s="48" t="s">
        <v>2453</v>
      </c>
      <c r="D11" s="48">
        <v>1</v>
      </c>
      <c r="E11" s="48" t="s">
        <v>2454</v>
      </c>
      <c r="F11" s="48" t="s">
        <v>2486</v>
      </c>
      <c r="G11" s="48">
        <v>18</v>
      </c>
      <c r="H11" s="48" t="s">
        <v>2456</v>
      </c>
      <c r="I11" s="48" t="s">
        <v>2487</v>
      </c>
      <c r="J11" s="48" t="s">
        <v>2488</v>
      </c>
      <c r="K11" s="48" t="s">
        <v>2489</v>
      </c>
      <c r="L11" s="48">
        <v>18150523179</v>
      </c>
      <c r="N11" s="48">
        <v>5</v>
      </c>
      <c r="O11" s="48">
        <v>0</v>
      </c>
      <c r="P11" s="48" t="s">
        <v>2490</v>
      </c>
      <c r="Q11" s="48" t="s">
        <v>2461</v>
      </c>
      <c r="R11" s="48" t="s">
        <v>2491</v>
      </c>
    </row>
    <row r="12" s="48" customFormat="1" spans="1:18">
      <c r="A12" s="48">
        <v>98696688456</v>
      </c>
      <c r="B12" s="48">
        <v>51094303018</v>
      </c>
      <c r="C12" s="48" t="s">
        <v>2453</v>
      </c>
      <c r="D12" s="48">
        <v>1</v>
      </c>
      <c r="E12" s="48" t="s">
        <v>2454</v>
      </c>
      <c r="F12" s="48" t="s">
        <v>2492</v>
      </c>
      <c r="G12" s="48">
        <v>18</v>
      </c>
      <c r="H12" s="48" t="s">
        <v>2456</v>
      </c>
      <c r="I12" s="48" t="s">
        <v>2493</v>
      </c>
      <c r="J12" s="48" t="s">
        <v>2494</v>
      </c>
      <c r="K12" s="48" t="s">
        <v>2495</v>
      </c>
      <c r="L12" s="48">
        <v>16620029002</v>
      </c>
      <c r="N12" s="48">
        <v>5</v>
      </c>
      <c r="O12" s="48">
        <v>0</v>
      </c>
      <c r="P12" s="48" t="s">
        <v>2496</v>
      </c>
      <c r="Q12" s="48" t="s">
        <v>2461</v>
      </c>
      <c r="R12" s="48" t="s">
        <v>2497</v>
      </c>
    </row>
    <row r="13" s="48" customFormat="1" spans="1:18">
      <c r="A13" s="48">
        <v>98652978313</v>
      </c>
      <c r="B13" s="48">
        <v>51094303018</v>
      </c>
      <c r="C13" s="48" t="s">
        <v>2453</v>
      </c>
      <c r="D13" s="48">
        <v>1</v>
      </c>
      <c r="E13" s="48" t="s">
        <v>2454</v>
      </c>
      <c r="F13" s="48" t="s">
        <v>2498</v>
      </c>
      <c r="G13" s="48">
        <v>17.1</v>
      </c>
      <c r="H13" s="48" t="s">
        <v>2456</v>
      </c>
      <c r="I13" s="48" t="s">
        <v>2499</v>
      </c>
      <c r="J13" s="48" t="s">
        <v>2500</v>
      </c>
      <c r="K13" s="48" t="s">
        <v>2501</v>
      </c>
      <c r="L13" s="48">
        <v>17607076665</v>
      </c>
      <c r="N13" s="48">
        <v>5</v>
      </c>
      <c r="O13" s="48">
        <v>0</v>
      </c>
      <c r="P13" s="48" t="s">
        <v>2502</v>
      </c>
      <c r="Q13" s="48" t="s">
        <v>2461</v>
      </c>
      <c r="R13" s="48" t="s">
        <v>2503</v>
      </c>
    </row>
    <row r="14" s="48" customFormat="1" spans="1:18">
      <c r="A14" s="48">
        <v>98651802506</v>
      </c>
      <c r="B14" s="48">
        <v>51094303018</v>
      </c>
      <c r="C14" s="48" t="s">
        <v>2453</v>
      </c>
      <c r="D14" s="48">
        <v>1</v>
      </c>
      <c r="E14" s="48" t="s">
        <v>2454</v>
      </c>
      <c r="F14" s="48" t="s">
        <v>2504</v>
      </c>
      <c r="G14" s="48">
        <v>17.1</v>
      </c>
      <c r="H14" s="48" t="s">
        <v>2456</v>
      </c>
      <c r="I14" s="48" t="s">
        <v>2505</v>
      </c>
      <c r="J14" s="48" t="s">
        <v>2506</v>
      </c>
      <c r="K14" s="48" t="s">
        <v>2507</v>
      </c>
      <c r="L14" s="48">
        <v>13598206629</v>
      </c>
      <c r="N14" s="48">
        <v>5</v>
      </c>
      <c r="O14" s="48">
        <v>0</v>
      </c>
      <c r="P14" s="48" t="s">
        <v>2508</v>
      </c>
      <c r="Q14" s="48" t="s">
        <v>2461</v>
      </c>
      <c r="R14" s="48" t="s">
        <v>2509</v>
      </c>
    </row>
    <row r="15" s="48" customFormat="1" spans="1:18">
      <c r="A15" s="48">
        <v>98650187776</v>
      </c>
      <c r="B15" s="48">
        <v>51094303018</v>
      </c>
      <c r="C15" s="48" t="s">
        <v>2453</v>
      </c>
      <c r="D15" s="48">
        <v>1</v>
      </c>
      <c r="E15" s="48" t="s">
        <v>2454</v>
      </c>
      <c r="F15" s="48" t="s">
        <v>2510</v>
      </c>
      <c r="G15" s="48">
        <v>119.1</v>
      </c>
      <c r="H15" s="48" t="s">
        <v>2456</v>
      </c>
      <c r="I15" s="48" t="s">
        <v>2511</v>
      </c>
      <c r="J15" s="48" t="s">
        <v>2512</v>
      </c>
      <c r="K15" s="48" t="s">
        <v>2513</v>
      </c>
      <c r="L15" s="48">
        <v>18638659375</v>
      </c>
      <c r="N15" s="48">
        <v>5</v>
      </c>
      <c r="O15" s="48">
        <v>102</v>
      </c>
      <c r="P15" s="48" t="s">
        <v>2514</v>
      </c>
      <c r="Q15" s="48" t="s">
        <v>2461</v>
      </c>
      <c r="R15" s="48" t="s">
        <v>2515</v>
      </c>
    </row>
    <row r="16" s="48" customFormat="1" spans="1:18">
      <c r="A16" s="48">
        <v>98653923557</v>
      </c>
      <c r="B16" s="48">
        <v>51094303018</v>
      </c>
      <c r="C16" s="48" t="s">
        <v>2453</v>
      </c>
      <c r="D16" s="48">
        <v>1</v>
      </c>
      <c r="E16" s="48" t="s">
        <v>2454</v>
      </c>
      <c r="F16" s="48" t="s">
        <v>2516</v>
      </c>
      <c r="G16" s="48">
        <v>17.1</v>
      </c>
      <c r="H16" s="48" t="s">
        <v>2456</v>
      </c>
      <c r="I16" s="48" t="s">
        <v>2517</v>
      </c>
      <c r="J16" s="48" t="s">
        <v>2518</v>
      </c>
      <c r="K16" s="48" t="s">
        <v>2519</v>
      </c>
      <c r="L16" s="48">
        <v>15607736146</v>
      </c>
      <c r="N16" s="48">
        <v>5</v>
      </c>
      <c r="O16" s="48">
        <v>0</v>
      </c>
      <c r="P16" s="48" t="s">
        <v>2520</v>
      </c>
      <c r="Q16" s="48" t="s">
        <v>2461</v>
      </c>
      <c r="R16" s="48" t="s">
        <v>2521</v>
      </c>
    </row>
    <row r="17" s="48" customFormat="1" spans="1:18">
      <c r="A17" s="48">
        <v>98610951993</v>
      </c>
      <c r="B17" s="48">
        <v>51094303018</v>
      </c>
      <c r="C17" s="48" t="s">
        <v>2453</v>
      </c>
      <c r="D17" s="48">
        <v>1</v>
      </c>
      <c r="E17" s="48" t="s">
        <v>2454</v>
      </c>
      <c r="F17" s="48" t="s">
        <v>2522</v>
      </c>
      <c r="G17" s="48">
        <v>17.1</v>
      </c>
      <c r="H17" s="48" t="s">
        <v>2456</v>
      </c>
      <c r="I17" s="48" t="s">
        <v>2523</v>
      </c>
      <c r="J17" s="48" t="s">
        <v>2524</v>
      </c>
      <c r="K17" s="48" t="s">
        <v>2525</v>
      </c>
      <c r="L17" s="48">
        <v>15518983344</v>
      </c>
      <c r="N17" s="48">
        <v>5</v>
      </c>
      <c r="O17" s="48">
        <v>0</v>
      </c>
      <c r="P17" s="48" t="s">
        <v>2526</v>
      </c>
      <c r="Q17" s="48" t="s">
        <v>2461</v>
      </c>
      <c r="R17" s="48" t="s">
        <v>2527</v>
      </c>
    </row>
    <row r="18" s="48" customFormat="1" spans="1:18">
      <c r="A18" s="48">
        <v>98650892650</v>
      </c>
      <c r="B18" s="48">
        <v>51094303018</v>
      </c>
      <c r="C18" s="48" t="s">
        <v>2453</v>
      </c>
      <c r="D18" s="48">
        <v>1</v>
      </c>
      <c r="E18" s="48" t="s">
        <v>2454</v>
      </c>
      <c r="F18" s="48" t="s">
        <v>2528</v>
      </c>
      <c r="G18" s="48">
        <v>17.1</v>
      </c>
      <c r="H18" s="48" t="s">
        <v>2456</v>
      </c>
      <c r="I18" s="48" t="s">
        <v>2529</v>
      </c>
      <c r="J18" s="48" t="s">
        <v>2530</v>
      </c>
      <c r="K18" s="48" t="s">
        <v>2531</v>
      </c>
      <c r="L18" s="48">
        <v>17320147040</v>
      </c>
      <c r="N18" s="48">
        <v>5</v>
      </c>
      <c r="O18" s="48">
        <v>0</v>
      </c>
      <c r="P18" s="48" t="s">
        <v>2532</v>
      </c>
      <c r="Q18" s="48" t="s">
        <v>2461</v>
      </c>
      <c r="R18" s="48" t="s">
        <v>2533</v>
      </c>
    </row>
    <row r="19" s="48" customFormat="1" spans="1:18">
      <c r="A19" s="48">
        <v>98617378973</v>
      </c>
      <c r="B19" s="48">
        <v>51094303018</v>
      </c>
      <c r="C19" s="48" t="s">
        <v>2453</v>
      </c>
      <c r="D19" s="48">
        <v>1</v>
      </c>
      <c r="E19" s="48" t="s">
        <v>2454</v>
      </c>
      <c r="F19" s="48" t="s">
        <v>2534</v>
      </c>
      <c r="G19" s="48">
        <v>9</v>
      </c>
      <c r="H19" s="48" t="s">
        <v>2456</v>
      </c>
      <c r="I19" s="48" t="s">
        <v>2535</v>
      </c>
      <c r="J19" s="48" t="s">
        <v>2536</v>
      </c>
      <c r="K19" s="48" t="s">
        <v>2537</v>
      </c>
      <c r="L19" s="48">
        <v>17607121207</v>
      </c>
      <c r="N19" s="48">
        <v>5</v>
      </c>
      <c r="O19" s="48">
        <v>0</v>
      </c>
      <c r="P19" s="48" t="s">
        <v>2538</v>
      </c>
      <c r="Q19" s="48" t="s">
        <v>2461</v>
      </c>
      <c r="R19" s="48" t="s">
        <v>2539</v>
      </c>
    </row>
    <row r="20" s="48" customFormat="1" spans="1:18">
      <c r="A20" s="48">
        <v>98648284418</v>
      </c>
      <c r="B20" s="48">
        <v>51094303018</v>
      </c>
      <c r="C20" s="48" t="s">
        <v>2453</v>
      </c>
      <c r="D20" s="48">
        <v>1</v>
      </c>
      <c r="E20" s="48" t="s">
        <v>2454</v>
      </c>
      <c r="F20" s="48" t="s">
        <v>2540</v>
      </c>
      <c r="G20" s="48">
        <v>18</v>
      </c>
      <c r="H20" s="48" t="s">
        <v>2456</v>
      </c>
      <c r="I20" s="48" t="s">
        <v>2541</v>
      </c>
      <c r="J20" s="48" t="s">
        <v>2542</v>
      </c>
      <c r="K20" s="48" t="s">
        <v>2543</v>
      </c>
      <c r="L20" s="48">
        <v>18362514855</v>
      </c>
      <c r="N20" s="48">
        <v>5</v>
      </c>
      <c r="O20" s="48">
        <v>0</v>
      </c>
      <c r="P20" s="48" t="s">
        <v>2544</v>
      </c>
      <c r="Q20" s="48" t="s">
        <v>2461</v>
      </c>
      <c r="R20" s="48" t="s">
        <v>2545</v>
      </c>
    </row>
    <row r="21" s="48" customFormat="1" spans="1:18">
      <c r="A21" s="48">
        <v>98650179848</v>
      </c>
      <c r="B21" s="48">
        <v>51094303018</v>
      </c>
      <c r="C21" s="48" t="s">
        <v>2453</v>
      </c>
      <c r="D21" s="48">
        <v>1</v>
      </c>
      <c r="E21" s="48" t="s">
        <v>2454</v>
      </c>
      <c r="F21" s="48" t="s">
        <v>2546</v>
      </c>
      <c r="G21" s="48">
        <v>16.7</v>
      </c>
      <c r="H21" s="48" t="s">
        <v>2456</v>
      </c>
      <c r="I21" s="48" t="s">
        <v>2547</v>
      </c>
      <c r="J21" s="48" t="s">
        <v>2548</v>
      </c>
      <c r="K21" s="48" t="s">
        <v>2549</v>
      </c>
      <c r="L21" s="48">
        <v>13916413714</v>
      </c>
      <c r="N21" s="48">
        <v>5</v>
      </c>
      <c r="O21" s="48">
        <v>0</v>
      </c>
      <c r="P21" s="48" t="s">
        <v>2550</v>
      </c>
      <c r="Q21" s="48" t="s">
        <v>2461</v>
      </c>
      <c r="R21" s="48" t="s">
        <v>2551</v>
      </c>
    </row>
    <row r="22" s="48" customFormat="1" spans="1:18">
      <c r="A22" s="48">
        <v>98647277762</v>
      </c>
      <c r="B22" s="48">
        <v>51094303018</v>
      </c>
      <c r="C22" s="48" t="s">
        <v>2453</v>
      </c>
      <c r="D22" s="48">
        <v>1</v>
      </c>
      <c r="E22" s="48" t="s">
        <v>2454</v>
      </c>
      <c r="F22" s="48" t="s">
        <v>2552</v>
      </c>
      <c r="G22" s="48">
        <v>18</v>
      </c>
      <c r="H22" s="48" t="s">
        <v>2456</v>
      </c>
      <c r="I22" s="48" t="s">
        <v>2553</v>
      </c>
      <c r="J22" s="48" t="s">
        <v>2554</v>
      </c>
      <c r="K22" s="48" t="s">
        <v>2555</v>
      </c>
      <c r="L22" s="48">
        <v>13913454548</v>
      </c>
      <c r="N22" s="48">
        <v>5</v>
      </c>
      <c r="O22" s="48">
        <v>0</v>
      </c>
      <c r="P22" s="48" t="s">
        <v>2556</v>
      </c>
      <c r="Q22" s="48" t="s">
        <v>2461</v>
      </c>
      <c r="R22" s="48" t="s">
        <v>2557</v>
      </c>
    </row>
    <row r="23" s="48" customFormat="1" spans="1:18">
      <c r="A23" s="48">
        <v>98568227381</v>
      </c>
      <c r="B23" s="48">
        <v>51094303018</v>
      </c>
      <c r="C23" s="48" t="s">
        <v>2453</v>
      </c>
      <c r="D23" s="48">
        <v>1</v>
      </c>
      <c r="E23" s="48" t="s">
        <v>2454</v>
      </c>
      <c r="F23" s="48" t="s">
        <v>2558</v>
      </c>
      <c r="G23" s="48">
        <v>17.1</v>
      </c>
      <c r="H23" s="48" t="s">
        <v>2456</v>
      </c>
      <c r="I23" s="48" t="s">
        <v>2559</v>
      </c>
      <c r="J23" s="48" t="s">
        <v>2560</v>
      </c>
      <c r="K23" s="48" t="s">
        <v>2561</v>
      </c>
      <c r="L23" s="48">
        <v>13002142480</v>
      </c>
      <c r="N23" s="48">
        <v>5</v>
      </c>
      <c r="O23" s="48">
        <v>0</v>
      </c>
      <c r="P23" s="48" t="s">
        <v>2562</v>
      </c>
      <c r="Q23" s="48" t="s">
        <v>2461</v>
      </c>
      <c r="R23" s="48" t="s">
        <v>2563</v>
      </c>
    </row>
    <row r="24" s="48" customFormat="1" spans="1:18">
      <c r="A24" s="48">
        <v>98570243837</v>
      </c>
      <c r="B24" s="48">
        <v>51094303018</v>
      </c>
      <c r="C24" s="48" t="s">
        <v>2453</v>
      </c>
      <c r="D24" s="48">
        <v>1</v>
      </c>
      <c r="E24" s="48" t="s">
        <v>2454</v>
      </c>
      <c r="F24" s="48" t="s">
        <v>2564</v>
      </c>
      <c r="G24" s="48">
        <v>17.1</v>
      </c>
      <c r="H24" s="48" t="s">
        <v>2456</v>
      </c>
      <c r="I24" s="48" t="s">
        <v>2565</v>
      </c>
      <c r="J24" s="48" t="s">
        <v>2566</v>
      </c>
      <c r="K24" s="48" t="s">
        <v>2567</v>
      </c>
      <c r="L24" s="48">
        <v>13126381276</v>
      </c>
      <c r="N24" s="48">
        <v>5</v>
      </c>
      <c r="O24" s="48">
        <v>0</v>
      </c>
      <c r="P24" s="48" t="s">
        <v>2568</v>
      </c>
      <c r="Q24" s="48" t="s">
        <v>2461</v>
      </c>
      <c r="R24" s="48" t="s">
        <v>2569</v>
      </c>
    </row>
    <row r="25" s="48" customFormat="1" spans="1:18">
      <c r="A25" s="48">
        <v>98599515083</v>
      </c>
      <c r="B25" s="48">
        <v>51094303018</v>
      </c>
      <c r="C25" s="48" t="s">
        <v>2453</v>
      </c>
      <c r="D25" s="48">
        <v>1</v>
      </c>
      <c r="E25" s="48" t="s">
        <v>2454</v>
      </c>
      <c r="F25" s="48" t="s">
        <v>2570</v>
      </c>
      <c r="G25" s="48">
        <v>18</v>
      </c>
      <c r="H25" s="48" t="s">
        <v>2456</v>
      </c>
      <c r="I25" s="48" t="s">
        <v>2571</v>
      </c>
      <c r="J25" s="48" t="s">
        <v>2572</v>
      </c>
      <c r="K25" s="48" t="s">
        <v>2573</v>
      </c>
      <c r="L25" s="48">
        <v>18520709276</v>
      </c>
      <c r="N25" s="48">
        <v>5</v>
      </c>
      <c r="O25" s="48">
        <v>0</v>
      </c>
      <c r="P25" s="48" t="s">
        <v>2574</v>
      </c>
      <c r="Q25" s="48" t="s">
        <v>2461</v>
      </c>
      <c r="R25" s="48" t="s">
        <v>2575</v>
      </c>
    </row>
    <row r="26" s="48" customFormat="1" spans="1:18">
      <c r="A26" s="48">
        <v>98553503483</v>
      </c>
      <c r="B26" s="48">
        <v>51094303018</v>
      </c>
      <c r="C26" s="48" t="s">
        <v>2453</v>
      </c>
      <c r="D26" s="48">
        <v>1</v>
      </c>
      <c r="E26" s="48" t="s">
        <v>2454</v>
      </c>
      <c r="F26" s="48" t="s">
        <v>2576</v>
      </c>
      <c r="G26" s="48">
        <v>17.1</v>
      </c>
      <c r="H26" s="48" t="s">
        <v>2456</v>
      </c>
      <c r="I26" s="48" t="s">
        <v>2577</v>
      </c>
      <c r="J26" s="48" t="s">
        <v>2578</v>
      </c>
      <c r="K26" s="48" t="s">
        <v>2579</v>
      </c>
      <c r="L26" s="48">
        <v>17368361057</v>
      </c>
      <c r="N26" s="48">
        <v>5</v>
      </c>
      <c r="O26" s="48">
        <v>0</v>
      </c>
      <c r="P26" s="48" t="s">
        <v>2580</v>
      </c>
      <c r="Q26" s="48" t="s">
        <v>2461</v>
      </c>
      <c r="R26" s="48" t="s">
        <v>2581</v>
      </c>
    </row>
    <row r="27" s="48" customFormat="1" spans="1:18">
      <c r="A27" s="48">
        <v>98569151741</v>
      </c>
      <c r="B27" s="48">
        <v>51094303018</v>
      </c>
      <c r="C27" s="48" t="s">
        <v>2453</v>
      </c>
      <c r="D27" s="48">
        <v>1</v>
      </c>
      <c r="E27" s="48" t="s">
        <v>2454</v>
      </c>
      <c r="F27" s="48" t="s">
        <v>2582</v>
      </c>
      <c r="G27" s="48">
        <v>16.2</v>
      </c>
      <c r="H27" s="48" t="s">
        <v>2456</v>
      </c>
      <c r="I27" s="48" t="s">
        <v>2583</v>
      </c>
      <c r="J27" s="48" t="s">
        <v>2584</v>
      </c>
      <c r="K27" s="48" t="s">
        <v>2585</v>
      </c>
      <c r="L27" s="48">
        <v>15969833605</v>
      </c>
      <c r="N27" s="48">
        <v>5</v>
      </c>
      <c r="O27" s="48">
        <v>0</v>
      </c>
      <c r="P27" s="48" t="s">
        <v>2586</v>
      </c>
      <c r="Q27" s="48" t="s">
        <v>2461</v>
      </c>
      <c r="R27" s="48" t="s">
        <v>2587</v>
      </c>
    </row>
    <row r="28" s="48" customFormat="1" spans="1:18">
      <c r="A28" s="48">
        <v>98597128160</v>
      </c>
      <c r="B28" s="48">
        <v>51094303018</v>
      </c>
      <c r="C28" s="48" t="s">
        <v>2453</v>
      </c>
      <c r="D28" s="48">
        <v>1</v>
      </c>
      <c r="E28" s="48" t="s">
        <v>2454</v>
      </c>
      <c r="F28" s="48" t="s">
        <v>2588</v>
      </c>
      <c r="G28" s="48">
        <v>14.5</v>
      </c>
      <c r="H28" s="48" t="s">
        <v>2456</v>
      </c>
      <c r="I28" s="48" t="s">
        <v>2589</v>
      </c>
      <c r="J28" s="48" t="s">
        <v>2590</v>
      </c>
      <c r="K28" s="48" t="s">
        <v>2591</v>
      </c>
      <c r="L28" s="48">
        <v>13248001203</v>
      </c>
      <c r="N28" s="48">
        <v>5</v>
      </c>
      <c r="O28" s="48">
        <v>0</v>
      </c>
      <c r="P28" s="48" t="s">
        <v>2592</v>
      </c>
      <c r="Q28" s="48" t="s">
        <v>2461</v>
      </c>
      <c r="R28" s="48" t="s">
        <v>2593</v>
      </c>
    </row>
    <row r="29" s="48" customFormat="1" spans="1:18">
      <c r="A29" s="48">
        <v>98600434822</v>
      </c>
      <c r="B29" s="48">
        <v>51094303018</v>
      </c>
      <c r="C29" s="48" t="s">
        <v>2453</v>
      </c>
      <c r="D29" s="48">
        <v>1</v>
      </c>
      <c r="E29" s="48" t="s">
        <v>2454</v>
      </c>
      <c r="F29" s="48" t="s">
        <v>2594</v>
      </c>
      <c r="G29" s="48">
        <v>17.1</v>
      </c>
      <c r="H29" s="48" t="s">
        <v>2456</v>
      </c>
      <c r="I29" s="48" t="s">
        <v>2595</v>
      </c>
      <c r="J29" s="48" t="s">
        <v>2596</v>
      </c>
      <c r="K29" s="48" t="s">
        <v>2597</v>
      </c>
      <c r="L29" s="48">
        <v>18256928512</v>
      </c>
      <c r="N29" s="48">
        <v>5</v>
      </c>
      <c r="O29" s="48">
        <v>0</v>
      </c>
      <c r="P29" s="48" t="s">
        <v>2598</v>
      </c>
      <c r="Q29" s="48" t="s">
        <v>2461</v>
      </c>
      <c r="R29" s="48" t="s">
        <v>2599</v>
      </c>
    </row>
    <row r="30" s="48" customFormat="1" spans="1:18">
      <c r="A30" s="48">
        <v>98596247402</v>
      </c>
      <c r="B30" s="48">
        <v>51094303018</v>
      </c>
      <c r="C30" s="48" t="s">
        <v>2453</v>
      </c>
      <c r="D30" s="48">
        <v>1</v>
      </c>
      <c r="E30" s="48" t="s">
        <v>2454</v>
      </c>
      <c r="F30" s="48" t="s">
        <v>2600</v>
      </c>
      <c r="G30" s="48">
        <v>18</v>
      </c>
      <c r="H30" s="48" t="s">
        <v>2456</v>
      </c>
      <c r="I30" s="48" t="s">
        <v>2601</v>
      </c>
      <c r="J30" s="48" t="s">
        <v>2602</v>
      </c>
      <c r="K30" s="48" t="s">
        <v>2603</v>
      </c>
      <c r="L30" s="48">
        <v>15839393062</v>
      </c>
      <c r="N30" s="48">
        <v>5</v>
      </c>
      <c r="O30" s="48">
        <v>0</v>
      </c>
      <c r="P30" s="48" t="s">
        <v>2604</v>
      </c>
      <c r="Q30" s="48" t="s">
        <v>2461</v>
      </c>
      <c r="R30" s="48" t="s">
        <v>2605</v>
      </c>
    </row>
    <row r="31" s="48" customFormat="1" spans="1:18">
      <c r="A31" s="48">
        <v>98564579924</v>
      </c>
      <c r="B31" s="48">
        <v>51094303018</v>
      </c>
      <c r="C31" s="48" t="s">
        <v>2453</v>
      </c>
      <c r="D31" s="48">
        <v>1</v>
      </c>
      <c r="E31" s="48" t="s">
        <v>2454</v>
      </c>
      <c r="F31" s="48" t="s">
        <v>2606</v>
      </c>
      <c r="G31" s="48">
        <v>18</v>
      </c>
      <c r="H31" s="48" t="s">
        <v>2456</v>
      </c>
      <c r="I31" s="48" t="s">
        <v>2607</v>
      </c>
      <c r="J31" s="48" t="s">
        <v>2608</v>
      </c>
      <c r="K31" s="48" t="s">
        <v>2609</v>
      </c>
      <c r="L31" s="48">
        <v>18318288659</v>
      </c>
      <c r="N31" s="48">
        <v>5</v>
      </c>
      <c r="O31" s="48">
        <v>0</v>
      </c>
      <c r="P31" s="48" t="s">
        <v>2610</v>
      </c>
      <c r="Q31" s="48" t="s">
        <v>2461</v>
      </c>
      <c r="R31" s="48" t="s">
        <v>2611</v>
      </c>
    </row>
    <row r="32" s="48" customFormat="1" spans="1:18">
      <c r="A32" s="48">
        <v>98593312032</v>
      </c>
      <c r="B32" s="48">
        <v>51094303018</v>
      </c>
      <c r="C32" s="48" t="s">
        <v>2453</v>
      </c>
      <c r="D32" s="48">
        <v>1</v>
      </c>
      <c r="E32" s="48" t="s">
        <v>2454</v>
      </c>
      <c r="F32" s="48" t="s">
        <v>2612</v>
      </c>
      <c r="G32" s="48">
        <v>17.1</v>
      </c>
      <c r="H32" s="48" t="s">
        <v>2456</v>
      </c>
      <c r="I32" s="48" t="s">
        <v>2613</v>
      </c>
      <c r="J32" s="48" t="s">
        <v>2614</v>
      </c>
      <c r="K32" s="48" t="s">
        <v>2615</v>
      </c>
      <c r="L32" s="48">
        <v>13933838459</v>
      </c>
      <c r="N32" s="48">
        <v>5</v>
      </c>
      <c r="O32" s="48">
        <v>0</v>
      </c>
      <c r="P32" s="48" t="s">
        <v>2616</v>
      </c>
      <c r="Q32" s="48" t="s">
        <v>2461</v>
      </c>
      <c r="R32" s="48" t="s">
        <v>2617</v>
      </c>
    </row>
    <row r="33" s="48" customFormat="1" spans="1:18">
      <c r="A33" s="48">
        <v>98557413721</v>
      </c>
      <c r="B33" s="48">
        <v>51094303018</v>
      </c>
      <c r="C33" s="48" t="s">
        <v>2453</v>
      </c>
      <c r="D33" s="48">
        <v>1</v>
      </c>
      <c r="E33" s="48" t="s">
        <v>2454</v>
      </c>
      <c r="F33" s="48" t="s">
        <v>2618</v>
      </c>
      <c r="G33" s="48">
        <v>18</v>
      </c>
      <c r="H33" s="48" t="s">
        <v>2456</v>
      </c>
      <c r="I33" s="48" t="s">
        <v>2619</v>
      </c>
      <c r="J33" s="48" t="s">
        <v>2620</v>
      </c>
      <c r="K33" s="48" t="s">
        <v>2621</v>
      </c>
      <c r="L33" s="48">
        <v>13781505383</v>
      </c>
      <c r="N33" s="48">
        <v>5</v>
      </c>
      <c r="O33" s="48">
        <v>0</v>
      </c>
      <c r="P33" s="48" t="s">
        <v>2622</v>
      </c>
      <c r="Q33" s="48" t="s">
        <v>2461</v>
      </c>
      <c r="R33" s="48" t="s">
        <v>2623</v>
      </c>
    </row>
    <row r="34" s="48" customFormat="1" spans="1:18">
      <c r="A34" s="48">
        <v>98596042188</v>
      </c>
      <c r="B34" s="48">
        <v>51094303018</v>
      </c>
      <c r="C34" s="48" t="s">
        <v>2453</v>
      </c>
      <c r="D34" s="48">
        <v>1</v>
      </c>
      <c r="E34" s="48" t="s">
        <v>2454</v>
      </c>
      <c r="F34" s="48" t="s">
        <v>2624</v>
      </c>
      <c r="G34" s="48">
        <v>18</v>
      </c>
      <c r="H34" s="48" t="s">
        <v>2456</v>
      </c>
      <c r="I34" s="48" t="s">
        <v>2625</v>
      </c>
      <c r="J34" s="48" t="s">
        <v>2626</v>
      </c>
      <c r="K34" s="48" t="s">
        <v>2627</v>
      </c>
      <c r="L34" s="48">
        <v>13793824797</v>
      </c>
      <c r="N34" s="48">
        <v>5</v>
      </c>
      <c r="O34" s="48">
        <v>0</v>
      </c>
      <c r="P34" s="48" t="s">
        <v>2628</v>
      </c>
      <c r="Q34" s="48" t="s">
        <v>2461</v>
      </c>
      <c r="R34" s="48" t="s">
        <v>2629</v>
      </c>
    </row>
    <row r="35" s="48" customFormat="1" spans="1:18">
      <c r="A35" s="48">
        <v>98539584199</v>
      </c>
      <c r="B35" s="48">
        <v>51094303018</v>
      </c>
      <c r="C35" s="48" t="s">
        <v>2453</v>
      </c>
      <c r="D35" s="48">
        <v>1</v>
      </c>
      <c r="E35" s="48" t="s">
        <v>2454</v>
      </c>
      <c r="F35" s="48" t="s">
        <v>2630</v>
      </c>
      <c r="G35" s="48">
        <v>107</v>
      </c>
      <c r="H35" s="48" t="s">
        <v>2456</v>
      </c>
      <c r="I35" s="48" t="s">
        <v>2631</v>
      </c>
      <c r="J35" s="48" t="s">
        <v>2632</v>
      </c>
      <c r="K35" s="48" t="s">
        <v>2633</v>
      </c>
      <c r="L35" s="48">
        <v>18434995422</v>
      </c>
      <c r="N35" s="48">
        <v>5</v>
      </c>
      <c r="O35" s="48">
        <v>87</v>
      </c>
      <c r="P35" s="48" t="s">
        <v>2634</v>
      </c>
      <c r="Q35" s="48" t="s">
        <v>2461</v>
      </c>
      <c r="R35" s="48" t="s">
        <v>2635</v>
      </c>
    </row>
    <row r="36" s="48" customFormat="1" spans="1:18">
      <c r="A36" s="48">
        <v>98508578844</v>
      </c>
      <c r="B36" s="48">
        <v>51094303018</v>
      </c>
      <c r="C36" s="48" t="s">
        <v>2453</v>
      </c>
      <c r="D36" s="48">
        <v>1</v>
      </c>
      <c r="E36" s="48" t="s">
        <v>2454</v>
      </c>
      <c r="F36" s="48" t="s">
        <v>2636</v>
      </c>
      <c r="G36" s="48">
        <v>20</v>
      </c>
      <c r="H36" s="48" t="s">
        <v>2456</v>
      </c>
      <c r="I36" s="48" t="s">
        <v>2637</v>
      </c>
      <c r="J36" s="48" t="s">
        <v>2638</v>
      </c>
      <c r="K36" s="48" t="s">
        <v>2639</v>
      </c>
      <c r="L36" s="48">
        <v>13236211158</v>
      </c>
      <c r="N36" s="48">
        <v>5</v>
      </c>
      <c r="O36" s="48">
        <v>0</v>
      </c>
      <c r="P36" s="48" t="s">
        <v>2640</v>
      </c>
      <c r="Q36" s="48" t="s">
        <v>2461</v>
      </c>
      <c r="R36" s="48" t="s">
        <v>2641</v>
      </c>
    </row>
    <row r="37" s="48" customFormat="1" spans="1:18">
      <c r="A37" s="48">
        <v>98536852842</v>
      </c>
      <c r="B37" s="48">
        <v>51094303018</v>
      </c>
      <c r="C37" s="48" t="s">
        <v>2453</v>
      </c>
      <c r="D37" s="48">
        <v>1</v>
      </c>
      <c r="E37" s="48" t="s">
        <v>2454</v>
      </c>
      <c r="F37" s="48" t="s">
        <v>2642</v>
      </c>
      <c r="G37" s="48">
        <v>20</v>
      </c>
      <c r="H37" s="48" t="s">
        <v>2456</v>
      </c>
      <c r="I37" s="48" t="s">
        <v>2643</v>
      </c>
      <c r="J37" s="48" t="s">
        <v>2644</v>
      </c>
      <c r="K37" s="48" t="s">
        <v>2645</v>
      </c>
      <c r="L37" s="48">
        <v>18776587734</v>
      </c>
      <c r="N37" s="48">
        <v>5</v>
      </c>
      <c r="O37" s="48">
        <v>0</v>
      </c>
      <c r="P37" s="48" t="s">
        <v>2646</v>
      </c>
      <c r="Q37" s="48" t="s">
        <v>2461</v>
      </c>
      <c r="R37" s="48" t="s">
        <v>2647</v>
      </c>
    </row>
    <row r="38" s="48" customFormat="1" spans="1:18">
      <c r="A38" s="48">
        <v>98537798543</v>
      </c>
      <c r="B38" s="48">
        <v>51094303018</v>
      </c>
      <c r="C38" s="48" t="s">
        <v>2453</v>
      </c>
      <c r="D38" s="48">
        <v>1</v>
      </c>
      <c r="E38" s="48" t="s">
        <v>2454</v>
      </c>
      <c r="F38" s="48" t="s">
        <v>2648</v>
      </c>
      <c r="G38" s="48">
        <v>20</v>
      </c>
      <c r="H38" s="48" t="s">
        <v>2456</v>
      </c>
      <c r="I38" s="48" t="s">
        <v>2649</v>
      </c>
      <c r="J38" s="48" t="s">
        <v>2650</v>
      </c>
      <c r="K38" s="48" t="s">
        <v>2651</v>
      </c>
      <c r="L38" s="48">
        <v>17535302030</v>
      </c>
      <c r="N38" s="48">
        <v>5</v>
      </c>
      <c r="O38" s="48">
        <v>0</v>
      </c>
      <c r="P38" s="48" t="s">
        <v>2652</v>
      </c>
      <c r="Q38" s="48" t="s">
        <v>2461</v>
      </c>
      <c r="R38" s="48" t="s">
        <v>2653</v>
      </c>
    </row>
    <row r="39" s="48" customFormat="1" spans="1:18">
      <c r="A39" s="48">
        <v>98535781064</v>
      </c>
      <c r="B39" s="48">
        <v>51094303018</v>
      </c>
      <c r="C39" s="48" t="s">
        <v>2453</v>
      </c>
      <c r="D39" s="48">
        <v>1</v>
      </c>
      <c r="E39" s="48" t="s">
        <v>2454</v>
      </c>
      <c r="F39" s="48" t="s">
        <v>2654</v>
      </c>
      <c r="G39" s="48">
        <v>20</v>
      </c>
      <c r="H39" s="48" t="s">
        <v>2456</v>
      </c>
      <c r="I39" s="48" t="s">
        <v>2655</v>
      </c>
      <c r="J39" s="48" t="s">
        <v>2656</v>
      </c>
      <c r="K39" s="48" t="s">
        <v>2657</v>
      </c>
      <c r="L39" s="48">
        <v>13761654803</v>
      </c>
      <c r="N39" s="48">
        <v>5</v>
      </c>
      <c r="O39" s="48">
        <v>0</v>
      </c>
      <c r="P39" s="48" t="s">
        <v>2658</v>
      </c>
      <c r="Q39" s="48" t="s">
        <v>2461</v>
      </c>
      <c r="R39" s="48" t="s">
        <v>2659</v>
      </c>
    </row>
    <row r="40" s="49" customFormat="1" spans="1:18">
      <c r="A40" s="49">
        <v>98519740616</v>
      </c>
      <c r="B40" s="49">
        <v>17213485450</v>
      </c>
      <c r="C40" s="49" t="s">
        <v>2660</v>
      </c>
      <c r="D40" s="49">
        <v>1</v>
      </c>
      <c r="E40" s="49" t="s">
        <v>2454</v>
      </c>
      <c r="F40" s="49" t="s">
        <v>2661</v>
      </c>
      <c r="G40" s="49">
        <v>6049</v>
      </c>
      <c r="H40" s="49" t="s">
        <v>2456</v>
      </c>
      <c r="I40" s="49" t="s">
        <v>2662</v>
      </c>
      <c r="J40" s="49" t="s">
        <v>2663</v>
      </c>
      <c r="K40" s="49" t="s">
        <v>2664</v>
      </c>
      <c r="L40" s="49">
        <v>13612066421</v>
      </c>
      <c r="M40" s="49" t="s">
        <v>2665</v>
      </c>
      <c r="N40" s="49">
        <v>1</v>
      </c>
      <c r="O40" s="49">
        <v>0</v>
      </c>
      <c r="P40" s="49" t="s">
        <v>2666</v>
      </c>
      <c r="Q40" s="49" t="s">
        <v>2667</v>
      </c>
      <c r="R40" s="49" t="s">
        <v>2668</v>
      </c>
    </row>
    <row r="41" s="48" customFormat="1" spans="1:18">
      <c r="A41" s="48">
        <v>98457501466</v>
      </c>
      <c r="B41" s="48">
        <v>12573906181</v>
      </c>
      <c r="C41" s="48" t="s">
        <v>2669</v>
      </c>
      <c r="D41" s="48">
        <v>1</v>
      </c>
      <c r="E41" s="48" t="s">
        <v>2454</v>
      </c>
      <c r="F41" s="48" t="s">
        <v>2670</v>
      </c>
      <c r="G41" s="48">
        <v>1299</v>
      </c>
      <c r="H41" s="48" t="s">
        <v>2456</v>
      </c>
      <c r="I41" s="48" t="s">
        <v>2671</v>
      </c>
      <c r="J41" s="48" t="s">
        <v>2672</v>
      </c>
      <c r="K41" s="48" t="s">
        <v>2673</v>
      </c>
      <c r="L41" s="48">
        <v>17756135529</v>
      </c>
      <c r="N41" s="48">
        <v>5</v>
      </c>
      <c r="O41" s="48">
        <v>0</v>
      </c>
      <c r="P41" s="48" t="s">
        <v>2674</v>
      </c>
      <c r="Q41" s="48" t="s">
        <v>2675</v>
      </c>
      <c r="R41" s="48" t="s">
        <v>2676</v>
      </c>
    </row>
    <row r="42" s="48" customFormat="1" spans="1:18">
      <c r="A42" s="48">
        <v>98452632252</v>
      </c>
      <c r="B42" s="48">
        <v>1721606905</v>
      </c>
      <c r="C42" s="48" t="s">
        <v>2677</v>
      </c>
      <c r="D42" s="48">
        <v>1</v>
      </c>
      <c r="E42" s="48" t="s">
        <v>2454</v>
      </c>
      <c r="F42" s="48" t="s">
        <v>2678</v>
      </c>
      <c r="G42" s="48">
        <v>719</v>
      </c>
      <c r="H42" s="48" t="s">
        <v>2456</v>
      </c>
      <c r="I42" s="48" t="s">
        <v>2679</v>
      </c>
      <c r="J42" s="48" t="s">
        <v>2680</v>
      </c>
      <c r="K42" s="48" t="s">
        <v>2681</v>
      </c>
      <c r="L42" s="48">
        <v>18177259024</v>
      </c>
      <c r="N42" s="48">
        <v>5</v>
      </c>
      <c r="O42" s="48">
        <v>0</v>
      </c>
      <c r="P42" s="48" t="s">
        <v>2682</v>
      </c>
      <c r="Q42" s="48" t="s">
        <v>2683</v>
      </c>
      <c r="R42" s="48" t="s">
        <v>2684</v>
      </c>
    </row>
    <row r="43" s="48" customFormat="1" spans="1:18">
      <c r="A43" s="48">
        <v>98437748955</v>
      </c>
      <c r="B43" s="48">
        <v>49918267304</v>
      </c>
      <c r="C43" s="48" t="s">
        <v>2685</v>
      </c>
      <c r="D43" s="48">
        <v>1</v>
      </c>
      <c r="E43" s="48" t="s">
        <v>2454</v>
      </c>
      <c r="F43" s="48" t="s">
        <v>2686</v>
      </c>
      <c r="G43" s="48">
        <v>448</v>
      </c>
      <c r="H43" s="48" t="s">
        <v>2456</v>
      </c>
      <c r="I43" s="48" t="s">
        <v>2687</v>
      </c>
      <c r="J43" s="48" t="s">
        <v>2688</v>
      </c>
      <c r="K43" s="48" t="s">
        <v>2689</v>
      </c>
      <c r="L43" s="48">
        <v>17735044168</v>
      </c>
      <c r="N43" s="48">
        <v>5</v>
      </c>
      <c r="O43" s="48">
        <v>0</v>
      </c>
      <c r="P43" s="48" t="s">
        <v>2690</v>
      </c>
      <c r="Q43" s="48" t="s">
        <v>2691</v>
      </c>
      <c r="R43" s="48" t="s">
        <v>2692</v>
      </c>
    </row>
    <row r="44" s="48" customFormat="1" spans="1:18">
      <c r="A44" s="48">
        <v>98432751451</v>
      </c>
      <c r="B44" s="48">
        <v>1721606905</v>
      </c>
      <c r="C44" s="48" t="s">
        <v>2677</v>
      </c>
      <c r="D44" s="48">
        <v>1</v>
      </c>
      <c r="E44" s="48" t="s">
        <v>2454</v>
      </c>
      <c r="F44" s="48" t="s">
        <v>2693</v>
      </c>
      <c r="G44" s="48">
        <v>719</v>
      </c>
      <c r="H44" s="48" t="s">
        <v>2456</v>
      </c>
      <c r="I44" s="48" t="s">
        <v>2694</v>
      </c>
      <c r="J44" s="48" t="s">
        <v>2695</v>
      </c>
      <c r="K44" s="48" t="s">
        <v>2696</v>
      </c>
      <c r="L44" s="48">
        <v>18998529659</v>
      </c>
      <c r="N44" s="48">
        <v>5</v>
      </c>
      <c r="O44" s="48">
        <v>0</v>
      </c>
      <c r="P44" s="48" t="s">
        <v>2697</v>
      </c>
      <c r="Q44" s="48" t="s">
        <v>2683</v>
      </c>
      <c r="R44" s="48" t="s">
        <v>2698</v>
      </c>
    </row>
    <row r="45" s="48" customFormat="1" spans="1:18">
      <c r="A45" s="48">
        <v>98382314129</v>
      </c>
      <c r="B45" s="48">
        <v>12573906181</v>
      </c>
      <c r="C45" s="48" t="s">
        <v>2669</v>
      </c>
      <c r="D45" s="48">
        <v>1</v>
      </c>
      <c r="E45" s="48" t="s">
        <v>2454</v>
      </c>
      <c r="F45" s="48" t="s">
        <v>2699</v>
      </c>
      <c r="G45" s="48">
        <v>1299</v>
      </c>
      <c r="H45" s="48" t="s">
        <v>2456</v>
      </c>
      <c r="I45" s="48" t="s">
        <v>2700</v>
      </c>
      <c r="J45" s="48" t="s">
        <v>2701</v>
      </c>
      <c r="K45" s="48" t="s">
        <v>2702</v>
      </c>
      <c r="L45" s="48">
        <v>18929643606</v>
      </c>
      <c r="N45" s="48">
        <v>5</v>
      </c>
      <c r="O45" s="48">
        <v>0</v>
      </c>
      <c r="P45" s="48" t="s">
        <v>2703</v>
      </c>
      <c r="Q45" s="48" t="s">
        <v>2675</v>
      </c>
      <c r="R45" s="48" t="s">
        <v>2704</v>
      </c>
    </row>
    <row r="46" s="48" customFormat="1" spans="1:18">
      <c r="A46" s="48">
        <v>98380278676</v>
      </c>
      <c r="B46" s="48">
        <v>49918267304</v>
      </c>
      <c r="C46" s="48" t="s">
        <v>2685</v>
      </c>
      <c r="D46" s="48">
        <v>1</v>
      </c>
      <c r="E46" s="48" t="s">
        <v>2454</v>
      </c>
      <c r="F46" s="48" t="s">
        <v>2705</v>
      </c>
      <c r="G46" s="48">
        <v>448</v>
      </c>
      <c r="H46" s="48" t="s">
        <v>2456</v>
      </c>
      <c r="I46" s="48" t="s">
        <v>2706</v>
      </c>
      <c r="J46" s="48" t="s">
        <v>2707</v>
      </c>
      <c r="K46" s="48" t="s">
        <v>2708</v>
      </c>
      <c r="L46" s="48">
        <v>15953388020</v>
      </c>
      <c r="N46" s="48">
        <v>5</v>
      </c>
      <c r="O46" s="48">
        <v>0</v>
      </c>
      <c r="P46" s="48" t="s">
        <v>2709</v>
      </c>
      <c r="R46" s="48" t="s">
        <v>2710</v>
      </c>
    </row>
    <row r="47" s="48" customFormat="1" spans="1:18">
      <c r="A47" s="48">
        <v>98403851214</v>
      </c>
      <c r="B47" s="48">
        <v>1721606905</v>
      </c>
      <c r="C47" s="48" t="s">
        <v>2677</v>
      </c>
      <c r="D47" s="48">
        <v>1</v>
      </c>
      <c r="E47" s="48" t="s">
        <v>2454</v>
      </c>
      <c r="F47" s="48" t="s">
        <v>2711</v>
      </c>
      <c r="G47" s="48">
        <v>719</v>
      </c>
      <c r="H47" s="48" t="s">
        <v>2456</v>
      </c>
      <c r="I47" s="48" t="s">
        <v>2712</v>
      </c>
      <c r="J47" s="48" t="s">
        <v>2713</v>
      </c>
      <c r="K47" s="48" t="s">
        <v>2714</v>
      </c>
      <c r="L47" s="48">
        <v>18050737559</v>
      </c>
      <c r="N47" s="48">
        <v>5</v>
      </c>
      <c r="O47" s="48">
        <v>0</v>
      </c>
      <c r="P47" s="48" t="s">
        <v>2715</v>
      </c>
      <c r="Q47" s="48" t="s">
        <v>2683</v>
      </c>
      <c r="R47" s="48" t="s">
        <v>2716</v>
      </c>
    </row>
    <row r="48" s="48" customFormat="1" spans="1:18">
      <c r="A48" s="48">
        <v>98379705210</v>
      </c>
      <c r="B48" s="48">
        <v>1721606905</v>
      </c>
      <c r="C48" s="48" t="s">
        <v>2677</v>
      </c>
      <c r="D48" s="48">
        <v>1</v>
      </c>
      <c r="E48" s="48" t="s">
        <v>2454</v>
      </c>
      <c r="F48" s="48" t="s">
        <v>2717</v>
      </c>
      <c r="G48" s="48">
        <v>719</v>
      </c>
      <c r="H48" s="48" t="s">
        <v>2456</v>
      </c>
      <c r="I48" s="48" t="s">
        <v>2718</v>
      </c>
      <c r="J48" s="48" t="s">
        <v>2719</v>
      </c>
      <c r="K48" s="48" t="s">
        <v>2720</v>
      </c>
      <c r="L48" s="48">
        <v>18711096277</v>
      </c>
      <c r="N48" s="48">
        <v>5</v>
      </c>
      <c r="O48" s="48">
        <v>0</v>
      </c>
      <c r="P48" s="48" t="s">
        <v>2721</v>
      </c>
      <c r="Q48" s="48" t="s">
        <v>2683</v>
      </c>
      <c r="R48" s="48" t="s">
        <v>2722</v>
      </c>
    </row>
    <row r="49" s="49" customFormat="1" spans="1:18">
      <c r="A49" s="49">
        <v>98339097365</v>
      </c>
      <c r="B49" s="49">
        <v>30394579422</v>
      </c>
      <c r="C49" s="49" t="s">
        <v>2723</v>
      </c>
      <c r="D49" s="49">
        <v>1</v>
      </c>
      <c r="E49" s="49" t="s">
        <v>2454</v>
      </c>
      <c r="F49" s="49" t="s">
        <v>2724</v>
      </c>
      <c r="G49" s="49">
        <v>2638</v>
      </c>
      <c r="H49" s="49" t="s">
        <v>2456</v>
      </c>
      <c r="I49" s="49" t="s">
        <v>2725</v>
      </c>
      <c r="J49" s="49" t="s">
        <v>2726</v>
      </c>
      <c r="K49" s="49" t="s">
        <v>2727</v>
      </c>
      <c r="L49" s="49">
        <v>17555861666</v>
      </c>
      <c r="M49" s="49" t="s">
        <v>2728</v>
      </c>
      <c r="N49" s="49">
        <v>1</v>
      </c>
      <c r="O49" s="49">
        <v>0</v>
      </c>
      <c r="P49" s="49" t="s">
        <v>2729</v>
      </c>
      <c r="Q49" s="49" t="s">
        <v>2730</v>
      </c>
      <c r="R49" s="49" t="s">
        <v>2731</v>
      </c>
    </row>
    <row r="50" s="48" customFormat="1" spans="1:18">
      <c r="A50" s="48">
        <v>98334952276</v>
      </c>
      <c r="B50" s="48">
        <v>1721606905</v>
      </c>
      <c r="C50" s="48" t="s">
        <v>2677</v>
      </c>
      <c r="D50" s="48">
        <v>1</v>
      </c>
      <c r="E50" s="48" t="s">
        <v>2454</v>
      </c>
      <c r="F50" s="48" t="s">
        <v>2732</v>
      </c>
      <c r="G50" s="48">
        <v>719</v>
      </c>
      <c r="H50" s="48" t="s">
        <v>2456</v>
      </c>
      <c r="I50" s="48" t="s">
        <v>2733</v>
      </c>
      <c r="J50" s="48" t="s">
        <v>2734</v>
      </c>
      <c r="K50" s="48" t="s">
        <v>2735</v>
      </c>
      <c r="L50" s="48">
        <v>17115167417</v>
      </c>
      <c r="N50" s="48">
        <v>5</v>
      </c>
      <c r="O50" s="48">
        <v>0</v>
      </c>
      <c r="P50" s="48" t="s">
        <v>2736</v>
      </c>
      <c r="Q50" s="48" t="s">
        <v>2683</v>
      </c>
      <c r="R50" s="48" t="s">
        <v>2737</v>
      </c>
    </row>
    <row r="51" s="48" customFormat="1" spans="1:18">
      <c r="A51" s="48">
        <v>98329889936</v>
      </c>
      <c r="B51" s="48">
        <v>12573906181</v>
      </c>
      <c r="C51" s="48" t="s">
        <v>2669</v>
      </c>
      <c r="D51" s="48">
        <v>1</v>
      </c>
      <c r="E51" s="48" t="s">
        <v>2454</v>
      </c>
      <c r="F51" s="48" t="s">
        <v>2738</v>
      </c>
      <c r="G51" s="48">
        <v>1299</v>
      </c>
      <c r="H51" s="48" t="s">
        <v>2456</v>
      </c>
      <c r="I51" s="48" t="s">
        <v>2739</v>
      </c>
      <c r="J51" s="48" t="s">
        <v>2740</v>
      </c>
      <c r="K51" s="48" t="s">
        <v>2741</v>
      </c>
      <c r="L51" s="48">
        <v>13005835887</v>
      </c>
      <c r="N51" s="48">
        <v>5</v>
      </c>
      <c r="O51" s="48">
        <v>0</v>
      </c>
      <c r="P51" s="48" t="s">
        <v>2742</v>
      </c>
      <c r="Q51" s="48" t="s">
        <v>2675</v>
      </c>
      <c r="R51" s="48" t="s">
        <v>2743</v>
      </c>
    </row>
    <row r="52" s="48" customFormat="1" spans="1:18">
      <c r="A52" s="48">
        <v>98335850456</v>
      </c>
      <c r="B52" s="48">
        <v>49918267304</v>
      </c>
      <c r="C52" s="48" t="s">
        <v>2685</v>
      </c>
      <c r="D52" s="48">
        <v>1</v>
      </c>
      <c r="E52" s="48" t="s">
        <v>2454</v>
      </c>
      <c r="F52" s="48" t="s">
        <v>2744</v>
      </c>
      <c r="G52" s="48">
        <v>448</v>
      </c>
      <c r="H52" s="48" t="s">
        <v>2456</v>
      </c>
      <c r="I52" s="48" t="s">
        <v>2745</v>
      </c>
      <c r="J52" s="48" t="s">
        <v>2746</v>
      </c>
      <c r="K52" s="48" t="s">
        <v>2747</v>
      </c>
      <c r="L52" s="48">
        <v>17677122725</v>
      </c>
      <c r="N52" s="48">
        <v>5</v>
      </c>
      <c r="O52" s="48">
        <v>0</v>
      </c>
      <c r="P52" s="48" t="s">
        <v>2748</v>
      </c>
      <c r="R52" s="48" t="s">
        <v>2749</v>
      </c>
    </row>
    <row r="53" s="48" customFormat="1" spans="1:18">
      <c r="A53" s="48">
        <v>98352335018</v>
      </c>
      <c r="B53" s="48">
        <v>1721606905</v>
      </c>
      <c r="C53" s="48" t="s">
        <v>2677</v>
      </c>
      <c r="D53" s="48">
        <v>1</v>
      </c>
      <c r="E53" s="48" t="s">
        <v>2454</v>
      </c>
      <c r="F53" s="48" t="s">
        <v>2750</v>
      </c>
      <c r="G53" s="48">
        <v>719</v>
      </c>
      <c r="H53" s="48" t="s">
        <v>2456</v>
      </c>
      <c r="I53" s="48" t="s">
        <v>2751</v>
      </c>
      <c r="J53" s="48" t="s">
        <v>2752</v>
      </c>
      <c r="K53" s="48" t="s">
        <v>2753</v>
      </c>
      <c r="L53" s="48">
        <v>17085932325</v>
      </c>
      <c r="M53" s="48" t="s">
        <v>2754</v>
      </c>
      <c r="N53" s="48">
        <v>5</v>
      </c>
      <c r="O53" s="48">
        <v>0</v>
      </c>
      <c r="P53" s="48" t="s">
        <v>2755</v>
      </c>
      <c r="Q53" s="48" t="s">
        <v>2683</v>
      </c>
      <c r="R53" s="48" t="s">
        <v>2756</v>
      </c>
    </row>
    <row r="54" s="48" customFormat="1" spans="1:18">
      <c r="A54" s="48">
        <v>98297718049</v>
      </c>
      <c r="B54" s="48">
        <v>49918267304</v>
      </c>
      <c r="C54" s="48" t="s">
        <v>2685</v>
      </c>
      <c r="D54" s="48">
        <v>1</v>
      </c>
      <c r="E54" s="48" t="s">
        <v>2454</v>
      </c>
      <c r="F54" s="48" t="s">
        <v>2757</v>
      </c>
      <c r="G54" s="48">
        <v>448</v>
      </c>
      <c r="H54" s="48" t="s">
        <v>2456</v>
      </c>
      <c r="I54" s="48" t="s">
        <v>2758</v>
      </c>
      <c r="J54" s="48" t="s">
        <v>2759</v>
      </c>
      <c r="K54" s="48" t="s">
        <v>2760</v>
      </c>
      <c r="L54" s="48">
        <v>15957031441</v>
      </c>
      <c r="M54" s="48" t="s">
        <v>2761</v>
      </c>
      <c r="N54" s="48">
        <v>5</v>
      </c>
      <c r="O54" s="48">
        <v>0</v>
      </c>
      <c r="P54" s="48" t="s">
        <v>2762</v>
      </c>
      <c r="R54" s="48" t="s">
        <v>2763</v>
      </c>
    </row>
    <row r="55" s="48" customFormat="1" spans="1:18">
      <c r="A55" s="48">
        <v>98275587636</v>
      </c>
      <c r="B55" s="48">
        <v>1721606905</v>
      </c>
      <c r="C55" s="48" t="s">
        <v>2677</v>
      </c>
      <c r="D55" s="48">
        <v>1</v>
      </c>
      <c r="E55" s="48" t="s">
        <v>2454</v>
      </c>
      <c r="F55" s="48" t="s">
        <v>2764</v>
      </c>
      <c r="G55" s="48">
        <v>719</v>
      </c>
      <c r="H55" s="48" t="s">
        <v>2456</v>
      </c>
      <c r="I55" s="48" t="s">
        <v>2765</v>
      </c>
      <c r="J55" s="48" t="s">
        <v>2766</v>
      </c>
      <c r="K55" s="48" t="s">
        <v>2767</v>
      </c>
      <c r="L55" s="48">
        <v>13702103552</v>
      </c>
      <c r="M55" s="48" t="s">
        <v>2761</v>
      </c>
      <c r="N55" s="48">
        <v>5</v>
      </c>
      <c r="O55" s="48">
        <v>0</v>
      </c>
      <c r="P55" s="48" t="s">
        <v>2768</v>
      </c>
      <c r="Q55" s="48" t="s">
        <v>2683</v>
      </c>
      <c r="R55" s="48" t="s">
        <v>2769</v>
      </c>
    </row>
    <row r="56" s="48" customFormat="1" spans="1:18">
      <c r="A56" s="48">
        <v>98272908595</v>
      </c>
      <c r="B56" s="48">
        <v>12573906181</v>
      </c>
      <c r="C56" s="48" t="s">
        <v>2669</v>
      </c>
      <c r="D56" s="48">
        <v>1</v>
      </c>
      <c r="E56" s="48" t="s">
        <v>2454</v>
      </c>
      <c r="F56" s="48" t="s">
        <v>2770</v>
      </c>
      <c r="G56" s="48">
        <v>1299</v>
      </c>
      <c r="H56" s="48" t="s">
        <v>2456</v>
      </c>
      <c r="I56" s="48" t="s">
        <v>2771</v>
      </c>
      <c r="J56" s="48" t="s">
        <v>2772</v>
      </c>
      <c r="K56" s="48" t="s">
        <v>2773</v>
      </c>
      <c r="L56" s="48">
        <v>17098155881</v>
      </c>
      <c r="M56" s="48" t="s">
        <v>2761</v>
      </c>
      <c r="N56" s="48">
        <v>5</v>
      </c>
      <c r="O56" s="48">
        <v>0</v>
      </c>
      <c r="P56" s="48" t="s">
        <v>2774</v>
      </c>
      <c r="Q56" s="48" t="s">
        <v>2675</v>
      </c>
      <c r="R56" s="48" t="s">
        <v>2775</v>
      </c>
    </row>
    <row r="57" s="48" customFormat="1" spans="1:18">
      <c r="A57" s="48">
        <v>98274726557</v>
      </c>
      <c r="B57" s="48">
        <v>1721606905</v>
      </c>
      <c r="C57" s="48" t="s">
        <v>2677</v>
      </c>
      <c r="D57" s="48">
        <v>1</v>
      </c>
      <c r="E57" s="48" t="s">
        <v>2454</v>
      </c>
      <c r="F57" s="48" t="s">
        <v>2776</v>
      </c>
      <c r="G57" s="48">
        <v>719</v>
      </c>
      <c r="H57" s="48" t="s">
        <v>2456</v>
      </c>
      <c r="I57" s="48" t="s">
        <v>2777</v>
      </c>
      <c r="J57" s="48" t="s">
        <v>2778</v>
      </c>
      <c r="K57" s="48" t="s">
        <v>2779</v>
      </c>
      <c r="L57" s="48">
        <v>18505266172</v>
      </c>
      <c r="M57" s="48" t="s">
        <v>2761</v>
      </c>
      <c r="N57" s="48">
        <v>5</v>
      </c>
      <c r="O57" s="48">
        <v>0</v>
      </c>
      <c r="P57" s="48" t="s">
        <v>2780</v>
      </c>
      <c r="Q57" s="48" t="s">
        <v>2683</v>
      </c>
      <c r="R57" s="48" t="s">
        <v>2781</v>
      </c>
    </row>
    <row r="58" s="48" customFormat="1" spans="1:18">
      <c r="A58" s="48">
        <v>98271509457</v>
      </c>
      <c r="B58" s="48">
        <v>46562951474</v>
      </c>
      <c r="C58" s="48" t="s">
        <v>2782</v>
      </c>
      <c r="D58" s="48">
        <v>1</v>
      </c>
      <c r="E58" s="48" t="s">
        <v>2454</v>
      </c>
      <c r="F58" s="48" t="s">
        <v>2783</v>
      </c>
      <c r="G58" s="48">
        <v>429</v>
      </c>
      <c r="H58" s="48" t="s">
        <v>2456</v>
      </c>
      <c r="I58" s="48" t="s">
        <v>2784</v>
      </c>
      <c r="J58" s="48" t="s">
        <v>2785</v>
      </c>
      <c r="K58" s="48" t="s">
        <v>2786</v>
      </c>
      <c r="L58" s="48">
        <v>13556177366</v>
      </c>
      <c r="M58" s="48" t="s">
        <v>2761</v>
      </c>
      <c r="N58" s="48">
        <v>5</v>
      </c>
      <c r="O58" s="48">
        <v>0</v>
      </c>
      <c r="P58" s="48" t="s">
        <v>2787</v>
      </c>
      <c r="R58" s="48" t="s">
        <v>2788</v>
      </c>
    </row>
    <row r="59" s="50" customFormat="1" spans="1:18">
      <c r="A59" s="50">
        <v>98232024730</v>
      </c>
      <c r="B59" s="50">
        <v>1721606903</v>
      </c>
      <c r="C59" s="50" t="s">
        <v>2789</v>
      </c>
      <c r="D59" s="50">
        <v>1</v>
      </c>
      <c r="E59" s="50" t="s">
        <v>2454</v>
      </c>
      <c r="F59" s="50" t="s">
        <v>2790</v>
      </c>
      <c r="G59" s="50">
        <v>674</v>
      </c>
      <c r="H59" s="50" t="s">
        <v>2456</v>
      </c>
      <c r="I59" s="50" t="s">
        <v>2791</v>
      </c>
      <c r="J59" s="50" t="s">
        <v>2792</v>
      </c>
      <c r="K59" s="50" t="s">
        <v>2793</v>
      </c>
      <c r="L59" s="50">
        <v>13960326700</v>
      </c>
      <c r="M59" s="50" t="s">
        <v>2794</v>
      </c>
      <c r="N59" s="50">
        <v>4</v>
      </c>
      <c r="O59" s="50">
        <v>0</v>
      </c>
      <c r="P59" s="50" t="s">
        <v>2795</v>
      </c>
      <c r="Q59" s="50" t="s">
        <v>2683</v>
      </c>
      <c r="R59" s="50" t="s">
        <v>2796</v>
      </c>
    </row>
    <row r="60" s="48" customFormat="1" spans="1:18">
      <c r="A60" s="48">
        <v>98241001865</v>
      </c>
      <c r="B60" s="48">
        <v>1721606905</v>
      </c>
      <c r="C60" s="48" t="s">
        <v>2677</v>
      </c>
      <c r="D60" s="48">
        <v>1</v>
      </c>
      <c r="E60" s="48" t="s">
        <v>2454</v>
      </c>
      <c r="F60" s="48" t="s">
        <v>2797</v>
      </c>
      <c r="G60" s="48">
        <v>719</v>
      </c>
      <c r="H60" s="48" t="s">
        <v>2456</v>
      </c>
      <c r="I60" s="48" t="s">
        <v>2798</v>
      </c>
      <c r="J60" s="48" t="s">
        <v>2799</v>
      </c>
      <c r="K60" s="48" t="s">
        <v>2800</v>
      </c>
      <c r="L60" s="48">
        <v>18025536209</v>
      </c>
      <c r="M60" s="48" t="s">
        <v>2761</v>
      </c>
      <c r="N60" s="48">
        <v>5</v>
      </c>
      <c r="O60" s="48">
        <v>0</v>
      </c>
      <c r="P60" s="48" t="s">
        <v>2801</v>
      </c>
      <c r="Q60" s="48" t="s">
        <v>2683</v>
      </c>
      <c r="R60" s="48" t="s">
        <v>2802</v>
      </c>
    </row>
    <row r="61" s="48" customFormat="1" spans="1:18">
      <c r="A61" s="48">
        <v>98212022137</v>
      </c>
      <c r="B61" s="48">
        <v>46562951474</v>
      </c>
      <c r="C61" s="48" t="s">
        <v>2782</v>
      </c>
      <c r="D61" s="48">
        <v>1</v>
      </c>
      <c r="E61" s="48" t="s">
        <v>2454</v>
      </c>
      <c r="F61" s="48" t="s">
        <v>2803</v>
      </c>
      <c r="G61" s="48">
        <v>429</v>
      </c>
      <c r="H61" s="48" t="s">
        <v>2456</v>
      </c>
      <c r="I61" s="48" t="s">
        <v>2804</v>
      </c>
      <c r="J61" s="48" t="s">
        <v>2805</v>
      </c>
      <c r="K61" s="48" t="s">
        <v>2806</v>
      </c>
      <c r="L61" s="48">
        <v>17680728408</v>
      </c>
      <c r="N61" s="48">
        <v>5</v>
      </c>
      <c r="O61" s="48">
        <v>0</v>
      </c>
      <c r="P61" s="48" t="s">
        <v>2807</v>
      </c>
      <c r="R61" s="48" t="s">
        <v>2808</v>
      </c>
    </row>
    <row r="62" s="48" customFormat="1" spans="1:18">
      <c r="A62" s="48">
        <v>98213911344</v>
      </c>
      <c r="B62" s="48">
        <v>49918267304</v>
      </c>
      <c r="C62" s="48" t="s">
        <v>2685</v>
      </c>
      <c r="D62" s="48">
        <v>1</v>
      </c>
      <c r="E62" s="48" t="s">
        <v>2454</v>
      </c>
      <c r="F62" s="48" t="s">
        <v>2809</v>
      </c>
      <c r="G62" s="48">
        <v>448</v>
      </c>
      <c r="H62" s="48" t="s">
        <v>2456</v>
      </c>
      <c r="I62" s="48">
        <v>13862424747</v>
      </c>
      <c r="J62" s="48" t="s">
        <v>2810</v>
      </c>
      <c r="K62" s="48" t="s">
        <v>2811</v>
      </c>
      <c r="L62" s="48">
        <v>13862424747</v>
      </c>
      <c r="N62" s="48">
        <v>5</v>
      </c>
      <c r="O62" s="48">
        <v>0</v>
      </c>
      <c r="P62" s="48" t="s">
        <v>2812</v>
      </c>
      <c r="R62" s="48" t="s">
        <v>2813</v>
      </c>
    </row>
    <row r="63" s="48" customFormat="1" spans="1:18">
      <c r="A63" s="48">
        <v>98210664400</v>
      </c>
      <c r="B63" s="48">
        <v>12573906181</v>
      </c>
      <c r="C63" s="48" t="s">
        <v>2669</v>
      </c>
      <c r="D63" s="48">
        <v>1</v>
      </c>
      <c r="E63" s="48" t="s">
        <v>2454</v>
      </c>
      <c r="F63" s="48" t="s">
        <v>2814</v>
      </c>
      <c r="G63" s="48">
        <v>1299</v>
      </c>
      <c r="H63" s="48" t="s">
        <v>2456</v>
      </c>
      <c r="I63" s="48" t="s">
        <v>2815</v>
      </c>
      <c r="J63" s="48" t="s">
        <v>2816</v>
      </c>
      <c r="K63" s="48" t="s">
        <v>2817</v>
      </c>
      <c r="L63" s="48">
        <v>18668138350</v>
      </c>
      <c r="N63" s="48">
        <v>5</v>
      </c>
      <c r="O63" s="48">
        <v>0</v>
      </c>
      <c r="P63" s="48" t="s">
        <v>2818</v>
      </c>
      <c r="Q63" s="48" t="s">
        <v>2675</v>
      </c>
      <c r="R63" s="48" t="s">
        <v>2819</v>
      </c>
    </row>
    <row r="64" s="48" customFormat="1" spans="1:18">
      <c r="A64" s="48">
        <v>98237632772</v>
      </c>
      <c r="B64" s="48">
        <v>1721606905</v>
      </c>
      <c r="C64" s="48" t="s">
        <v>2677</v>
      </c>
      <c r="D64" s="48">
        <v>1</v>
      </c>
      <c r="E64" s="48" t="s">
        <v>2454</v>
      </c>
      <c r="F64" s="48" t="s">
        <v>2820</v>
      </c>
      <c r="G64" s="48">
        <v>719</v>
      </c>
      <c r="H64" s="48" t="s">
        <v>2456</v>
      </c>
      <c r="I64" s="48" t="s">
        <v>2821</v>
      </c>
      <c r="J64" s="48" t="s">
        <v>2822</v>
      </c>
      <c r="K64" s="48" t="s">
        <v>2823</v>
      </c>
      <c r="L64" s="48">
        <v>18967128730</v>
      </c>
      <c r="N64" s="48">
        <v>5</v>
      </c>
      <c r="O64" s="48">
        <v>0</v>
      </c>
      <c r="P64" s="48" t="s">
        <v>2824</v>
      </c>
      <c r="Q64" s="48" t="s">
        <v>2683</v>
      </c>
      <c r="R64" s="48" t="s">
        <v>2825</v>
      </c>
    </row>
    <row r="65" s="48" customFormat="1" spans="1:18">
      <c r="A65" s="48">
        <v>98165536826</v>
      </c>
      <c r="B65" s="48">
        <v>49918267304</v>
      </c>
      <c r="C65" s="48" t="s">
        <v>2685</v>
      </c>
      <c r="D65" s="48">
        <v>1</v>
      </c>
      <c r="E65" s="48" t="s">
        <v>2454</v>
      </c>
      <c r="F65" s="48" t="s">
        <v>2826</v>
      </c>
      <c r="G65" s="48">
        <v>448</v>
      </c>
      <c r="H65" s="48" t="s">
        <v>2456</v>
      </c>
      <c r="I65" s="48" t="s">
        <v>2827</v>
      </c>
      <c r="J65" s="48" t="s">
        <v>2828</v>
      </c>
      <c r="K65" s="48" t="s">
        <v>2829</v>
      </c>
      <c r="L65" s="48">
        <v>13430768973</v>
      </c>
      <c r="N65" s="48">
        <v>5</v>
      </c>
      <c r="O65" s="48">
        <v>0</v>
      </c>
      <c r="P65" s="48" t="s">
        <v>2830</v>
      </c>
      <c r="R65" s="48" t="s">
        <v>2831</v>
      </c>
    </row>
    <row r="66" s="48" customFormat="1" spans="1:18">
      <c r="A66" s="48">
        <v>98160688127</v>
      </c>
      <c r="B66" s="48">
        <v>46562951474</v>
      </c>
      <c r="C66" s="48" t="s">
        <v>2782</v>
      </c>
      <c r="D66" s="48">
        <v>1</v>
      </c>
      <c r="E66" s="48" t="s">
        <v>2454</v>
      </c>
      <c r="F66" s="48" t="s">
        <v>2832</v>
      </c>
      <c r="G66" s="48">
        <v>429</v>
      </c>
      <c r="H66" s="48" t="s">
        <v>2456</v>
      </c>
      <c r="I66" s="48" t="s">
        <v>2833</v>
      </c>
      <c r="J66" s="48" t="s">
        <v>2834</v>
      </c>
      <c r="K66" s="48" t="s">
        <v>2835</v>
      </c>
      <c r="L66" s="48">
        <v>15054575376</v>
      </c>
      <c r="N66" s="48">
        <v>5</v>
      </c>
      <c r="O66" s="48">
        <v>0</v>
      </c>
      <c r="P66" s="48" t="s">
        <v>2836</v>
      </c>
      <c r="R66" s="48" t="s">
        <v>2837</v>
      </c>
    </row>
    <row r="67" s="48" customFormat="1" spans="1:18">
      <c r="A67" s="48">
        <v>98159765364</v>
      </c>
      <c r="B67" s="48">
        <v>12573906181</v>
      </c>
      <c r="C67" s="48" t="s">
        <v>2669</v>
      </c>
      <c r="D67" s="48">
        <v>1</v>
      </c>
      <c r="E67" s="48" t="s">
        <v>2454</v>
      </c>
      <c r="F67" s="48" t="s">
        <v>2838</v>
      </c>
      <c r="G67" s="48">
        <v>1299</v>
      </c>
      <c r="H67" s="48" t="s">
        <v>2456</v>
      </c>
      <c r="I67" s="48" t="s">
        <v>2839</v>
      </c>
      <c r="J67" s="48" t="s">
        <v>2840</v>
      </c>
      <c r="K67" s="48" t="s">
        <v>2841</v>
      </c>
      <c r="L67" s="48">
        <v>13661898459</v>
      </c>
      <c r="N67" s="48">
        <v>5</v>
      </c>
      <c r="O67" s="48">
        <v>0</v>
      </c>
      <c r="P67" s="48" t="s">
        <v>2842</v>
      </c>
      <c r="Q67" s="48" t="s">
        <v>2675</v>
      </c>
      <c r="R67" s="48" t="s">
        <v>2843</v>
      </c>
    </row>
    <row r="68" s="48" customFormat="1" spans="1:18">
      <c r="A68" s="48">
        <v>98180065025</v>
      </c>
      <c r="B68" s="48">
        <v>1721606902</v>
      </c>
      <c r="C68" s="48" t="s">
        <v>2844</v>
      </c>
      <c r="D68" s="48">
        <v>1</v>
      </c>
      <c r="E68" s="48" t="s">
        <v>2454</v>
      </c>
      <c r="F68" s="48" t="s">
        <v>2845</v>
      </c>
      <c r="G68" s="48">
        <v>628</v>
      </c>
      <c r="H68" s="48" t="s">
        <v>2456</v>
      </c>
      <c r="I68" s="48" t="s">
        <v>2846</v>
      </c>
      <c r="J68" s="48" t="s">
        <v>2847</v>
      </c>
      <c r="K68" s="48" t="s">
        <v>2848</v>
      </c>
      <c r="L68" s="48">
        <v>13176428665</v>
      </c>
      <c r="N68" s="48">
        <v>5</v>
      </c>
      <c r="O68" s="48">
        <v>0</v>
      </c>
      <c r="P68" s="48" t="s">
        <v>2849</v>
      </c>
      <c r="Q68" s="48" t="s">
        <v>2683</v>
      </c>
      <c r="R68" s="48" t="s">
        <v>2850</v>
      </c>
    </row>
    <row r="69" s="50" customFormat="1" spans="1:18">
      <c r="A69" s="50">
        <v>97947185250</v>
      </c>
      <c r="B69" s="50">
        <v>1721606905</v>
      </c>
      <c r="C69" s="50" t="s">
        <v>2677</v>
      </c>
      <c r="D69" s="50">
        <v>1</v>
      </c>
      <c r="E69" s="50" t="s">
        <v>2454</v>
      </c>
      <c r="F69" s="50" t="s">
        <v>2851</v>
      </c>
      <c r="G69" s="50">
        <v>709</v>
      </c>
      <c r="H69" s="50" t="s">
        <v>2456</v>
      </c>
      <c r="I69" s="50" t="s">
        <v>2852</v>
      </c>
      <c r="J69" s="50" t="s">
        <v>2853</v>
      </c>
      <c r="K69" s="50" t="s">
        <v>2854</v>
      </c>
      <c r="L69" s="50">
        <v>15007199191</v>
      </c>
      <c r="M69" s="50" t="s">
        <v>2855</v>
      </c>
      <c r="N69" s="50">
        <v>4</v>
      </c>
      <c r="O69" s="50">
        <v>0</v>
      </c>
      <c r="P69" s="50" t="s">
        <v>2856</v>
      </c>
      <c r="Q69" s="50" t="s">
        <v>2683</v>
      </c>
      <c r="R69" s="50" t="s">
        <v>2857</v>
      </c>
    </row>
    <row r="70" s="50" customFormat="1" spans="1:18">
      <c r="A70" s="50">
        <v>97907832535</v>
      </c>
      <c r="B70" s="50">
        <v>12573906181</v>
      </c>
      <c r="C70" s="50" t="s">
        <v>2669</v>
      </c>
      <c r="D70" s="50">
        <v>1</v>
      </c>
      <c r="E70" s="50" t="s">
        <v>2454</v>
      </c>
      <c r="F70" s="50" t="s">
        <v>2858</v>
      </c>
      <c r="G70" s="50">
        <v>1339</v>
      </c>
      <c r="H70" s="50" t="s">
        <v>2456</v>
      </c>
      <c r="I70" s="50" t="s">
        <v>2859</v>
      </c>
      <c r="J70" s="50" t="s">
        <v>2860</v>
      </c>
      <c r="K70" s="50" t="s">
        <v>2861</v>
      </c>
      <c r="L70" s="50">
        <v>13601074707</v>
      </c>
      <c r="M70" s="50" t="s">
        <v>2862</v>
      </c>
      <c r="N70" s="50">
        <v>4</v>
      </c>
      <c r="O70" s="50">
        <v>0</v>
      </c>
      <c r="P70" s="50" t="s">
        <v>2863</v>
      </c>
      <c r="Q70" s="50" t="s">
        <v>2675</v>
      </c>
      <c r="R70" s="50" t="s">
        <v>2864</v>
      </c>
    </row>
    <row r="71" s="49" customFormat="1" ht="40.5" spans="1:18">
      <c r="A71" s="49">
        <v>97809460496</v>
      </c>
      <c r="B71" s="49">
        <v>1721606902</v>
      </c>
      <c r="C71" s="49" t="s">
        <v>2844</v>
      </c>
      <c r="D71" s="49">
        <v>1</v>
      </c>
      <c r="E71" s="49" t="s">
        <v>2454</v>
      </c>
      <c r="F71" s="49" t="s">
        <v>2865</v>
      </c>
      <c r="G71" s="49">
        <v>678</v>
      </c>
      <c r="H71" s="49" t="s">
        <v>2456</v>
      </c>
      <c r="I71" s="49" t="s">
        <v>2866</v>
      </c>
      <c r="J71" s="49" t="s">
        <v>2867</v>
      </c>
      <c r="K71" s="49" t="s">
        <v>2868</v>
      </c>
      <c r="L71" s="49">
        <v>15942014921</v>
      </c>
      <c r="M71" s="54" t="s">
        <v>2869</v>
      </c>
      <c r="N71" s="49">
        <v>1</v>
      </c>
      <c r="O71" s="49">
        <v>60</v>
      </c>
      <c r="P71" s="49" t="s">
        <v>2870</v>
      </c>
      <c r="Q71" s="49" t="s">
        <v>2683</v>
      </c>
      <c r="R71" s="49" t="s">
        <v>2871</v>
      </c>
    </row>
    <row r="72" s="50" customFormat="1" spans="1:18">
      <c r="A72" s="50">
        <v>97751314378</v>
      </c>
      <c r="B72" s="50">
        <v>46562951474</v>
      </c>
      <c r="C72" s="50" t="s">
        <v>2782</v>
      </c>
      <c r="D72" s="50">
        <v>1</v>
      </c>
      <c r="E72" s="50" t="s">
        <v>2454</v>
      </c>
      <c r="F72" s="50" t="s">
        <v>2872</v>
      </c>
      <c r="G72" s="50">
        <v>429</v>
      </c>
      <c r="H72" s="50" t="s">
        <v>2456</v>
      </c>
      <c r="I72" s="50" t="s">
        <v>2873</v>
      </c>
      <c r="J72" s="50" t="s">
        <v>2874</v>
      </c>
      <c r="K72" s="50" t="s">
        <v>2875</v>
      </c>
      <c r="L72" s="50">
        <v>13872923666</v>
      </c>
      <c r="M72" s="50" t="s">
        <v>2876</v>
      </c>
      <c r="N72" s="50">
        <v>4</v>
      </c>
      <c r="O72" s="50">
        <v>0</v>
      </c>
      <c r="P72" s="50" t="s">
        <v>2877</v>
      </c>
      <c r="R72" s="50" t="s">
        <v>2878</v>
      </c>
    </row>
    <row r="73" s="50" customFormat="1" spans="1:18">
      <c r="A73" s="50">
        <v>97699406588</v>
      </c>
      <c r="B73" s="50">
        <v>10005541421</v>
      </c>
      <c r="C73" s="50" t="s">
        <v>2879</v>
      </c>
      <c r="D73" s="50">
        <v>1</v>
      </c>
      <c r="E73" s="50" t="s">
        <v>2454</v>
      </c>
      <c r="F73" s="50" t="s">
        <v>2880</v>
      </c>
      <c r="G73" s="50">
        <v>5949</v>
      </c>
      <c r="H73" s="50" t="s">
        <v>2456</v>
      </c>
      <c r="I73" s="50" t="s">
        <v>2881</v>
      </c>
      <c r="J73" s="50" t="s">
        <v>2882</v>
      </c>
      <c r="K73" s="50" t="s">
        <v>2883</v>
      </c>
      <c r="L73" s="50">
        <v>13551236333</v>
      </c>
      <c r="M73" s="50" t="s">
        <v>2884</v>
      </c>
      <c r="N73" s="50">
        <v>4</v>
      </c>
      <c r="O73" s="50">
        <v>0</v>
      </c>
      <c r="P73" s="50" t="s">
        <v>2885</v>
      </c>
      <c r="Q73" s="50" t="s">
        <v>2667</v>
      </c>
      <c r="R73" s="50" t="s">
        <v>2886</v>
      </c>
    </row>
    <row r="74" s="49" customFormat="1" spans="1:18">
      <c r="A74" s="49">
        <v>97599303842</v>
      </c>
      <c r="B74" s="49">
        <v>12573906181</v>
      </c>
      <c r="C74" s="49" t="s">
        <v>2669</v>
      </c>
      <c r="D74" s="49">
        <v>1</v>
      </c>
      <c r="E74" s="49" t="s">
        <v>2454</v>
      </c>
      <c r="F74" s="49" t="s">
        <v>2887</v>
      </c>
      <c r="G74" s="49">
        <v>1249</v>
      </c>
      <c r="H74" s="49" t="s">
        <v>2456</v>
      </c>
      <c r="I74" s="49" t="s">
        <v>2888</v>
      </c>
      <c r="J74" s="49" t="s">
        <v>2889</v>
      </c>
      <c r="K74" s="49" t="s">
        <v>2890</v>
      </c>
      <c r="L74" s="49">
        <v>15348487523</v>
      </c>
      <c r="M74" s="49" t="s">
        <v>2891</v>
      </c>
      <c r="N74" s="49">
        <v>1</v>
      </c>
      <c r="O74" s="49">
        <v>0</v>
      </c>
      <c r="P74" s="49" t="s">
        <v>2892</v>
      </c>
      <c r="Q74" s="49" t="s">
        <v>2675</v>
      </c>
      <c r="R74" s="49" t="s">
        <v>2893</v>
      </c>
    </row>
    <row r="75" s="50" customFormat="1" spans="1:18">
      <c r="A75" s="50">
        <v>97052012776</v>
      </c>
      <c r="B75" s="50">
        <v>10404034618</v>
      </c>
      <c r="C75" s="50" t="s">
        <v>2894</v>
      </c>
      <c r="D75" s="50">
        <v>1</v>
      </c>
      <c r="E75" s="50" t="s">
        <v>2454</v>
      </c>
      <c r="F75" s="50" t="s">
        <v>2895</v>
      </c>
      <c r="G75" s="50">
        <v>2288</v>
      </c>
      <c r="H75" s="50" t="s">
        <v>2456</v>
      </c>
      <c r="I75" s="50" t="s">
        <v>2896</v>
      </c>
      <c r="J75" s="50" t="s">
        <v>2897</v>
      </c>
      <c r="K75" s="50" t="s">
        <v>2898</v>
      </c>
      <c r="L75" s="50">
        <v>13963221338</v>
      </c>
      <c r="M75" s="50" t="s">
        <v>2899</v>
      </c>
      <c r="N75" s="50">
        <v>4</v>
      </c>
      <c r="O75" s="50">
        <v>0</v>
      </c>
      <c r="P75" s="50" t="s">
        <v>2900</v>
      </c>
      <c r="Q75" s="50" t="s">
        <v>2901</v>
      </c>
      <c r="R75" s="50" t="s">
        <v>2902</v>
      </c>
    </row>
    <row r="76" s="49" customFormat="1" spans="1:18">
      <c r="A76" s="49">
        <v>96989906189</v>
      </c>
      <c r="B76" s="49">
        <v>1721606902</v>
      </c>
      <c r="C76" s="49" t="s">
        <v>2844</v>
      </c>
      <c r="D76" s="49">
        <v>1</v>
      </c>
      <c r="E76" s="49" t="s">
        <v>2454</v>
      </c>
      <c r="F76" s="49" t="s">
        <v>2903</v>
      </c>
      <c r="G76" s="49">
        <v>608</v>
      </c>
      <c r="H76" s="49" t="s">
        <v>2456</v>
      </c>
      <c r="I76" s="49" t="s">
        <v>2904</v>
      </c>
      <c r="J76" s="49" t="s">
        <v>2905</v>
      </c>
      <c r="K76" s="49" t="s">
        <v>2906</v>
      </c>
      <c r="L76" s="49">
        <v>18257346689</v>
      </c>
      <c r="M76" s="49" t="s">
        <v>2907</v>
      </c>
      <c r="N76" s="49">
        <v>1</v>
      </c>
      <c r="O76" s="49">
        <v>0</v>
      </c>
      <c r="P76" s="49" t="s">
        <v>2908</v>
      </c>
      <c r="Q76" s="49" t="s">
        <v>2683</v>
      </c>
      <c r="R76" s="49" t="s">
        <v>2909</v>
      </c>
    </row>
    <row r="77" s="50" customFormat="1" spans="1:18">
      <c r="A77" s="50">
        <v>97398688315</v>
      </c>
      <c r="B77" s="50">
        <v>29310514777</v>
      </c>
      <c r="C77" s="50" t="s">
        <v>2910</v>
      </c>
      <c r="D77" s="50">
        <v>1</v>
      </c>
      <c r="E77" s="50" t="s">
        <v>2454</v>
      </c>
      <c r="F77" s="50" t="s">
        <v>2911</v>
      </c>
      <c r="G77" s="50">
        <v>882</v>
      </c>
      <c r="H77" s="50" t="s">
        <v>2456</v>
      </c>
      <c r="I77" s="50" t="s">
        <v>2912</v>
      </c>
      <c r="J77" s="50" t="s">
        <v>2913</v>
      </c>
      <c r="K77" s="50" t="s">
        <v>2914</v>
      </c>
      <c r="L77" s="50">
        <v>18310080375</v>
      </c>
      <c r="M77" s="50" t="s">
        <v>2915</v>
      </c>
      <c r="N77" s="50">
        <v>4</v>
      </c>
      <c r="O77" s="50">
        <v>14</v>
      </c>
      <c r="P77" s="50" t="s">
        <v>2916</v>
      </c>
      <c r="Q77" s="50" t="s">
        <v>2917</v>
      </c>
      <c r="R77" s="50" t="s">
        <v>2918</v>
      </c>
    </row>
    <row r="78" s="50" customFormat="1" spans="1:18">
      <c r="A78" s="50">
        <v>96917394315</v>
      </c>
      <c r="B78" s="50">
        <v>46562951474</v>
      </c>
      <c r="C78" s="50" t="s">
        <v>2782</v>
      </c>
      <c r="D78" s="50">
        <v>1</v>
      </c>
      <c r="E78" s="50" t="s">
        <v>2454</v>
      </c>
      <c r="F78" s="50" t="s">
        <v>2919</v>
      </c>
      <c r="G78" s="50">
        <v>429</v>
      </c>
      <c r="H78" s="50" t="s">
        <v>2456</v>
      </c>
      <c r="I78" s="50" t="s">
        <v>2920</v>
      </c>
      <c r="J78" s="50" t="s">
        <v>2921</v>
      </c>
      <c r="K78" s="50" t="s">
        <v>2922</v>
      </c>
      <c r="L78" s="50">
        <v>13669878291</v>
      </c>
      <c r="M78" s="50" t="s">
        <v>2923</v>
      </c>
      <c r="N78" s="50">
        <v>4</v>
      </c>
      <c r="O78" s="50">
        <v>0</v>
      </c>
      <c r="P78" s="50" t="s">
        <v>2924</v>
      </c>
      <c r="R78" s="50" t="s">
        <v>2925</v>
      </c>
    </row>
    <row r="79" s="49" customFormat="1" spans="1:18">
      <c r="A79" s="49">
        <v>96903386307</v>
      </c>
      <c r="B79" s="49">
        <v>17284482228</v>
      </c>
      <c r="C79" s="49" t="s">
        <v>2926</v>
      </c>
      <c r="D79" s="49">
        <v>1</v>
      </c>
      <c r="E79" s="49" t="s">
        <v>2454</v>
      </c>
      <c r="F79" s="49" t="s">
        <v>2927</v>
      </c>
      <c r="G79" s="49">
        <v>2198</v>
      </c>
      <c r="H79" s="49" t="s">
        <v>2456</v>
      </c>
      <c r="I79" s="49" t="s">
        <v>2928</v>
      </c>
      <c r="J79" s="49" t="s">
        <v>2929</v>
      </c>
      <c r="K79" s="49" t="s">
        <v>2930</v>
      </c>
      <c r="L79" s="49">
        <v>13512185801</v>
      </c>
      <c r="M79" s="49" t="s">
        <v>2931</v>
      </c>
      <c r="N79" s="49">
        <v>1</v>
      </c>
      <c r="O79" s="49">
        <v>0</v>
      </c>
      <c r="P79" s="49" t="s">
        <v>2932</v>
      </c>
      <c r="Q79" s="49" t="s">
        <v>2901</v>
      </c>
      <c r="R79" s="49" t="s">
        <v>2933</v>
      </c>
    </row>
    <row r="80" s="49" customFormat="1" spans="1:18">
      <c r="A80" s="49">
        <v>97363969232</v>
      </c>
      <c r="B80" s="49">
        <v>28352937752</v>
      </c>
      <c r="C80" s="49" t="s">
        <v>2934</v>
      </c>
      <c r="D80" s="49">
        <v>1</v>
      </c>
      <c r="E80" s="49" t="s">
        <v>2454</v>
      </c>
      <c r="F80" s="49" t="s">
        <v>2935</v>
      </c>
      <c r="G80" s="49">
        <v>3148</v>
      </c>
      <c r="H80" s="49" t="s">
        <v>2456</v>
      </c>
      <c r="I80" s="49" t="s">
        <v>2936</v>
      </c>
      <c r="J80" s="49" t="s">
        <v>2937</v>
      </c>
      <c r="K80" s="49" t="s">
        <v>2938</v>
      </c>
      <c r="L80" s="49">
        <v>15989188397</v>
      </c>
      <c r="M80" s="49" t="s">
        <v>2939</v>
      </c>
      <c r="N80" s="49">
        <v>1</v>
      </c>
      <c r="O80" s="49">
        <v>0</v>
      </c>
      <c r="P80" s="49" t="s">
        <v>2940</v>
      </c>
      <c r="Q80" s="49" t="s">
        <v>2941</v>
      </c>
      <c r="R80" s="49" t="s">
        <v>2942</v>
      </c>
    </row>
    <row r="81" s="49" customFormat="1" spans="1:18">
      <c r="A81" s="49">
        <v>96835350880</v>
      </c>
      <c r="B81" s="49">
        <v>12573906181</v>
      </c>
      <c r="C81" s="49" t="s">
        <v>2669</v>
      </c>
      <c r="D81" s="49">
        <v>2</v>
      </c>
      <c r="E81" s="49" t="s">
        <v>2454</v>
      </c>
      <c r="F81" s="49" t="s">
        <v>2943</v>
      </c>
      <c r="G81" s="49">
        <v>2648</v>
      </c>
      <c r="H81" s="49" t="s">
        <v>2456</v>
      </c>
      <c r="I81" s="49" t="s">
        <v>2944</v>
      </c>
      <c r="J81" s="49" t="s">
        <v>2945</v>
      </c>
      <c r="K81" s="49" t="s">
        <v>2946</v>
      </c>
      <c r="L81" s="49">
        <v>15028138007</v>
      </c>
      <c r="M81" s="49" t="s">
        <v>2947</v>
      </c>
      <c r="N81" s="49">
        <v>1</v>
      </c>
      <c r="O81" s="49">
        <v>0</v>
      </c>
      <c r="P81" s="49" t="s">
        <v>2948</v>
      </c>
      <c r="Q81" s="49" t="s">
        <v>2675</v>
      </c>
      <c r="R81" s="49" t="s">
        <v>2949</v>
      </c>
    </row>
    <row r="82" s="50" customFormat="1" spans="1:18">
      <c r="A82" s="50">
        <v>97260747511</v>
      </c>
      <c r="B82" s="50">
        <v>46562951475</v>
      </c>
      <c r="C82" s="50" t="s">
        <v>2782</v>
      </c>
      <c r="D82" s="50">
        <v>1</v>
      </c>
      <c r="E82" s="50" t="s">
        <v>2454</v>
      </c>
      <c r="F82" s="50" t="s">
        <v>2950</v>
      </c>
      <c r="G82" s="50">
        <v>419</v>
      </c>
      <c r="H82" s="50" t="s">
        <v>2456</v>
      </c>
      <c r="I82" s="50" t="s">
        <v>2951</v>
      </c>
      <c r="J82" s="50" t="s">
        <v>2952</v>
      </c>
      <c r="K82" s="50" t="s">
        <v>2953</v>
      </c>
      <c r="L82" s="50">
        <v>13580833320</v>
      </c>
      <c r="M82" s="50" t="s">
        <v>2954</v>
      </c>
      <c r="N82" s="50">
        <v>4</v>
      </c>
      <c r="O82" s="50">
        <v>0</v>
      </c>
      <c r="P82" s="50" t="s">
        <v>2955</v>
      </c>
      <c r="R82" s="50" t="s">
        <v>2956</v>
      </c>
    </row>
    <row r="83" s="49" customFormat="1" spans="1:18">
      <c r="A83" s="49">
        <v>97198057433</v>
      </c>
      <c r="B83" s="49">
        <v>46562951475</v>
      </c>
      <c r="C83" s="49" t="s">
        <v>2782</v>
      </c>
      <c r="D83" s="49">
        <v>1</v>
      </c>
      <c r="E83" s="49" t="s">
        <v>2454</v>
      </c>
      <c r="F83" s="49" t="s">
        <v>2957</v>
      </c>
      <c r="G83" s="49">
        <v>489</v>
      </c>
      <c r="H83" s="49" t="s">
        <v>2456</v>
      </c>
      <c r="I83" s="49" t="s">
        <v>2958</v>
      </c>
      <c r="J83" s="49" t="s">
        <v>2959</v>
      </c>
      <c r="K83" s="49" t="s">
        <v>2960</v>
      </c>
      <c r="L83" s="49">
        <v>18085872861</v>
      </c>
      <c r="M83" s="49" t="s">
        <v>2961</v>
      </c>
      <c r="N83" s="49">
        <v>1</v>
      </c>
      <c r="O83" s="49">
        <v>60</v>
      </c>
      <c r="P83" s="49" t="s">
        <v>2962</v>
      </c>
      <c r="R83" s="49" t="s">
        <v>2963</v>
      </c>
    </row>
    <row r="84" s="49" customFormat="1" spans="1:18">
      <c r="A84" s="49">
        <v>97202090833</v>
      </c>
      <c r="B84" s="49">
        <v>46562951474</v>
      </c>
      <c r="C84" s="49" t="s">
        <v>2964</v>
      </c>
      <c r="D84" s="49">
        <v>1</v>
      </c>
      <c r="E84" s="49" t="s">
        <v>2454</v>
      </c>
      <c r="F84" s="49" t="s">
        <v>2965</v>
      </c>
      <c r="G84" s="49">
        <v>428.4</v>
      </c>
      <c r="H84" s="49" t="s">
        <v>2456</v>
      </c>
      <c r="I84" s="49" t="s">
        <v>2888</v>
      </c>
      <c r="J84" s="49" t="s">
        <v>2889</v>
      </c>
      <c r="K84" s="49" t="s">
        <v>2890</v>
      </c>
      <c r="L84" s="49">
        <v>15348487523</v>
      </c>
      <c r="M84" s="49" t="s">
        <v>2966</v>
      </c>
      <c r="N84" s="49">
        <v>1</v>
      </c>
      <c r="O84" s="49">
        <v>0</v>
      </c>
      <c r="P84" s="49" t="s">
        <v>2967</v>
      </c>
      <c r="R84" s="49" t="s">
        <v>2968</v>
      </c>
    </row>
    <row r="85" s="49" customFormat="1" spans="1:18">
      <c r="A85" s="49">
        <v>96648074824</v>
      </c>
      <c r="B85" s="49">
        <v>1367976587</v>
      </c>
      <c r="C85" s="49" t="s">
        <v>2969</v>
      </c>
      <c r="D85" s="49">
        <v>1</v>
      </c>
      <c r="E85" s="49" t="s">
        <v>2454</v>
      </c>
      <c r="F85" s="49" t="s">
        <v>2970</v>
      </c>
      <c r="G85" s="49">
        <v>3838</v>
      </c>
      <c r="H85" s="49" t="s">
        <v>2456</v>
      </c>
      <c r="I85" s="49" t="s">
        <v>2971</v>
      </c>
      <c r="J85" s="49" t="s">
        <v>2972</v>
      </c>
      <c r="K85" s="49" t="s">
        <v>2973</v>
      </c>
      <c r="L85" s="49">
        <v>13588717639</v>
      </c>
      <c r="M85" s="49" t="s">
        <v>2974</v>
      </c>
      <c r="N85" s="49">
        <v>1</v>
      </c>
      <c r="O85" s="49">
        <v>0</v>
      </c>
      <c r="P85" s="49" t="s">
        <v>2975</v>
      </c>
      <c r="Q85" s="49" t="s">
        <v>2976</v>
      </c>
      <c r="R85" s="49" t="s">
        <v>2977</v>
      </c>
    </row>
    <row r="86" s="49" customFormat="1" spans="1:18">
      <c r="A86" s="49">
        <v>96638094988</v>
      </c>
      <c r="B86" s="49">
        <v>1721606902</v>
      </c>
      <c r="C86" s="49" t="s">
        <v>2844</v>
      </c>
      <c r="D86" s="49">
        <v>1</v>
      </c>
      <c r="E86" s="49" t="s">
        <v>2454</v>
      </c>
      <c r="F86" s="49" t="s">
        <v>2978</v>
      </c>
      <c r="G86" s="49">
        <v>618</v>
      </c>
      <c r="H86" s="49" t="s">
        <v>2456</v>
      </c>
      <c r="I86" s="49" t="s">
        <v>2979</v>
      </c>
      <c r="J86" s="49" t="s">
        <v>2980</v>
      </c>
      <c r="K86" s="49" t="s">
        <v>2981</v>
      </c>
      <c r="L86" s="49">
        <v>13881889363</v>
      </c>
      <c r="M86" s="49" t="s">
        <v>2982</v>
      </c>
      <c r="N86" s="49">
        <v>1</v>
      </c>
      <c r="O86" s="49">
        <v>0</v>
      </c>
      <c r="P86" s="49" t="s">
        <v>2983</v>
      </c>
      <c r="Q86" s="49" t="s">
        <v>2683</v>
      </c>
      <c r="R86" s="49" t="s">
        <v>2984</v>
      </c>
    </row>
  </sheetData>
  <autoFilter ref="A5:XFD86">
    <extLst/>
  </autoFilter>
  <mergeCells count="2">
    <mergeCell ref="A1:I1"/>
    <mergeCell ref="A2:A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1"/>
  <sheetViews>
    <sheetView workbookViewId="0">
      <pane ySplit="5" topLeftCell="A6" activePane="bottomLeft" state="frozen"/>
      <selection/>
      <selection pane="bottomLeft" activeCell="A1" sqref="A$1:A$1048576"/>
    </sheetView>
  </sheetViews>
  <sheetFormatPr defaultColWidth="9" defaultRowHeight="13.5"/>
  <cols>
    <col min="1" max="1" width="9" hidden="1" customWidth="1"/>
    <col min="2" max="3" width="9" style="1"/>
    <col min="4" max="4" width="11.625" style="1"/>
    <col min="5" max="5" width="9" style="1"/>
    <col min="6" max="6" width="10.375" style="1"/>
    <col min="7" max="7" width="9" style="1"/>
    <col min="8" max="8" width="10.375" style="1"/>
    <col min="9" max="10" width="17.125" style="1"/>
    <col min="11" max="13" width="9" style="1"/>
    <col min="14" max="14" width="53.125" style="1" customWidth="1"/>
    <col min="15" max="16" width="9" style="1"/>
    <col min="17" max="17" width="17.125" style="1"/>
    <col min="18" max="16341" width="9" style="1"/>
  </cols>
  <sheetData>
    <row r="1" s="1" customFormat="1" ht="34" customHeight="1" spans="2:14">
      <c r="B1" s="3" t="s">
        <v>17</v>
      </c>
      <c r="C1" s="4"/>
      <c r="D1" s="4"/>
      <c r="E1" s="4"/>
      <c r="F1" s="4"/>
      <c r="G1" s="4"/>
      <c r="H1" s="4"/>
      <c r="I1" s="4"/>
      <c r="J1" s="24"/>
      <c r="K1" s="25"/>
      <c r="L1" s="25"/>
      <c r="M1" s="25"/>
      <c r="N1" s="1" t="s">
        <v>18</v>
      </c>
    </row>
    <row r="2" s="1" customFormat="1" ht="21" customHeight="1" spans="2:13">
      <c r="B2" s="5" t="s">
        <v>19</v>
      </c>
      <c r="C2" s="6" t="s">
        <v>20</v>
      </c>
      <c r="D2" s="7">
        <v>1677.9</v>
      </c>
      <c r="E2" s="8" t="s">
        <v>21</v>
      </c>
      <c r="F2" s="7">
        <v>4131.47</v>
      </c>
      <c r="G2" s="9" t="s">
        <v>22</v>
      </c>
      <c r="H2" s="7">
        <v>40791.16</v>
      </c>
      <c r="I2" s="10" t="s">
        <v>23</v>
      </c>
      <c r="J2" s="7">
        <v>0</v>
      </c>
      <c r="K2" s="25"/>
      <c r="L2" s="25"/>
      <c r="M2" s="25"/>
    </row>
    <row r="3" s="1" customFormat="1" ht="21" customHeight="1" spans="2:13">
      <c r="B3" s="11"/>
      <c r="C3" s="12" t="s">
        <v>24</v>
      </c>
      <c r="D3" s="13"/>
      <c r="E3" s="14"/>
      <c r="F3" s="15">
        <v>-698.6</v>
      </c>
      <c r="G3" s="16"/>
      <c r="H3" s="15">
        <v>698.6</v>
      </c>
      <c r="I3" s="17"/>
      <c r="J3" s="15"/>
      <c r="L3" s="25"/>
      <c r="M3" s="25"/>
    </row>
    <row r="4" s="2" customFormat="1" ht="21" customHeight="1" spans="2:10">
      <c r="B4" s="18" t="s">
        <v>16</v>
      </c>
      <c r="C4" s="19" t="s">
        <v>4</v>
      </c>
      <c r="D4" s="20">
        <f>D3+D2</f>
        <v>1677.9</v>
      </c>
      <c r="E4" s="21" t="s">
        <v>5</v>
      </c>
      <c r="F4" s="20">
        <f>F3+F2</f>
        <v>3432.87</v>
      </c>
      <c r="G4" s="22" t="s">
        <v>22</v>
      </c>
      <c r="H4" s="20">
        <f>H3+H2</f>
        <v>41489.76</v>
      </c>
      <c r="I4" s="23" t="s">
        <v>23</v>
      </c>
      <c r="J4" s="20">
        <f>J3+J2</f>
        <v>0</v>
      </c>
    </row>
    <row r="5" s="1" customFormat="1" spans="1:17">
      <c r="A5" s="1">
        <v>2213</v>
      </c>
      <c r="B5" s="1" t="s">
        <v>25</v>
      </c>
      <c r="C5" s="1" t="s">
        <v>26</v>
      </c>
      <c r="D5" s="1" t="s">
        <v>27</v>
      </c>
      <c r="E5" s="1" t="s">
        <v>28</v>
      </c>
      <c r="F5" s="1" t="s">
        <v>29</v>
      </c>
      <c r="G5" s="1" t="s">
        <v>30</v>
      </c>
      <c r="H5" s="1" t="s">
        <v>31</v>
      </c>
      <c r="I5" s="1" t="s">
        <v>32</v>
      </c>
      <c r="J5" s="1" t="s">
        <v>33</v>
      </c>
      <c r="K5" s="1" t="s">
        <v>34</v>
      </c>
      <c r="L5" s="1" t="s">
        <v>35</v>
      </c>
      <c r="M5" s="1" t="s">
        <v>36</v>
      </c>
      <c r="N5" s="1" t="s">
        <v>37</v>
      </c>
      <c r="O5" s="1" t="s">
        <v>38</v>
      </c>
      <c r="P5" s="1" t="s">
        <v>39</v>
      </c>
      <c r="Q5" s="1" t="s">
        <v>41</v>
      </c>
    </row>
    <row r="6" s="48" customFormat="1" spans="1:17">
      <c r="A6" s="48" t="str">
        <f>VLOOKUP(B6,[1]天猫!$B$3:$M$259,1,FALSE)</f>
        <v>506073667286011342</v>
      </c>
      <c r="B6" s="48" t="str">
        <f>"506073667286011342"</f>
        <v>506073667286011342</v>
      </c>
      <c r="C6" s="48" t="s">
        <v>2985</v>
      </c>
      <c r="D6" s="48">
        <v>838.6</v>
      </c>
      <c r="E6" s="48" t="s">
        <v>53</v>
      </c>
      <c r="F6" s="48" t="s">
        <v>2986</v>
      </c>
      <c r="G6" s="48" t="s">
        <v>2987</v>
      </c>
      <c r="H6" s="48" t="s">
        <v>2988</v>
      </c>
      <c r="I6" s="51">
        <v>43642.7962037037</v>
      </c>
      <c r="J6" s="51">
        <v>43642.8001041667</v>
      </c>
      <c r="K6" s="48" t="s">
        <v>2989</v>
      </c>
      <c r="L6" s="48" t="s">
        <v>2990</v>
      </c>
      <c r="M6" s="48" t="s">
        <v>49</v>
      </c>
      <c r="O6" s="48">
        <v>2</v>
      </c>
      <c r="P6" s="48">
        <v>0</v>
      </c>
      <c r="Q6" s="51">
        <v>43650.8860532407</v>
      </c>
    </row>
    <row r="7" s="48" customFormat="1" spans="1:17">
      <c r="A7" s="48" t="str">
        <f>VLOOKUP(B7,[1]天猫!$B$3:$M$259,1,FALSE)</f>
        <v>285429029844778490</v>
      </c>
      <c r="B7" s="48" t="str">
        <f>"285429029844778490"</f>
        <v>285429029844778490</v>
      </c>
      <c r="C7" s="48" t="s">
        <v>2991</v>
      </c>
      <c r="D7" s="48">
        <v>838.6</v>
      </c>
      <c r="E7" s="48" t="s">
        <v>53</v>
      </c>
      <c r="F7" s="48" t="s">
        <v>2992</v>
      </c>
      <c r="G7" s="48" t="s">
        <v>2993</v>
      </c>
      <c r="H7" s="48" t="s">
        <v>2994</v>
      </c>
      <c r="I7" s="51">
        <v>43642.6830555556</v>
      </c>
      <c r="J7" s="51">
        <v>43642.6886458333</v>
      </c>
      <c r="K7" s="48" t="s">
        <v>2989</v>
      </c>
      <c r="L7" s="48" t="s">
        <v>2995</v>
      </c>
      <c r="M7" s="48" t="s">
        <v>49</v>
      </c>
      <c r="O7" s="48">
        <v>2</v>
      </c>
      <c r="P7" s="48">
        <v>0</v>
      </c>
      <c r="Q7" s="51">
        <v>43652.4439583333</v>
      </c>
    </row>
    <row r="8" s="48" customFormat="1" spans="1:17">
      <c r="A8" s="48" t="str">
        <f>VLOOKUP(B8,[1]天猫!$B$3:$M$259,1,FALSE)</f>
        <v>505245601464986074</v>
      </c>
      <c r="B8" s="48" t="str">
        <f>"505245601464986074"</f>
        <v>505245601464986074</v>
      </c>
      <c r="C8" s="48" t="s">
        <v>2996</v>
      </c>
      <c r="D8" s="48">
        <v>419.3</v>
      </c>
      <c r="E8" s="48" t="s">
        <v>53</v>
      </c>
      <c r="F8" s="48" t="s">
        <v>2997</v>
      </c>
      <c r="G8" s="48" t="s">
        <v>2998</v>
      </c>
      <c r="H8" s="48" t="s">
        <v>2999</v>
      </c>
      <c r="I8" s="51">
        <v>43642.6696990741</v>
      </c>
      <c r="J8" s="51">
        <v>43642.6721759259</v>
      </c>
      <c r="K8" s="48" t="s">
        <v>2989</v>
      </c>
      <c r="L8" s="48" t="s">
        <v>3000</v>
      </c>
      <c r="M8" s="48" t="s">
        <v>49</v>
      </c>
      <c r="O8" s="48">
        <v>1</v>
      </c>
      <c r="P8" s="48">
        <v>0</v>
      </c>
      <c r="Q8" s="51">
        <v>43650.6102314815</v>
      </c>
    </row>
    <row r="9" s="49" customFormat="1" spans="1:17">
      <c r="A9" s="48" t="e">
        <f>VLOOKUP(B9,[1]天猫!$B$3:$M$259,1,FALSE)</f>
        <v>#N/A</v>
      </c>
      <c r="B9" s="49" t="str">
        <f>"504244768667188337"</f>
        <v>504244768667188337</v>
      </c>
      <c r="C9" s="49" t="s">
        <v>3001</v>
      </c>
      <c r="D9" s="49">
        <v>686</v>
      </c>
      <c r="E9" s="49" t="s">
        <v>53</v>
      </c>
      <c r="F9" s="49" t="s">
        <v>3002</v>
      </c>
      <c r="G9" s="49" t="s">
        <v>3003</v>
      </c>
      <c r="H9" s="49" t="s">
        <v>3004</v>
      </c>
      <c r="I9" s="52">
        <v>43642.1007291667</v>
      </c>
      <c r="J9" s="52">
        <v>43642.1007638889</v>
      </c>
      <c r="K9" s="49" t="s">
        <v>3005</v>
      </c>
      <c r="L9" s="49" t="s">
        <v>3006</v>
      </c>
      <c r="M9" s="49" t="s">
        <v>49</v>
      </c>
      <c r="N9" s="49" t="s">
        <v>3007</v>
      </c>
      <c r="O9" s="49">
        <v>1</v>
      </c>
      <c r="P9" s="49">
        <v>0</v>
      </c>
      <c r="Q9" s="52">
        <v>43652.7174768519</v>
      </c>
    </row>
    <row r="10" s="48" customFormat="1" spans="1:17">
      <c r="A10" s="48" t="str">
        <f>VLOOKUP(B10,[1]天猫!$B$3:$M$259,1,FALSE)</f>
        <v>504774306456668749</v>
      </c>
      <c r="B10" s="48" t="str">
        <f>"504774306456668749"</f>
        <v>504774306456668749</v>
      </c>
      <c r="C10" s="48" t="s">
        <v>3008</v>
      </c>
      <c r="D10" s="48">
        <v>838.6</v>
      </c>
      <c r="E10" s="48" t="s">
        <v>53</v>
      </c>
      <c r="F10" s="48" t="s">
        <v>3009</v>
      </c>
      <c r="G10" s="48" t="s">
        <v>3010</v>
      </c>
      <c r="H10" s="48" t="s">
        <v>3011</v>
      </c>
      <c r="I10" s="51">
        <v>43641.9171180556</v>
      </c>
      <c r="J10" s="51">
        <v>43641.9233680556</v>
      </c>
      <c r="K10" s="48" t="s">
        <v>2989</v>
      </c>
      <c r="L10" s="48" t="s">
        <v>3012</v>
      </c>
      <c r="M10" s="48" t="s">
        <v>49</v>
      </c>
      <c r="O10" s="48">
        <v>2</v>
      </c>
      <c r="P10" s="48">
        <v>0</v>
      </c>
      <c r="Q10" s="51">
        <v>43644.6945138889</v>
      </c>
    </row>
    <row r="11" s="48" customFormat="1" spans="1:17">
      <c r="A11" s="48" t="str">
        <f>VLOOKUP(B11,[1]天猫!$B$3:$M$259,1,FALSE)</f>
        <v>503709728511798420</v>
      </c>
      <c r="B11" s="48" t="str">
        <f>"503709728511798420"</f>
        <v>503709728511798420</v>
      </c>
      <c r="C11" s="48" t="s">
        <v>3013</v>
      </c>
      <c r="D11" s="48">
        <v>1145.2</v>
      </c>
      <c r="E11" s="48" t="s">
        <v>53</v>
      </c>
      <c r="F11" s="48" t="s">
        <v>3014</v>
      </c>
      <c r="G11" s="48" t="s">
        <v>3015</v>
      </c>
      <c r="H11" s="48" t="s">
        <v>3016</v>
      </c>
      <c r="I11" s="51">
        <v>43641.716412037</v>
      </c>
      <c r="J11" s="51">
        <v>43641.7459722222</v>
      </c>
      <c r="K11" s="48" t="s">
        <v>2989</v>
      </c>
      <c r="L11" s="48" t="s">
        <v>3017</v>
      </c>
      <c r="M11" s="48" t="s">
        <v>49</v>
      </c>
      <c r="O11" s="48">
        <v>2</v>
      </c>
      <c r="P11" s="48">
        <v>0</v>
      </c>
      <c r="Q11" s="51">
        <v>43647.4734606482</v>
      </c>
    </row>
    <row r="12" s="48" customFormat="1" spans="1:17">
      <c r="A12" s="48" t="str">
        <f>VLOOKUP(B12,[1]天猫!$B$3:$M$259,1,FALSE)</f>
        <v>503993889872452069</v>
      </c>
      <c r="B12" s="48" t="str">
        <f>"503993889872452069"</f>
        <v>503993889872452069</v>
      </c>
      <c r="C12" s="48" t="s">
        <v>3018</v>
      </c>
      <c r="D12" s="48">
        <v>838.6</v>
      </c>
      <c r="E12" s="48" t="s">
        <v>53</v>
      </c>
      <c r="F12" s="48" t="s">
        <v>3019</v>
      </c>
      <c r="G12" s="48" t="s">
        <v>3020</v>
      </c>
      <c r="H12" s="48" t="s">
        <v>3021</v>
      </c>
      <c r="I12" s="51">
        <v>43641.6752777778</v>
      </c>
      <c r="J12" s="51">
        <v>43641.6782060185</v>
      </c>
      <c r="K12" s="48" t="s">
        <v>2989</v>
      </c>
      <c r="L12" s="48" t="s">
        <v>3022</v>
      </c>
      <c r="M12" s="48" t="s">
        <v>49</v>
      </c>
      <c r="O12" s="48">
        <v>2</v>
      </c>
      <c r="P12" s="48">
        <v>0</v>
      </c>
      <c r="Q12" s="51">
        <v>43644.7330787037</v>
      </c>
    </row>
    <row r="13" s="48" customFormat="1" spans="1:17">
      <c r="A13" s="48" t="str">
        <f>VLOOKUP(B13,[1]天猫!$B$3:$M$259,1,FALSE)</f>
        <v>504563747982822982</v>
      </c>
      <c r="B13" s="48" t="str">
        <f>"504563747982822982"</f>
        <v>504563747982822982</v>
      </c>
      <c r="C13" s="48" t="s">
        <v>3023</v>
      </c>
      <c r="D13" s="48">
        <v>597.6</v>
      </c>
      <c r="E13" s="48" t="s">
        <v>53</v>
      </c>
      <c r="F13" s="48" t="s">
        <v>3024</v>
      </c>
      <c r="G13" s="48" t="s">
        <v>3025</v>
      </c>
      <c r="H13" s="48" t="s">
        <v>3026</v>
      </c>
      <c r="I13" s="51">
        <v>43641.6505671296</v>
      </c>
      <c r="J13" s="51">
        <v>43641.6543055556</v>
      </c>
      <c r="K13" s="48" t="s">
        <v>3027</v>
      </c>
      <c r="L13" s="48" t="s">
        <v>3028</v>
      </c>
      <c r="M13" s="48" t="s">
        <v>49</v>
      </c>
      <c r="O13" s="48">
        <v>2</v>
      </c>
      <c r="P13" s="48">
        <v>0</v>
      </c>
      <c r="Q13" s="51">
        <v>43645.3294675926</v>
      </c>
    </row>
    <row r="14" s="48" customFormat="1" spans="1:17">
      <c r="A14" s="48" t="str">
        <f>VLOOKUP(B14,[1]天猫!$B$3:$M$259,1,FALSE)</f>
        <v>503146979287092888</v>
      </c>
      <c r="B14" s="48" t="str">
        <f>"503146979287092888"</f>
        <v>503146979287092888</v>
      </c>
      <c r="C14" s="48" t="s">
        <v>3029</v>
      </c>
      <c r="D14" s="48">
        <v>502.6</v>
      </c>
      <c r="E14" s="48" t="s">
        <v>53</v>
      </c>
      <c r="F14" s="48" t="s">
        <v>3030</v>
      </c>
      <c r="G14" s="48" t="s">
        <v>3031</v>
      </c>
      <c r="H14" s="48" t="s">
        <v>3032</v>
      </c>
      <c r="I14" s="51">
        <v>43640.5500925926</v>
      </c>
      <c r="J14" s="51">
        <v>43640.6243055556</v>
      </c>
      <c r="K14" s="48" t="s">
        <v>2989</v>
      </c>
      <c r="L14" s="48" t="s">
        <v>3033</v>
      </c>
      <c r="M14" s="48" t="s">
        <v>49</v>
      </c>
      <c r="O14" s="48">
        <v>1</v>
      </c>
      <c r="P14" s="48">
        <v>0</v>
      </c>
      <c r="Q14" s="51">
        <v>43649.5755671296</v>
      </c>
    </row>
    <row r="15" s="48" customFormat="1" spans="1:17">
      <c r="A15" s="48" t="str">
        <f>VLOOKUP(B15,[1]天猫!$B$3:$M$259,1,FALSE)</f>
        <v>307282861006203306</v>
      </c>
      <c r="B15" s="48" t="str">
        <f>"307282861006203306"</f>
        <v>307282861006203306</v>
      </c>
      <c r="C15" s="48" t="s">
        <v>3034</v>
      </c>
      <c r="D15" s="48">
        <v>838.6</v>
      </c>
      <c r="E15" s="48" t="s">
        <v>53</v>
      </c>
      <c r="F15" s="48" t="s">
        <v>3035</v>
      </c>
      <c r="G15" s="48" t="s">
        <v>3036</v>
      </c>
      <c r="H15" s="48" t="s">
        <v>3037</v>
      </c>
      <c r="I15" s="51">
        <v>43640.427962963</v>
      </c>
      <c r="J15" s="51">
        <v>43640.430625</v>
      </c>
      <c r="K15" s="48" t="s">
        <v>2989</v>
      </c>
      <c r="L15" s="48" t="s">
        <v>3038</v>
      </c>
      <c r="M15" s="48" t="s">
        <v>49</v>
      </c>
      <c r="O15" s="48">
        <v>2</v>
      </c>
      <c r="P15" s="48">
        <v>0</v>
      </c>
      <c r="Q15" s="51">
        <v>43651.6141550926</v>
      </c>
    </row>
    <row r="16" s="48" customFormat="1" spans="1:17">
      <c r="A16" s="48" t="str">
        <f>VLOOKUP(B16,[1]天猫!$B$3:$M$259,1,FALSE)</f>
        <v>501371456987358944</v>
      </c>
      <c r="B16" s="48" t="str">
        <f>"501371456987358944"</f>
        <v>501371456987358944</v>
      </c>
      <c r="C16" s="48" t="s">
        <v>3039</v>
      </c>
      <c r="D16" s="48">
        <v>419.3</v>
      </c>
      <c r="E16" s="48" t="s">
        <v>53</v>
      </c>
      <c r="F16" s="48" t="s">
        <v>3040</v>
      </c>
      <c r="G16" s="48" t="s">
        <v>3041</v>
      </c>
      <c r="H16" s="48" t="s">
        <v>3042</v>
      </c>
      <c r="I16" s="51">
        <v>43639.8129398148</v>
      </c>
      <c r="J16" s="51">
        <v>43639.8144444444</v>
      </c>
      <c r="K16" s="48" t="s">
        <v>2989</v>
      </c>
      <c r="L16" s="48" t="s">
        <v>3043</v>
      </c>
      <c r="M16" s="48" t="s">
        <v>49</v>
      </c>
      <c r="O16" s="48">
        <v>1</v>
      </c>
      <c r="P16" s="48">
        <v>0</v>
      </c>
      <c r="Q16" s="51">
        <v>43650.474525463</v>
      </c>
    </row>
    <row r="17" s="49" customFormat="1" spans="1:17">
      <c r="A17" s="48" t="e">
        <f>VLOOKUP(B17,[1]天猫!$B$3:$M$259,1,FALSE)</f>
        <v>#N/A</v>
      </c>
      <c r="B17" s="49" t="str">
        <f>"501556513174040269"</f>
        <v>501556513174040269</v>
      </c>
      <c r="C17" s="49" t="s">
        <v>3044</v>
      </c>
      <c r="D17" s="49">
        <v>419.3</v>
      </c>
      <c r="E17" s="49" t="s">
        <v>53</v>
      </c>
      <c r="F17" s="49" t="s">
        <v>1058</v>
      </c>
      <c r="G17" s="49" t="s">
        <v>3045</v>
      </c>
      <c r="H17" s="49" t="s">
        <v>3046</v>
      </c>
      <c r="I17" s="52">
        <v>43639.7069097222</v>
      </c>
      <c r="J17" s="52">
        <v>43639.7069791667</v>
      </c>
      <c r="K17" s="49" t="s">
        <v>2989</v>
      </c>
      <c r="L17" s="49" t="s">
        <v>3047</v>
      </c>
      <c r="M17" s="49" t="s">
        <v>49</v>
      </c>
      <c r="N17" s="49" t="s">
        <v>967</v>
      </c>
      <c r="O17" s="49">
        <v>1</v>
      </c>
      <c r="P17" s="49">
        <v>0</v>
      </c>
      <c r="Q17" s="52">
        <v>43650.47125</v>
      </c>
    </row>
    <row r="18" s="49" customFormat="1" spans="1:17">
      <c r="A18" s="48" t="e">
        <f>VLOOKUP(B18,[1]天猫!$B$3:$M$259,1,FALSE)</f>
        <v>#N/A</v>
      </c>
      <c r="B18" s="49" t="str">
        <f>"501786978407614929"</f>
        <v>501786978407614929</v>
      </c>
      <c r="C18" s="49" t="s">
        <v>3048</v>
      </c>
      <c r="D18" s="49">
        <v>572.6</v>
      </c>
      <c r="E18" s="49" t="s">
        <v>53</v>
      </c>
      <c r="F18" s="49" t="s">
        <v>3049</v>
      </c>
      <c r="G18" s="49" t="s">
        <v>3050</v>
      </c>
      <c r="H18" s="49" t="s">
        <v>3051</v>
      </c>
      <c r="I18" s="52">
        <v>43639.6584837963</v>
      </c>
      <c r="J18" s="52">
        <v>43639.6585300926</v>
      </c>
      <c r="K18" s="49" t="s">
        <v>2989</v>
      </c>
      <c r="L18" s="49" t="s">
        <v>3052</v>
      </c>
      <c r="M18" s="49" t="s">
        <v>49</v>
      </c>
      <c r="N18" s="49" t="s">
        <v>3053</v>
      </c>
      <c r="O18" s="49">
        <v>1</v>
      </c>
      <c r="P18" s="49">
        <v>0</v>
      </c>
      <c r="Q18" s="52">
        <v>43650.4714699074</v>
      </c>
    </row>
    <row r="19" s="48" customFormat="1" spans="1:17">
      <c r="A19" s="48" t="str">
        <f>VLOOKUP(B19,[1]天猫!$B$3:$M$259,1,FALSE)</f>
        <v>285224391975712792</v>
      </c>
      <c r="B19" s="48" t="str">
        <f>"285224391975712792"</f>
        <v>285224391975712792</v>
      </c>
      <c r="C19" s="48" t="s">
        <v>3054</v>
      </c>
      <c r="D19" s="48">
        <v>1198</v>
      </c>
      <c r="E19" s="48" t="s">
        <v>53</v>
      </c>
      <c r="F19" s="48" t="s">
        <v>3055</v>
      </c>
      <c r="G19" s="48" t="s">
        <v>3056</v>
      </c>
      <c r="H19" s="48" t="s">
        <v>3057</v>
      </c>
      <c r="I19" s="51">
        <v>43638.7084143519</v>
      </c>
      <c r="J19" s="51">
        <v>43638.7141319444</v>
      </c>
      <c r="K19" s="48" t="s">
        <v>3058</v>
      </c>
      <c r="L19" s="48" t="s">
        <v>3059</v>
      </c>
      <c r="M19" s="48" t="s">
        <v>49</v>
      </c>
      <c r="O19" s="48">
        <v>2</v>
      </c>
      <c r="P19" s="48">
        <v>0</v>
      </c>
      <c r="Q19" s="51">
        <v>43646.424525463</v>
      </c>
    </row>
    <row r="20" s="48" customFormat="1" spans="1:17">
      <c r="A20" s="48" t="str">
        <f>VLOOKUP(B20,[1]天猫!$B$3:$M$259,1,FALSE)</f>
        <v>500044385063158861</v>
      </c>
      <c r="B20" s="48" t="str">
        <f>"500044385063158861"</f>
        <v>500044385063158861</v>
      </c>
      <c r="C20" s="48" t="s">
        <v>3060</v>
      </c>
      <c r="D20" s="48">
        <v>597.6</v>
      </c>
      <c r="E20" s="48" t="s">
        <v>53</v>
      </c>
      <c r="F20" s="48" t="s">
        <v>3061</v>
      </c>
      <c r="G20" s="48" t="s">
        <v>3062</v>
      </c>
      <c r="H20" s="48" t="s">
        <v>3063</v>
      </c>
      <c r="I20" s="51">
        <v>43638.5987731482</v>
      </c>
      <c r="J20" s="51">
        <v>43638.6015162037</v>
      </c>
      <c r="K20" s="48" t="s">
        <v>3027</v>
      </c>
      <c r="L20" s="48" t="s">
        <v>3064</v>
      </c>
      <c r="M20" s="48" t="s">
        <v>49</v>
      </c>
      <c r="O20" s="48">
        <v>2</v>
      </c>
      <c r="P20" s="48">
        <v>0</v>
      </c>
      <c r="Q20" s="51">
        <v>43643.4765393519</v>
      </c>
    </row>
    <row r="21" s="48" customFormat="1" spans="1:17">
      <c r="A21" s="48" t="str">
        <f>VLOOKUP(B21,[1]天猫!$B$3:$M$259,1,FALSE)</f>
        <v>500597283208271824</v>
      </c>
      <c r="B21" s="48" t="str">
        <f>"500597283208271824"</f>
        <v>500597283208271824</v>
      </c>
      <c r="C21" s="48" t="s">
        <v>3065</v>
      </c>
      <c r="D21" s="48">
        <v>698.6</v>
      </c>
      <c r="E21" s="48" t="s">
        <v>53</v>
      </c>
      <c r="F21" s="48" t="s">
        <v>3066</v>
      </c>
      <c r="G21" s="48" t="s">
        <v>3067</v>
      </c>
      <c r="H21" s="48" t="s">
        <v>3068</v>
      </c>
      <c r="I21" s="51">
        <v>43638.5643865741</v>
      </c>
      <c r="J21" s="51">
        <v>43638.5674074074</v>
      </c>
      <c r="K21" s="48" t="s">
        <v>3058</v>
      </c>
      <c r="L21" s="48" t="s">
        <v>3069</v>
      </c>
      <c r="M21" s="48" t="s">
        <v>49</v>
      </c>
      <c r="O21" s="48">
        <v>2</v>
      </c>
      <c r="P21" s="48">
        <v>0</v>
      </c>
      <c r="Q21" s="51">
        <v>43640.6890393519</v>
      </c>
    </row>
    <row r="22" s="48" customFormat="1" spans="1:17">
      <c r="A22" s="48" t="str">
        <f>VLOOKUP(B22,[1]天猫!$B$3:$M$259,1,FALSE)</f>
        <v>498981217137171569</v>
      </c>
      <c r="B22" s="48" t="str">
        <f>"498981217137171569"</f>
        <v>498981217137171569</v>
      </c>
      <c r="C22" s="48" t="s">
        <v>3070</v>
      </c>
      <c r="D22" s="48">
        <v>838.6</v>
      </c>
      <c r="E22" s="48" t="s">
        <v>53</v>
      </c>
      <c r="F22" s="48" t="s">
        <v>3071</v>
      </c>
      <c r="G22" s="48" t="s">
        <v>3072</v>
      </c>
      <c r="H22" s="48" t="s">
        <v>3073</v>
      </c>
      <c r="I22" s="51">
        <v>43637.6921412037</v>
      </c>
      <c r="J22" s="51">
        <v>43637.6972106481</v>
      </c>
      <c r="K22" s="48" t="s">
        <v>3058</v>
      </c>
      <c r="L22" s="48" t="s">
        <v>3074</v>
      </c>
      <c r="M22" s="48" t="s">
        <v>49</v>
      </c>
      <c r="O22" s="48">
        <v>2</v>
      </c>
      <c r="P22" s="48">
        <v>0</v>
      </c>
      <c r="Q22" s="51">
        <v>43647.0038657407</v>
      </c>
    </row>
    <row r="23" s="48" customFormat="1" spans="1:17">
      <c r="A23" s="48" t="str">
        <f>VLOOKUP(B23,[1]天猫!$B$3:$M$259,1,FALSE)</f>
        <v>498835713649874626</v>
      </c>
      <c r="B23" s="48" t="str">
        <f>"498835713649874626"</f>
        <v>498835713649874626</v>
      </c>
      <c r="C23" s="48" t="s">
        <v>3075</v>
      </c>
      <c r="D23" s="48">
        <v>1036</v>
      </c>
      <c r="E23" s="48" t="s">
        <v>53</v>
      </c>
      <c r="F23" s="48" t="s">
        <v>3076</v>
      </c>
      <c r="G23" s="48" t="s">
        <v>3077</v>
      </c>
      <c r="H23" s="48" t="s">
        <v>3078</v>
      </c>
      <c r="I23" s="51">
        <v>43637.6154861111</v>
      </c>
      <c r="J23" s="51">
        <v>43637.6188425926</v>
      </c>
      <c r="K23" s="48" t="s">
        <v>3079</v>
      </c>
      <c r="L23" s="48" t="s">
        <v>3080</v>
      </c>
      <c r="M23" s="48" t="s">
        <v>49</v>
      </c>
      <c r="O23" s="48">
        <v>2</v>
      </c>
      <c r="P23" s="48">
        <v>0</v>
      </c>
      <c r="Q23" s="51">
        <v>43644.3776851852</v>
      </c>
    </row>
    <row r="24" s="50" customFormat="1" spans="1:17">
      <c r="A24" s="48" t="e">
        <f>VLOOKUP(B24,[1]天猫!$B$3:$M$259,1,FALSE)</f>
        <v>#N/A</v>
      </c>
      <c r="B24" s="50" t="str">
        <f>"306954381368579506"</f>
        <v>306954381368579506</v>
      </c>
      <c r="C24" s="50" t="s">
        <v>3081</v>
      </c>
      <c r="D24" s="50">
        <v>298.8</v>
      </c>
      <c r="E24" s="50" t="s">
        <v>53</v>
      </c>
      <c r="F24" s="50" t="s">
        <v>3082</v>
      </c>
      <c r="G24" s="50" t="s">
        <v>3083</v>
      </c>
      <c r="H24" s="50" t="s">
        <v>3084</v>
      </c>
      <c r="I24" s="53">
        <v>43637.4388773148</v>
      </c>
      <c r="J24" s="53">
        <v>43637.4389351852</v>
      </c>
      <c r="K24" s="50" t="s">
        <v>3027</v>
      </c>
      <c r="L24" s="50" t="s">
        <v>3085</v>
      </c>
      <c r="M24" s="50" t="s">
        <v>49</v>
      </c>
      <c r="N24" s="50" t="s">
        <v>3086</v>
      </c>
      <c r="O24" s="50">
        <v>1</v>
      </c>
      <c r="P24" s="50">
        <v>0</v>
      </c>
      <c r="Q24" s="53">
        <v>43647.8477662037</v>
      </c>
    </row>
    <row r="25" s="48" customFormat="1" spans="1:17">
      <c r="A25" s="48" t="str">
        <f>VLOOKUP(B25,[1]天猫!$B$3:$M$259,1,FALSE)</f>
        <v>498161283188589660</v>
      </c>
      <c r="B25" s="48" t="str">
        <f>"498161283188589660"</f>
        <v>498161283188589660</v>
      </c>
      <c r="C25" s="48" t="s">
        <v>3087</v>
      </c>
      <c r="D25" s="48">
        <v>896.4</v>
      </c>
      <c r="E25" s="48" t="s">
        <v>53</v>
      </c>
      <c r="F25" s="48" t="s">
        <v>3088</v>
      </c>
      <c r="G25" s="48" t="s">
        <v>3089</v>
      </c>
      <c r="H25" s="48" t="s">
        <v>3090</v>
      </c>
      <c r="I25" s="51">
        <v>43636.6202199074</v>
      </c>
      <c r="J25" s="51">
        <v>43636.6214930556</v>
      </c>
      <c r="K25" s="48" t="s">
        <v>3027</v>
      </c>
      <c r="L25" s="48" t="s">
        <v>3091</v>
      </c>
      <c r="M25" s="48" t="s">
        <v>49</v>
      </c>
      <c r="O25" s="48">
        <v>3</v>
      </c>
      <c r="P25" s="48">
        <v>0</v>
      </c>
      <c r="Q25" s="51">
        <v>43643.6033680556</v>
      </c>
    </row>
    <row r="26" s="48" customFormat="1" spans="1:17">
      <c r="A26" s="48" t="str">
        <f>VLOOKUP(B26,[1]天猫!$B$3:$M$259,1,FALSE)</f>
        <v>284841670291797493</v>
      </c>
      <c r="B26" s="48" t="str">
        <f>"284841670291797493"</f>
        <v>284841670291797493</v>
      </c>
      <c r="C26" s="48" t="s">
        <v>3092</v>
      </c>
      <c r="D26" s="48">
        <v>572.6</v>
      </c>
      <c r="E26" s="48" t="s">
        <v>53</v>
      </c>
      <c r="F26" s="48" t="s">
        <v>3093</v>
      </c>
      <c r="G26" s="48" t="s">
        <v>3094</v>
      </c>
      <c r="H26" s="48" t="s">
        <v>3095</v>
      </c>
      <c r="I26" s="51">
        <v>43636.6139467593</v>
      </c>
      <c r="J26" s="51">
        <v>43636.6196412037</v>
      </c>
      <c r="K26" s="48" t="s">
        <v>3058</v>
      </c>
      <c r="L26" s="48" t="s">
        <v>3096</v>
      </c>
      <c r="M26" s="48" t="s">
        <v>49</v>
      </c>
      <c r="O26" s="48">
        <v>1</v>
      </c>
      <c r="P26" s="48">
        <v>0</v>
      </c>
      <c r="Q26" s="51">
        <v>43647.8485648148</v>
      </c>
    </row>
    <row r="27" s="50" customFormat="1" spans="1:17">
      <c r="A27" s="48" t="e">
        <f>VLOOKUP(B27,[1]天猫!$B$3:$M$259,1,FALSE)</f>
        <v>#N/A</v>
      </c>
      <c r="B27" s="50" t="str">
        <f>"496977250061153912"</f>
        <v>496977250061153912</v>
      </c>
      <c r="C27" s="50" t="s">
        <v>3097</v>
      </c>
      <c r="D27" s="50">
        <v>475.3</v>
      </c>
      <c r="E27" s="50" t="s">
        <v>53</v>
      </c>
      <c r="F27" s="50" t="s">
        <v>3098</v>
      </c>
      <c r="G27" s="50" t="s">
        <v>3099</v>
      </c>
      <c r="H27" s="50" t="s">
        <v>3100</v>
      </c>
      <c r="I27" s="53">
        <v>43635.8363078704</v>
      </c>
      <c r="J27" s="53">
        <v>43635.8364236111</v>
      </c>
      <c r="K27" s="50" t="s">
        <v>3058</v>
      </c>
      <c r="L27" s="50" t="s">
        <v>3101</v>
      </c>
      <c r="M27" s="50" t="s">
        <v>49</v>
      </c>
      <c r="N27" s="50" t="s">
        <v>3102</v>
      </c>
      <c r="O27" s="50">
        <v>1</v>
      </c>
      <c r="P27" s="50">
        <v>0</v>
      </c>
      <c r="Q27" s="53">
        <v>43643.5592592593</v>
      </c>
    </row>
    <row r="28" s="48" customFormat="1" spans="1:17">
      <c r="A28" s="48" t="str">
        <f>VLOOKUP(B28,[1]天猫!$B$3:$M$259,1,FALSE)</f>
        <v>496599362014147746</v>
      </c>
      <c r="B28" s="48" t="str">
        <f>"496599362014147746"</f>
        <v>496599362014147746</v>
      </c>
      <c r="C28" s="48" t="s">
        <v>3103</v>
      </c>
      <c r="D28" s="48">
        <v>597.6</v>
      </c>
      <c r="E28" s="48" t="s">
        <v>53</v>
      </c>
      <c r="F28" s="48" t="s">
        <v>3104</v>
      </c>
      <c r="G28" s="48" t="s">
        <v>3105</v>
      </c>
      <c r="H28" s="48" t="s">
        <v>3106</v>
      </c>
      <c r="I28" s="51">
        <v>43635.6272106481</v>
      </c>
      <c r="J28" s="51">
        <v>43635.631087963</v>
      </c>
      <c r="K28" s="48" t="s">
        <v>3027</v>
      </c>
      <c r="L28" s="48" t="s">
        <v>3107</v>
      </c>
      <c r="M28" s="48" t="s">
        <v>49</v>
      </c>
      <c r="O28" s="48">
        <v>2</v>
      </c>
      <c r="P28" s="48">
        <v>0</v>
      </c>
      <c r="Q28" s="51">
        <v>43640.6426736111</v>
      </c>
    </row>
    <row r="29" s="48" customFormat="1" spans="1:17">
      <c r="A29" s="48" t="str">
        <f>VLOOKUP(B29,[1]天猫!$B$3:$M$259,1,FALSE)</f>
        <v>495730912181294875</v>
      </c>
      <c r="B29" s="48" t="str">
        <f>"495730912181294875"</f>
        <v>495730912181294875</v>
      </c>
      <c r="C29" s="48" t="s">
        <v>3108</v>
      </c>
      <c r="D29" s="48">
        <v>838.6</v>
      </c>
      <c r="E29" s="48" t="s">
        <v>53</v>
      </c>
      <c r="F29" s="48" t="s">
        <v>3109</v>
      </c>
      <c r="G29" s="48" t="s">
        <v>3110</v>
      </c>
      <c r="H29" s="48" t="s">
        <v>3111</v>
      </c>
      <c r="I29" s="51">
        <v>43635.5567013889</v>
      </c>
      <c r="J29" s="51">
        <v>43635.5641203704</v>
      </c>
      <c r="K29" s="48" t="s">
        <v>3058</v>
      </c>
      <c r="L29" s="48" t="s">
        <v>3112</v>
      </c>
      <c r="M29" s="48" t="s">
        <v>49</v>
      </c>
      <c r="O29" s="48">
        <v>2</v>
      </c>
      <c r="P29" s="48">
        <v>0</v>
      </c>
      <c r="Q29" s="51">
        <v>43640.4344097222</v>
      </c>
    </row>
    <row r="30" s="48" customFormat="1" spans="1:17">
      <c r="A30" s="48" t="e">
        <f>VLOOKUP(B30,[1]天猫!$B$3:$M$259,1,FALSE)</f>
        <v>#N/A</v>
      </c>
      <c r="B30" s="48" t="str">
        <f>"494302209389730522"</f>
        <v>494302209389730522</v>
      </c>
      <c r="C30" s="48" t="s">
        <v>3113</v>
      </c>
      <c r="D30" s="48">
        <v>861.72</v>
      </c>
      <c r="E30" s="48" t="s">
        <v>53</v>
      </c>
      <c r="F30" s="48" t="s">
        <v>3113</v>
      </c>
      <c r="G30" s="48" t="s">
        <v>3114</v>
      </c>
      <c r="H30" s="48" t="s">
        <v>3115</v>
      </c>
      <c r="I30" s="51">
        <v>43634.7430324074</v>
      </c>
      <c r="J30" s="51">
        <v>43634.7565162037</v>
      </c>
      <c r="K30" s="48" t="s">
        <v>3116</v>
      </c>
      <c r="L30" s="48" t="s">
        <v>3117</v>
      </c>
      <c r="M30" s="48" t="s">
        <v>49</v>
      </c>
      <c r="O30" s="48">
        <v>6</v>
      </c>
      <c r="P30" s="48">
        <v>0</v>
      </c>
      <c r="Q30" s="51">
        <v>43639.5607407407</v>
      </c>
    </row>
    <row r="31" s="48" customFormat="1" spans="1:17">
      <c r="A31" s="48" t="str">
        <f>VLOOKUP(B31,[1]天猫!$B$3:$M$259,1,FALSE)</f>
        <v>493952066103531653</v>
      </c>
      <c r="B31" s="48" t="str">
        <f>"493952066103531653"</f>
        <v>493952066103531653</v>
      </c>
      <c r="C31" s="48" t="s">
        <v>3118</v>
      </c>
      <c r="D31" s="48">
        <v>1002.6</v>
      </c>
      <c r="E31" s="48" t="s">
        <v>53</v>
      </c>
      <c r="F31" s="48" t="s">
        <v>3119</v>
      </c>
      <c r="G31" s="48" t="s">
        <v>3120</v>
      </c>
      <c r="H31" s="48" t="s">
        <v>3121</v>
      </c>
      <c r="I31" s="51">
        <v>43634.5330439815</v>
      </c>
      <c r="J31" s="51">
        <v>43634.5376273148</v>
      </c>
      <c r="K31" s="48" t="s">
        <v>3122</v>
      </c>
      <c r="L31" s="48" t="s">
        <v>3123</v>
      </c>
      <c r="M31" s="48" t="s">
        <v>49</v>
      </c>
      <c r="O31" s="48">
        <v>6</v>
      </c>
      <c r="P31" s="48">
        <v>0</v>
      </c>
      <c r="Q31" s="51">
        <v>43643.9420601852</v>
      </c>
    </row>
    <row r="32" s="50" customFormat="1" spans="1:17">
      <c r="A32" s="48" t="e">
        <f>VLOOKUP(B32,[1]天猫!$B$3:$M$259,1,FALSE)</f>
        <v>#N/A</v>
      </c>
      <c r="B32" s="50" t="str">
        <f>"492670977289243241"</f>
        <v>492670977289243241</v>
      </c>
      <c r="C32" s="50" t="s">
        <v>3124</v>
      </c>
      <c r="D32" s="50">
        <v>594.9</v>
      </c>
      <c r="E32" s="50" t="s">
        <v>53</v>
      </c>
      <c r="F32" s="50" t="s">
        <v>3125</v>
      </c>
      <c r="G32" s="50" t="s">
        <v>3126</v>
      </c>
      <c r="H32" s="50" t="s">
        <v>3127</v>
      </c>
      <c r="I32" s="53">
        <v>43634.0034490741</v>
      </c>
      <c r="J32" s="53">
        <v>43634.0035300926</v>
      </c>
      <c r="K32" s="50" t="s">
        <v>3128</v>
      </c>
      <c r="L32" s="50" t="s">
        <v>3129</v>
      </c>
      <c r="M32" s="50" t="s">
        <v>49</v>
      </c>
      <c r="N32" s="50" t="s">
        <v>3130</v>
      </c>
      <c r="O32" s="50">
        <v>1</v>
      </c>
      <c r="P32" s="50">
        <v>0</v>
      </c>
      <c r="Q32" s="53">
        <v>43642.7463425926</v>
      </c>
    </row>
    <row r="33" s="48" customFormat="1" spans="1:17">
      <c r="A33" s="48" t="str">
        <f>VLOOKUP(B33,[1]天猫!$B$3:$M$259,1,FALSE)</f>
        <v>491929696869240648</v>
      </c>
      <c r="B33" s="48" t="str">
        <f>"491929696869240648"</f>
        <v>491929696869240648</v>
      </c>
      <c r="C33" s="48" t="s">
        <v>3131</v>
      </c>
      <c r="D33" s="48">
        <v>861.72</v>
      </c>
      <c r="E33" s="48" t="s">
        <v>53</v>
      </c>
      <c r="F33" s="48" t="s">
        <v>3132</v>
      </c>
      <c r="G33" s="48" t="s">
        <v>3133</v>
      </c>
      <c r="H33" s="48" t="s">
        <v>3134</v>
      </c>
      <c r="I33" s="51">
        <v>43633.8743865741</v>
      </c>
      <c r="J33" s="51">
        <v>43633.8769560185</v>
      </c>
      <c r="K33" s="48" t="s">
        <v>3116</v>
      </c>
      <c r="L33" s="48" t="s">
        <v>3135</v>
      </c>
      <c r="M33" s="48" t="s">
        <v>49</v>
      </c>
      <c r="O33" s="48">
        <v>6</v>
      </c>
      <c r="P33" s="48">
        <v>0</v>
      </c>
      <c r="Q33" s="51">
        <v>43640.4598611111</v>
      </c>
    </row>
    <row r="34" s="48" customFormat="1" spans="1:17">
      <c r="A34" s="48" t="str">
        <f>VLOOKUP(B34,[1]天猫!$B$3:$M$259,1,FALSE)</f>
        <v>491839680183505737</v>
      </c>
      <c r="B34" s="48" t="str">
        <f>"491839680183505737"</f>
        <v>491839680183505737</v>
      </c>
      <c r="C34" s="48" t="s">
        <v>3136</v>
      </c>
      <c r="D34" s="48">
        <v>1106.6</v>
      </c>
      <c r="E34" s="48" t="s">
        <v>53</v>
      </c>
      <c r="F34" s="48" t="s">
        <v>3137</v>
      </c>
      <c r="G34" s="48" t="s">
        <v>3138</v>
      </c>
      <c r="H34" s="48" t="s">
        <v>3139</v>
      </c>
      <c r="I34" s="51">
        <v>43633.8387268518</v>
      </c>
      <c r="J34" s="51">
        <v>43633.8660300926</v>
      </c>
      <c r="K34" s="48" t="s">
        <v>3122</v>
      </c>
      <c r="L34" s="48" t="s">
        <v>3140</v>
      </c>
      <c r="M34" s="48" t="s">
        <v>49</v>
      </c>
      <c r="O34" s="48">
        <v>6</v>
      </c>
      <c r="P34" s="48">
        <v>0</v>
      </c>
      <c r="Q34" s="51">
        <v>43638.5845138889</v>
      </c>
    </row>
    <row r="35" s="50" customFormat="1" spans="1:17">
      <c r="A35" s="48" t="e">
        <f>VLOOKUP(B35,[1]天猫!$B$3:$M$259,1,FALSE)</f>
        <v>#N/A</v>
      </c>
      <c r="B35" s="50" t="str">
        <f>"490671746327490261"</f>
        <v>490671746327490261</v>
      </c>
      <c r="C35" s="50" t="s">
        <v>3141</v>
      </c>
      <c r="D35" s="50">
        <v>385.2</v>
      </c>
      <c r="E35" s="50" t="s">
        <v>53</v>
      </c>
      <c r="F35" s="50" t="s">
        <v>3142</v>
      </c>
      <c r="G35" s="50" t="s">
        <v>3143</v>
      </c>
      <c r="H35" s="50" t="s">
        <v>3144</v>
      </c>
      <c r="I35" s="53">
        <v>43632.8512962963</v>
      </c>
      <c r="J35" s="53">
        <v>43632.8514930556</v>
      </c>
      <c r="K35" s="50" t="s">
        <v>3058</v>
      </c>
      <c r="L35" s="50" t="s">
        <v>3145</v>
      </c>
      <c r="M35" s="50" t="s">
        <v>49</v>
      </c>
      <c r="N35" s="50" t="s">
        <v>3146</v>
      </c>
      <c r="O35" s="50">
        <v>1</v>
      </c>
      <c r="P35" s="50">
        <v>0</v>
      </c>
      <c r="Q35" s="53">
        <v>43637.3336921296</v>
      </c>
    </row>
    <row r="36" s="48" customFormat="1" spans="1:17">
      <c r="A36" s="48" t="str">
        <f>VLOOKUP(B36,[1]天猫!$B$3:$M$259,1,FALSE)</f>
        <v>306105485943289605</v>
      </c>
      <c r="B36" s="48" t="str">
        <f>"306105485943289605"</f>
        <v>306105485943289605</v>
      </c>
      <c r="C36" s="48" t="s">
        <v>3147</v>
      </c>
      <c r="D36" s="48">
        <v>1002.6</v>
      </c>
      <c r="E36" s="48" t="s">
        <v>53</v>
      </c>
      <c r="F36" s="48" t="s">
        <v>3148</v>
      </c>
      <c r="G36" s="48" t="s">
        <v>3149</v>
      </c>
      <c r="H36" s="48" t="s">
        <v>3150</v>
      </c>
      <c r="I36" s="51">
        <v>43632.5744907407</v>
      </c>
      <c r="J36" s="51">
        <v>43632.5786342593</v>
      </c>
      <c r="K36" s="48" t="s">
        <v>3151</v>
      </c>
      <c r="L36" s="48" t="s">
        <v>3152</v>
      </c>
      <c r="M36" s="48" t="s">
        <v>49</v>
      </c>
      <c r="O36" s="48">
        <v>6</v>
      </c>
      <c r="P36" s="48">
        <v>0</v>
      </c>
      <c r="Q36" s="51">
        <v>43637.4837847222</v>
      </c>
    </row>
    <row r="37" s="48" customFormat="1" spans="1:17">
      <c r="A37" s="48" t="str">
        <f>VLOOKUP(B37,[1]天猫!$B$3:$M$259,1,FALSE)</f>
        <v>489802146495735925</v>
      </c>
      <c r="B37" s="48" t="str">
        <f>"489802146495735925"</f>
        <v>489802146495735925</v>
      </c>
      <c r="C37" s="48" t="s">
        <v>3153</v>
      </c>
      <c r="D37" s="48">
        <v>1033.72</v>
      </c>
      <c r="E37" s="48" t="s">
        <v>53</v>
      </c>
      <c r="F37" s="48" t="s">
        <v>3154</v>
      </c>
      <c r="G37" s="48" t="s">
        <v>3155</v>
      </c>
      <c r="H37" s="48" t="s">
        <v>3156</v>
      </c>
      <c r="I37" s="51">
        <v>43632.5584490741</v>
      </c>
      <c r="J37" s="51">
        <v>43632.588599537</v>
      </c>
      <c r="K37" s="48" t="s">
        <v>3157</v>
      </c>
      <c r="L37" s="48" t="s">
        <v>3158</v>
      </c>
      <c r="M37" s="48" t="s">
        <v>49</v>
      </c>
      <c r="O37" s="48">
        <v>6</v>
      </c>
      <c r="P37" s="48">
        <v>0</v>
      </c>
      <c r="Q37" s="51">
        <v>43641.2963541667</v>
      </c>
    </row>
    <row r="38" s="50" customFormat="1" spans="1:17">
      <c r="A38" s="48" t="e">
        <f>VLOOKUP(B38,[1]天猫!$B$3:$M$259,1,FALSE)</f>
        <v>#N/A</v>
      </c>
      <c r="B38" s="50" t="str">
        <f>"488035840374412749"</f>
        <v>488035840374412749</v>
      </c>
      <c r="C38" s="50" t="s">
        <v>3159</v>
      </c>
      <c r="D38" s="50">
        <v>374.67</v>
      </c>
      <c r="E38" s="50" t="s">
        <v>53</v>
      </c>
      <c r="F38" s="50" t="s">
        <v>3160</v>
      </c>
      <c r="G38" s="50" t="s">
        <v>3161</v>
      </c>
      <c r="H38" s="50" t="s">
        <v>3162</v>
      </c>
      <c r="I38" s="53">
        <v>43632.0391435185</v>
      </c>
      <c r="J38" s="53">
        <v>43632.039212963</v>
      </c>
      <c r="K38" s="50" t="s">
        <v>3058</v>
      </c>
      <c r="L38" s="50" t="s">
        <v>3163</v>
      </c>
      <c r="M38" s="50" t="s">
        <v>49</v>
      </c>
      <c r="N38" s="50" t="s">
        <v>3146</v>
      </c>
      <c r="O38" s="50">
        <v>1</v>
      </c>
      <c r="P38" s="50">
        <v>0</v>
      </c>
      <c r="Q38" s="53">
        <v>43636.2873148148</v>
      </c>
    </row>
    <row r="39" s="48" customFormat="1" spans="1:17">
      <c r="A39" s="48" t="str">
        <f>VLOOKUP(B39,[1]天猫!$B$3:$M$259,1,FALSE)</f>
        <v>487736483090103240</v>
      </c>
      <c r="B39" s="48" t="str">
        <f>"487736483090103240"</f>
        <v>487736483090103240</v>
      </c>
      <c r="C39" s="48" t="s">
        <v>3164</v>
      </c>
      <c r="D39" s="48">
        <v>1282.4</v>
      </c>
      <c r="E39" s="48" t="s">
        <v>53</v>
      </c>
      <c r="F39" s="48" t="s">
        <v>3165</v>
      </c>
      <c r="G39" s="48" t="s">
        <v>3166</v>
      </c>
      <c r="H39" s="48" t="s">
        <v>3167</v>
      </c>
      <c r="I39" s="51">
        <v>43631.6742824074</v>
      </c>
      <c r="J39" s="51">
        <v>43631.6777662037</v>
      </c>
      <c r="K39" s="48" t="s">
        <v>3151</v>
      </c>
      <c r="L39" s="48" t="s">
        <v>3168</v>
      </c>
      <c r="M39" s="48" t="s">
        <v>49</v>
      </c>
      <c r="O39" s="48">
        <v>6</v>
      </c>
      <c r="P39" s="48">
        <v>0</v>
      </c>
      <c r="Q39" s="51">
        <v>43635.4034375</v>
      </c>
    </row>
    <row r="40" s="48" customFormat="1" spans="1:17">
      <c r="A40" s="48" t="str">
        <f>VLOOKUP(B40,[1]天猫!$B$3:$M$259,1,FALSE)</f>
        <v>486787009219383746</v>
      </c>
      <c r="B40" s="48" t="str">
        <f>"486787009219383746"</f>
        <v>486787009219383746</v>
      </c>
      <c r="C40" s="48" t="s">
        <v>3169</v>
      </c>
      <c r="D40" s="48">
        <v>597.6</v>
      </c>
      <c r="E40" s="48" t="s">
        <v>53</v>
      </c>
      <c r="F40" s="48" t="s">
        <v>3170</v>
      </c>
      <c r="G40" s="48" t="s">
        <v>3171</v>
      </c>
      <c r="H40" s="48" t="s">
        <v>3172</v>
      </c>
      <c r="I40" s="51">
        <v>43631.4943402778</v>
      </c>
      <c r="J40" s="51">
        <v>43631.4973726852</v>
      </c>
      <c r="K40" s="48" t="s">
        <v>3027</v>
      </c>
      <c r="L40" s="48" t="s">
        <v>3173</v>
      </c>
      <c r="M40" s="48" t="s">
        <v>49</v>
      </c>
      <c r="O40" s="48">
        <v>2</v>
      </c>
      <c r="P40" s="48">
        <v>0</v>
      </c>
      <c r="Q40" s="51">
        <v>43636.6778009259</v>
      </c>
    </row>
    <row r="41" s="48" customFormat="1" spans="1:17">
      <c r="A41" s="48" t="str">
        <f>VLOOKUP(B41,[1]天猫!$B$3:$M$259,1,FALSE)</f>
        <v>486972611892735459</v>
      </c>
      <c r="B41" s="48" t="str">
        <f>"486972611892735459"</f>
        <v>486972611892735459</v>
      </c>
      <c r="C41" s="48" t="s">
        <v>3174</v>
      </c>
      <c r="D41" s="48">
        <v>1005.2</v>
      </c>
      <c r="E41" s="48" t="s">
        <v>53</v>
      </c>
      <c r="F41" s="48" t="s">
        <v>3175</v>
      </c>
      <c r="G41" s="48" t="s">
        <v>3176</v>
      </c>
      <c r="H41" s="48" t="s">
        <v>3177</v>
      </c>
      <c r="I41" s="51">
        <v>43630.9235300926</v>
      </c>
      <c r="J41" s="51">
        <v>43630.9608680556</v>
      </c>
      <c r="K41" s="48" t="s">
        <v>3058</v>
      </c>
      <c r="L41" s="48" t="s">
        <v>3178</v>
      </c>
      <c r="M41" s="48" t="s">
        <v>49</v>
      </c>
      <c r="O41" s="48">
        <v>2</v>
      </c>
      <c r="P41" s="48">
        <v>0</v>
      </c>
      <c r="Q41" s="51">
        <v>43641.6167361111</v>
      </c>
    </row>
    <row r="42" s="48" customFormat="1" spans="1:17">
      <c r="A42" s="48" t="str">
        <f>VLOOKUP(B42,[1]天猫!$B$3:$M$259,1,FALSE)</f>
        <v>486936931445797447</v>
      </c>
      <c r="B42" s="48" t="str">
        <f>"486936931445797447"</f>
        <v>486936931445797447</v>
      </c>
      <c r="C42" s="48" t="s">
        <v>3179</v>
      </c>
      <c r="D42" s="48">
        <v>597.6</v>
      </c>
      <c r="E42" s="48" t="s">
        <v>53</v>
      </c>
      <c r="F42" s="48" t="s">
        <v>3180</v>
      </c>
      <c r="G42" s="48" t="s">
        <v>3181</v>
      </c>
      <c r="H42" s="48" t="s">
        <v>3182</v>
      </c>
      <c r="I42" s="51">
        <v>43630.9112962963</v>
      </c>
      <c r="J42" s="51">
        <v>43630.915775463</v>
      </c>
      <c r="K42" s="48" t="s">
        <v>3027</v>
      </c>
      <c r="L42" s="48" t="s">
        <v>3183</v>
      </c>
      <c r="M42" s="48" t="s">
        <v>49</v>
      </c>
      <c r="O42" s="48">
        <v>2</v>
      </c>
      <c r="P42" s="48">
        <v>0</v>
      </c>
      <c r="Q42" s="51">
        <v>43641.6937268519</v>
      </c>
    </row>
    <row r="43" s="50" customFormat="1" spans="1:17">
      <c r="A43" s="48" t="e">
        <f>VLOOKUP(B43,[1]天猫!$B$3:$M$259,1,FALSE)</f>
        <v>#N/A</v>
      </c>
      <c r="B43" s="50" t="str">
        <f>"486053281503065134"</f>
        <v>486053281503065134</v>
      </c>
      <c r="C43" s="50" t="s">
        <v>3184</v>
      </c>
      <c r="D43" s="50">
        <v>298.8</v>
      </c>
      <c r="E43" s="50" t="s">
        <v>53</v>
      </c>
      <c r="F43" s="50" t="s">
        <v>3185</v>
      </c>
      <c r="G43" s="50" t="s">
        <v>3186</v>
      </c>
      <c r="H43" s="50" t="s">
        <v>3187</v>
      </c>
      <c r="I43" s="53">
        <v>43630.7485300926</v>
      </c>
      <c r="J43" s="53">
        <v>43630.7485763889</v>
      </c>
      <c r="K43" s="50" t="s">
        <v>3027</v>
      </c>
      <c r="L43" s="50" t="s">
        <v>3188</v>
      </c>
      <c r="M43" s="50" t="s">
        <v>49</v>
      </c>
      <c r="N43" s="50" t="s">
        <v>3189</v>
      </c>
      <c r="O43" s="50">
        <v>1</v>
      </c>
      <c r="P43" s="50">
        <v>0</v>
      </c>
      <c r="Q43" s="53">
        <v>43641.7099189815</v>
      </c>
    </row>
    <row r="44" s="48" customFormat="1" spans="1:17">
      <c r="A44" s="48" t="str">
        <f>VLOOKUP(B44,[1]天猫!$B$3:$M$259,1,FALSE)</f>
        <v>485739139211840572</v>
      </c>
      <c r="B44" s="48" t="str">
        <f>"485739139211840572"</f>
        <v>485739139211840572</v>
      </c>
      <c r="C44" s="48" t="s">
        <v>3190</v>
      </c>
      <c r="D44" s="48">
        <v>1005.2</v>
      </c>
      <c r="E44" s="48" t="s">
        <v>53</v>
      </c>
      <c r="F44" s="48" t="s">
        <v>3191</v>
      </c>
      <c r="G44" s="48" t="s">
        <v>3192</v>
      </c>
      <c r="H44" s="48" t="s">
        <v>3193</v>
      </c>
      <c r="I44" s="51">
        <v>43629.8951736111</v>
      </c>
      <c r="J44" s="51">
        <v>43629.91375</v>
      </c>
      <c r="K44" s="48" t="s">
        <v>3058</v>
      </c>
      <c r="L44" s="48" t="s">
        <v>3194</v>
      </c>
      <c r="M44" s="48" t="s">
        <v>49</v>
      </c>
      <c r="O44" s="48">
        <v>2</v>
      </c>
      <c r="P44" s="48">
        <v>0</v>
      </c>
      <c r="Q44" s="51">
        <v>43636.5627546296</v>
      </c>
    </row>
    <row r="45" s="48" customFormat="1" spans="1:17">
      <c r="A45" s="48" t="str">
        <f>VLOOKUP(B45,[1]天猫!$B$3:$M$259,1,FALSE)</f>
        <v>485091489463000881</v>
      </c>
      <c r="B45" s="48" t="str">
        <f>"485091489463000881"</f>
        <v>485091489463000881</v>
      </c>
      <c r="C45" s="48" t="s">
        <v>3195</v>
      </c>
      <c r="D45" s="48">
        <v>597.6</v>
      </c>
      <c r="E45" s="48" t="s">
        <v>53</v>
      </c>
      <c r="F45" s="48" t="s">
        <v>3196</v>
      </c>
      <c r="G45" s="48" t="s">
        <v>3197</v>
      </c>
      <c r="H45" s="48" t="s">
        <v>3198</v>
      </c>
      <c r="I45" s="51">
        <v>43629.8728703704</v>
      </c>
      <c r="J45" s="51">
        <v>43629.8757060185</v>
      </c>
      <c r="K45" s="48" t="s">
        <v>3027</v>
      </c>
      <c r="L45" s="48" t="s">
        <v>3199</v>
      </c>
      <c r="M45" s="48" t="s">
        <v>49</v>
      </c>
      <c r="O45" s="48">
        <v>2</v>
      </c>
      <c r="P45" s="48">
        <v>0</v>
      </c>
      <c r="Q45" s="51">
        <v>43636.6345833333</v>
      </c>
    </row>
    <row r="46" s="48" customFormat="1" spans="1:17">
      <c r="A46" s="48" t="str">
        <f>VLOOKUP(B46,[1]天猫!$B$3:$M$259,1,FALSE)</f>
        <v>305534412719562506</v>
      </c>
      <c r="B46" s="48" t="str">
        <f>"305534412719562506"</f>
        <v>305534412719562506</v>
      </c>
      <c r="C46" s="48" t="s">
        <v>3200</v>
      </c>
      <c r="D46" s="48">
        <v>838.6</v>
      </c>
      <c r="E46" s="48" t="s">
        <v>53</v>
      </c>
      <c r="F46" s="48" t="s">
        <v>3201</v>
      </c>
      <c r="G46" s="48" t="s">
        <v>3202</v>
      </c>
      <c r="H46" s="48" t="s">
        <v>3203</v>
      </c>
      <c r="I46" s="51">
        <v>43629.6194444444</v>
      </c>
      <c r="J46" s="51">
        <v>43629.6218865741</v>
      </c>
      <c r="K46" s="48" t="s">
        <v>3058</v>
      </c>
      <c r="L46" s="48" t="s">
        <v>3204</v>
      </c>
      <c r="M46" s="48" t="s">
        <v>49</v>
      </c>
      <c r="O46" s="48">
        <v>2</v>
      </c>
      <c r="P46" s="48">
        <v>0</v>
      </c>
      <c r="Q46" s="51">
        <v>43635.550150463</v>
      </c>
    </row>
    <row r="47" s="48" customFormat="1" spans="1:17">
      <c r="A47" s="48" t="str">
        <f>VLOOKUP(B47,[1]天猫!$B$3:$M$259,1,FALSE)</f>
        <v>484096963458400523</v>
      </c>
      <c r="B47" s="48" t="str">
        <f>"484096963458400523"</f>
        <v>484096963458400523</v>
      </c>
      <c r="C47" s="48" t="s">
        <v>3205</v>
      </c>
      <c r="D47" s="48">
        <v>838.6</v>
      </c>
      <c r="E47" s="48" t="s">
        <v>53</v>
      </c>
      <c r="F47" s="48" t="s">
        <v>3206</v>
      </c>
      <c r="G47" s="48" t="s">
        <v>3207</v>
      </c>
      <c r="H47" s="48" t="s">
        <v>3208</v>
      </c>
      <c r="I47" s="51">
        <v>43628.6764351852</v>
      </c>
      <c r="J47" s="51">
        <v>43628.694224537</v>
      </c>
      <c r="K47" s="48" t="s">
        <v>3058</v>
      </c>
      <c r="L47" s="48" t="s">
        <v>3209</v>
      </c>
      <c r="M47" s="48" t="s">
        <v>49</v>
      </c>
      <c r="O47" s="48">
        <v>2</v>
      </c>
      <c r="P47" s="48">
        <v>0</v>
      </c>
      <c r="Q47" s="51">
        <v>43632.6662615741</v>
      </c>
    </row>
    <row r="48" s="48" customFormat="1" spans="1:17">
      <c r="A48" s="48" t="str">
        <f>VLOOKUP(B48,[1]天猫!$B$3:$M$259,1,FALSE)</f>
        <v>483919011102852313</v>
      </c>
      <c r="B48" s="48" t="str">
        <f>"483919011102852313"</f>
        <v>483919011102852313</v>
      </c>
      <c r="C48" s="48" t="s">
        <v>3210</v>
      </c>
      <c r="D48" s="48">
        <v>597.6</v>
      </c>
      <c r="E48" s="48" t="s">
        <v>53</v>
      </c>
      <c r="F48" s="48" t="s">
        <v>3211</v>
      </c>
      <c r="G48" s="48" t="s">
        <v>3212</v>
      </c>
      <c r="H48" s="48" t="s">
        <v>3213</v>
      </c>
      <c r="I48" s="51">
        <v>43628.5873611111</v>
      </c>
      <c r="J48" s="51">
        <v>43628.5904398148</v>
      </c>
      <c r="K48" s="48" t="s">
        <v>3027</v>
      </c>
      <c r="L48" s="48" t="s">
        <v>3214</v>
      </c>
      <c r="M48" s="48" t="s">
        <v>49</v>
      </c>
      <c r="O48" s="48">
        <v>2</v>
      </c>
      <c r="P48" s="48">
        <v>0</v>
      </c>
      <c r="Q48" s="51">
        <v>43638.6701851852</v>
      </c>
    </row>
    <row r="49" s="48" customFormat="1" spans="1:17">
      <c r="A49" s="48" t="str">
        <f>VLOOKUP(B49,[1]天猫!$B$3:$M$259,1,FALSE)</f>
        <v>482925603234293871</v>
      </c>
      <c r="B49" s="48" t="str">
        <f>"482925603234293871"</f>
        <v>482925603234293871</v>
      </c>
      <c r="C49" s="48" t="s">
        <v>3215</v>
      </c>
      <c r="D49" s="48">
        <v>921.9</v>
      </c>
      <c r="E49" s="48" t="s">
        <v>53</v>
      </c>
      <c r="F49" s="48" t="s">
        <v>3216</v>
      </c>
      <c r="G49" s="48" t="s">
        <v>3217</v>
      </c>
      <c r="H49" s="48" t="s">
        <v>3218</v>
      </c>
      <c r="I49" s="51">
        <v>43627.7915856481</v>
      </c>
      <c r="J49" s="51">
        <v>43627.7945833333</v>
      </c>
      <c r="K49" s="48" t="s">
        <v>3219</v>
      </c>
      <c r="L49" s="48" t="s">
        <v>3220</v>
      </c>
      <c r="M49" s="48" t="s">
        <v>49</v>
      </c>
      <c r="O49" s="48">
        <v>2</v>
      </c>
      <c r="P49" s="48">
        <v>0</v>
      </c>
      <c r="Q49" s="51">
        <v>43636.6963657407</v>
      </c>
    </row>
    <row r="50" s="48" customFormat="1" spans="1:17">
      <c r="A50" s="48" t="str">
        <f>VLOOKUP(B50,[1]天猫!$B$3:$M$259,1,FALSE)</f>
        <v>305876015045285901</v>
      </c>
      <c r="B50" s="48" t="str">
        <f>"305876015045285901"</f>
        <v>305876015045285901</v>
      </c>
      <c r="C50" s="48" t="s">
        <v>3221</v>
      </c>
      <c r="D50" s="48">
        <v>597.6</v>
      </c>
      <c r="E50" s="48" t="s">
        <v>53</v>
      </c>
      <c r="F50" s="48" t="s">
        <v>3222</v>
      </c>
      <c r="G50" s="48" t="s">
        <v>3223</v>
      </c>
      <c r="H50" s="48" t="s">
        <v>3224</v>
      </c>
      <c r="I50" s="51">
        <v>43627.5482407407</v>
      </c>
      <c r="J50" s="51">
        <v>43627.551712963</v>
      </c>
      <c r="K50" s="48" t="s">
        <v>3027</v>
      </c>
      <c r="L50" s="48" t="s">
        <v>3225</v>
      </c>
      <c r="M50" s="48" t="s">
        <v>49</v>
      </c>
      <c r="O50" s="48">
        <v>2</v>
      </c>
      <c r="P50" s="48">
        <v>0</v>
      </c>
      <c r="Q50" s="51">
        <v>43634.905474537</v>
      </c>
    </row>
    <row r="51" s="50" customFormat="1" spans="1:17">
      <c r="A51" s="1" t="str">
        <f>VLOOKUP(B51,[1]天猫!$B$3:$M$259,1,FALSE)</f>
        <v>481000032203088781</v>
      </c>
      <c r="B51" s="50" t="str">
        <f>"481000032203088781"</f>
        <v>481000032203088781</v>
      </c>
      <c r="C51" s="50" t="s">
        <v>3226</v>
      </c>
      <c r="D51" s="50">
        <v>698.6</v>
      </c>
      <c r="E51" s="50" t="s">
        <v>53</v>
      </c>
      <c r="F51" s="50" t="s">
        <v>1920</v>
      </c>
      <c r="G51" s="50" t="s">
        <v>3227</v>
      </c>
      <c r="H51" s="50" t="s">
        <v>3228</v>
      </c>
      <c r="I51" s="53">
        <v>43626.9877893518</v>
      </c>
      <c r="J51" s="53">
        <v>43626.9887384259</v>
      </c>
      <c r="K51" s="50" t="s">
        <v>3058</v>
      </c>
      <c r="L51" s="50" t="s">
        <v>3229</v>
      </c>
      <c r="M51" s="50" t="s">
        <v>49</v>
      </c>
      <c r="N51" s="50" t="s">
        <v>3230</v>
      </c>
      <c r="O51" s="50">
        <v>2</v>
      </c>
      <c r="P51" s="50">
        <v>0</v>
      </c>
      <c r="Q51" s="53">
        <v>43637.6037847222</v>
      </c>
    </row>
    <row r="52" s="50" customFormat="1" spans="1:17">
      <c r="A52" s="48" t="e">
        <f>VLOOKUP(B52,[1]天猫!$B$3:$M$259,1,FALSE)</f>
        <v>#N/A</v>
      </c>
      <c r="B52" s="50" t="str">
        <f>"480974304725694777"</f>
        <v>480974304725694777</v>
      </c>
      <c r="C52" s="50" t="s">
        <v>3231</v>
      </c>
      <c r="D52" s="50">
        <v>1005.2</v>
      </c>
      <c r="E52" s="50" t="s">
        <v>53</v>
      </c>
      <c r="F52" s="50" t="s">
        <v>3232</v>
      </c>
      <c r="G52" s="50" t="s">
        <v>3233</v>
      </c>
      <c r="H52" s="50" t="s">
        <v>3234</v>
      </c>
      <c r="I52" s="53">
        <v>43626.9716435185</v>
      </c>
      <c r="J52" s="53">
        <v>43626.9719328704</v>
      </c>
      <c r="K52" s="50" t="s">
        <v>3058</v>
      </c>
      <c r="L52" s="50" t="s">
        <v>3235</v>
      </c>
      <c r="M52" s="50" t="s">
        <v>49</v>
      </c>
      <c r="N52" s="50" t="s">
        <v>3236</v>
      </c>
      <c r="O52" s="50">
        <v>2</v>
      </c>
      <c r="P52" s="50">
        <v>0</v>
      </c>
      <c r="Q52" s="53">
        <v>43631.7191435185</v>
      </c>
    </row>
    <row r="53" s="48" customFormat="1" spans="1:17">
      <c r="A53" s="48" t="str">
        <f>VLOOKUP(B53,[1]天猫!$B$3:$M$259,1,FALSE)</f>
        <v>480844192611647850</v>
      </c>
      <c r="B53" s="48" t="str">
        <f>"480844192611647850"</f>
        <v>480844192611647850</v>
      </c>
      <c r="C53" s="48" t="s">
        <v>3237</v>
      </c>
      <c r="D53" s="48">
        <v>1554</v>
      </c>
      <c r="E53" s="48" t="s">
        <v>53</v>
      </c>
      <c r="F53" s="48" t="s">
        <v>3238</v>
      </c>
      <c r="G53" s="48" t="s">
        <v>3239</v>
      </c>
      <c r="H53" s="48" t="s">
        <v>3240</v>
      </c>
      <c r="I53" s="51">
        <v>43626.8990856481</v>
      </c>
      <c r="J53" s="51">
        <v>43626.9199652778</v>
      </c>
      <c r="K53" s="48" t="s">
        <v>1573</v>
      </c>
      <c r="L53" s="48" t="s">
        <v>3241</v>
      </c>
      <c r="M53" s="48" t="s">
        <v>49</v>
      </c>
      <c r="O53" s="48">
        <v>3</v>
      </c>
      <c r="P53" s="48">
        <v>0</v>
      </c>
      <c r="Q53" s="51">
        <v>43637.6054282407</v>
      </c>
    </row>
    <row r="54" s="48" customFormat="1" spans="1:17">
      <c r="A54" s="48" t="str">
        <f>VLOOKUP(B54,[1]天猫!$B$3:$M$259,1,FALSE)</f>
        <v>283235141866957397</v>
      </c>
      <c r="B54" s="48" t="str">
        <f>"283235141866957397"</f>
        <v>283235141866957397</v>
      </c>
      <c r="C54" s="48" t="s">
        <v>3242</v>
      </c>
      <c r="D54" s="48">
        <v>1899</v>
      </c>
      <c r="E54" s="48" t="s">
        <v>53</v>
      </c>
      <c r="F54" s="48" t="s">
        <v>3243</v>
      </c>
      <c r="G54" s="48" t="s">
        <v>3244</v>
      </c>
      <c r="H54" s="48" t="s">
        <v>3245</v>
      </c>
      <c r="I54" s="51">
        <v>43626.8989814815</v>
      </c>
      <c r="J54" s="51">
        <v>43626.9140972222</v>
      </c>
      <c r="K54" s="48" t="s">
        <v>1357</v>
      </c>
      <c r="L54" s="48" t="s">
        <v>3246</v>
      </c>
      <c r="M54" s="48" t="s">
        <v>49</v>
      </c>
      <c r="O54" s="48">
        <v>1</v>
      </c>
      <c r="P54" s="48">
        <v>0</v>
      </c>
      <c r="Q54" s="51">
        <v>43637.6055439815</v>
      </c>
    </row>
    <row r="55" s="48" customFormat="1" spans="1:17">
      <c r="A55" s="48" t="str">
        <f>VLOOKUP(B55,[1]天猫!$B$3:$M$259,1,FALSE)</f>
        <v>479533537321335477</v>
      </c>
      <c r="B55" s="48" t="str">
        <f>"479533537321335477"</f>
        <v>479533537321335477</v>
      </c>
      <c r="C55" s="48" t="s">
        <v>3247</v>
      </c>
      <c r="D55" s="48">
        <v>1899</v>
      </c>
      <c r="E55" s="48" t="s">
        <v>53</v>
      </c>
      <c r="F55" s="48" t="s">
        <v>3248</v>
      </c>
      <c r="G55" s="48" t="s">
        <v>3249</v>
      </c>
      <c r="H55" s="48" t="s">
        <v>3250</v>
      </c>
      <c r="I55" s="51">
        <v>43625.7383912037</v>
      </c>
      <c r="J55" s="51">
        <v>43625.7505555556</v>
      </c>
      <c r="K55" s="48" t="s">
        <v>1357</v>
      </c>
      <c r="L55" s="48" t="s">
        <v>3251</v>
      </c>
      <c r="M55" s="48" t="s">
        <v>49</v>
      </c>
      <c r="O55" s="48">
        <v>1</v>
      </c>
      <c r="P55" s="48">
        <v>0</v>
      </c>
      <c r="Q55" s="51">
        <v>43631.8043287037</v>
      </c>
    </row>
    <row r="56" s="48" customFormat="1" spans="1:17">
      <c r="A56" s="48" t="str">
        <f>VLOOKUP(B56,[1]天猫!$B$3:$M$259,1,FALSE)</f>
        <v>479757251135185329</v>
      </c>
      <c r="B56" s="48" t="str">
        <f>"479757251135185329"</f>
        <v>479757251135185329</v>
      </c>
      <c r="C56" s="48" t="s">
        <v>3252</v>
      </c>
      <c r="D56" s="48">
        <v>1554</v>
      </c>
      <c r="E56" s="48" t="s">
        <v>53</v>
      </c>
      <c r="F56" s="48" t="s">
        <v>3253</v>
      </c>
      <c r="G56" s="48" t="s">
        <v>3254</v>
      </c>
      <c r="H56" s="48" t="s">
        <v>3255</v>
      </c>
      <c r="I56" s="51">
        <v>43625.5666666667</v>
      </c>
      <c r="J56" s="51">
        <v>43625.5729976852</v>
      </c>
      <c r="K56" s="48" t="s">
        <v>1573</v>
      </c>
      <c r="L56" s="48" t="s">
        <v>3256</v>
      </c>
      <c r="M56" s="48" t="s">
        <v>49</v>
      </c>
      <c r="O56" s="48">
        <v>3</v>
      </c>
      <c r="P56" s="48">
        <v>0</v>
      </c>
      <c r="Q56" s="51">
        <v>43629.8292824074</v>
      </c>
    </row>
    <row r="57" s="48" customFormat="1" spans="1:17">
      <c r="A57" s="48" t="str">
        <f>VLOOKUP(B57,[1]天猫!$B$3:$M$259,1,FALSE)</f>
        <v>478895298026756456</v>
      </c>
      <c r="B57" s="48" t="str">
        <f>"478895298026756456"</f>
        <v>478895298026756456</v>
      </c>
      <c r="C57" s="48" t="s">
        <v>3257</v>
      </c>
      <c r="D57" s="48">
        <v>1899</v>
      </c>
      <c r="E57" s="48" t="s">
        <v>53</v>
      </c>
      <c r="F57" s="48" t="s">
        <v>3258</v>
      </c>
      <c r="G57" s="48" t="s">
        <v>3259</v>
      </c>
      <c r="H57" s="48" t="s">
        <v>3260</v>
      </c>
      <c r="I57" s="51">
        <v>43624.9655324074</v>
      </c>
      <c r="J57" s="51">
        <v>43624.9656018519</v>
      </c>
      <c r="K57" s="48" t="s">
        <v>1357</v>
      </c>
      <c r="L57" s="48" t="s">
        <v>3261</v>
      </c>
      <c r="M57" s="48" t="s">
        <v>49</v>
      </c>
      <c r="O57" s="48">
        <v>1</v>
      </c>
      <c r="P57" s="48">
        <v>0</v>
      </c>
      <c r="Q57" s="51">
        <v>43635.791712963</v>
      </c>
    </row>
    <row r="58" s="48" customFormat="1" spans="1:17">
      <c r="A58" s="48" t="str">
        <f>VLOOKUP(B58,[1]天猫!$B$3:$M$259,1,FALSE)</f>
        <v>478542305149281948</v>
      </c>
      <c r="B58" s="48" t="str">
        <f>"478542305149281948"</f>
        <v>478542305149281948</v>
      </c>
      <c r="C58" s="48" t="s">
        <v>3262</v>
      </c>
      <c r="D58" s="48">
        <v>1036</v>
      </c>
      <c r="E58" s="48" t="s">
        <v>53</v>
      </c>
      <c r="F58" s="48" t="s">
        <v>3263</v>
      </c>
      <c r="G58" s="48" t="s">
        <v>3264</v>
      </c>
      <c r="H58" s="48" t="s">
        <v>3265</v>
      </c>
      <c r="I58" s="51">
        <v>43624.9438078704</v>
      </c>
      <c r="J58" s="51">
        <v>43624.9467592593</v>
      </c>
      <c r="K58" s="48" t="s">
        <v>1573</v>
      </c>
      <c r="L58" s="48" t="s">
        <v>3266</v>
      </c>
      <c r="M58" s="48" t="s">
        <v>49</v>
      </c>
      <c r="O58" s="48">
        <v>2</v>
      </c>
      <c r="P58" s="48">
        <v>0</v>
      </c>
      <c r="Q58" s="51">
        <v>43632.9214930556</v>
      </c>
    </row>
    <row r="59" s="48" customFormat="1" spans="1:17">
      <c r="A59" s="48" t="str">
        <f>VLOOKUP(B59,[1]天猫!$B$3:$M$259,1,FALSE)</f>
        <v>467769251095219212</v>
      </c>
      <c r="B59" s="48" t="str">
        <f>"467769251095219212"</f>
        <v>467769251095219212</v>
      </c>
      <c r="C59" s="48" t="s">
        <v>3267</v>
      </c>
      <c r="D59" s="48">
        <v>438.3</v>
      </c>
      <c r="E59" s="48" t="s">
        <v>53</v>
      </c>
      <c r="F59" s="48" t="s">
        <v>3268</v>
      </c>
      <c r="G59" s="48" t="s">
        <v>3269</v>
      </c>
      <c r="H59" s="48" t="s">
        <v>3270</v>
      </c>
      <c r="I59" s="51">
        <v>43617.5880787037</v>
      </c>
      <c r="J59" s="51">
        <v>43617.5897222222</v>
      </c>
      <c r="K59" s="48" t="s">
        <v>3271</v>
      </c>
      <c r="L59" s="48" t="s">
        <v>3272</v>
      </c>
      <c r="M59" s="48" t="s">
        <v>49</v>
      </c>
      <c r="O59" s="48">
        <v>1</v>
      </c>
      <c r="P59" s="48">
        <v>0</v>
      </c>
      <c r="Q59" s="51">
        <v>43621.6244675926</v>
      </c>
    </row>
    <row r="60" s="48" customFormat="1" spans="1:17">
      <c r="A60" s="48" t="str">
        <f>VLOOKUP(B60,[1]天猫!$B$3:$M$259,1,FALSE)</f>
        <v>467575171921785178</v>
      </c>
      <c r="B60" s="48" t="str">
        <f>"467575171921785178"</f>
        <v>467575171921785178</v>
      </c>
      <c r="C60" s="48" t="s">
        <v>3273</v>
      </c>
      <c r="D60" s="48">
        <v>641</v>
      </c>
      <c r="E60" s="48" t="s">
        <v>53</v>
      </c>
      <c r="F60" s="48" t="s">
        <v>3274</v>
      </c>
      <c r="G60" s="48" t="s">
        <v>3275</v>
      </c>
      <c r="H60" s="48" t="s">
        <v>3276</v>
      </c>
      <c r="I60" s="51">
        <v>43617.514849537</v>
      </c>
      <c r="J60" s="51">
        <v>43617.5181018518</v>
      </c>
      <c r="K60" s="48" t="s">
        <v>3005</v>
      </c>
      <c r="L60" s="48" t="s">
        <v>3277</v>
      </c>
      <c r="M60" s="48" t="s">
        <v>49</v>
      </c>
      <c r="O60" s="48">
        <v>1</v>
      </c>
      <c r="P60" s="48">
        <v>0</v>
      </c>
      <c r="Q60" s="51">
        <v>43623.7298032407</v>
      </c>
    </row>
    <row r="61" s="48" customFormat="1" spans="1:17">
      <c r="A61" s="48" t="e">
        <f>VLOOKUP(B61,[1]天猫!$B$3:$M$259,1,FALSE)</f>
        <v>#N/A</v>
      </c>
      <c r="B61" s="48" t="str">
        <f>"466496803756194778"</f>
        <v>466496803756194778</v>
      </c>
      <c r="C61" s="48" t="s">
        <v>3278</v>
      </c>
      <c r="D61" s="48">
        <v>571</v>
      </c>
      <c r="E61" s="48" t="s">
        <v>53</v>
      </c>
      <c r="F61" s="48" t="s">
        <v>3279</v>
      </c>
      <c r="G61" s="48" t="s">
        <v>3280</v>
      </c>
      <c r="H61" s="48" t="s">
        <v>3281</v>
      </c>
      <c r="I61" s="51">
        <v>43617.0166435185</v>
      </c>
      <c r="J61" s="51">
        <v>43617.0168981481</v>
      </c>
      <c r="K61" s="48" t="s">
        <v>3005</v>
      </c>
      <c r="L61" s="48" t="s">
        <v>3282</v>
      </c>
      <c r="M61" s="48" t="s">
        <v>49</v>
      </c>
      <c r="O61" s="48">
        <v>1</v>
      </c>
      <c r="P61" s="48">
        <v>0</v>
      </c>
      <c r="Q61" s="51">
        <v>43626.6266898148</v>
      </c>
    </row>
  </sheetData>
  <autoFilter ref="A5:XDM61">
    <extLst/>
  </autoFilter>
  <mergeCells count="2">
    <mergeCell ref="B1:J1"/>
    <mergeCell ref="B2:B3"/>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20"/>
  <sheetViews>
    <sheetView topLeftCell="A92" workbookViewId="0">
      <selection activeCell="K3" sqref="K3"/>
    </sheetView>
  </sheetViews>
  <sheetFormatPr defaultColWidth="9" defaultRowHeight="13.5"/>
  <cols>
    <col min="1" max="1" width="8.875" customWidth="1"/>
    <col min="2" max="2" width="9.375" customWidth="1"/>
    <col min="3" max="3" width="11.875" customWidth="1"/>
    <col min="4" max="4" width="8.875" customWidth="1"/>
    <col min="5" max="5" width="21.5" customWidth="1"/>
    <col min="6" max="6" width="7.75" customWidth="1"/>
    <col min="7" max="7" width="10.375" customWidth="1"/>
    <col min="8" max="8" width="12.375" customWidth="1"/>
    <col min="9" max="9" width="2.5" customWidth="1"/>
    <col min="14" max="14" width="9.375"/>
  </cols>
  <sheetData>
    <row r="1" s="1" customFormat="1" ht="34" customHeight="1" spans="1:13">
      <c r="A1" s="3" t="s">
        <v>17</v>
      </c>
      <c r="B1" s="4"/>
      <c r="C1" s="4"/>
      <c r="D1" s="4"/>
      <c r="E1" s="4"/>
      <c r="F1" s="4"/>
      <c r="G1" s="4"/>
      <c r="H1" s="4"/>
      <c r="I1" s="24"/>
      <c r="J1" s="25"/>
      <c r="K1" s="25"/>
      <c r="L1" s="25"/>
      <c r="M1" s="1" t="s">
        <v>18</v>
      </c>
    </row>
    <row r="2" s="1" customFormat="1" ht="21" customHeight="1" spans="1:12">
      <c r="A2" s="5" t="s">
        <v>19</v>
      </c>
      <c r="B2" s="6" t="s">
        <v>20</v>
      </c>
      <c r="C2" s="7">
        <v>1280</v>
      </c>
      <c r="D2" s="8" t="s">
        <v>21</v>
      </c>
      <c r="E2" s="7">
        <v>503</v>
      </c>
      <c r="F2" s="9" t="s">
        <v>22</v>
      </c>
      <c r="G2" s="7">
        <v>100080.98</v>
      </c>
      <c r="H2" s="10" t="s">
        <v>23</v>
      </c>
      <c r="I2" s="7">
        <v>0</v>
      </c>
      <c r="J2" s="25"/>
      <c r="K2" s="25"/>
      <c r="L2" s="25"/>
    </row>
    <row r="3" s="1" customFormat="1" ht="21" customHeight="1" spans="1:12">
      <c r="A3" s="11"/>
      <c r="B3" s="12" t="s">
        <v>24</v>
      </c>
      <c r="C3" s="13"/>
      <c r="D3" s="14"/>
      <c r="E3" s="15"/>
      <c r="F3" s="16"/>
      <c r="G3" s="15"/>
      <c r="H3" s="17"/>
      <c r="I3" s="15"/>
      <c r="K3" s="25"/>
      <c r="L3" s="25"/>
    </row>
    <row r="4" s="2" customFormat="1" ht="21" customHeight="1" spans="1:9">
      <c r="A4" s="18" t="s">
        <v>16</v>
      </c>
      <c r="B4" s="19" t="s">
        <v>4</v>
      </c>
      <c r="C4" s="20">
        <f t="shared" ref="C4:G4" si="0">C3+C2</f>
        <v>1280</v>
      </c>
      <c r="D4" s="21" t="s">
        <v>5</v>
      </c>
      <c r="E4" s="20">
        <f t="shared" si="0"/>
        <v>503</v>
      </c>
      <c r="F4" s="22" t="s">
        <v>22</v>
      </c>
      <c r="G4" s="20">
        <f t="shared" si="0"/>
        <v>100080.98</v>
      </c>
      <c r="H4" s="23" t="s">
        <v>23</v>
      </c>
      <c r="I4" s="20">
        <f>I3+I2</f>
        <v>0</v>
      </c>
    </row>
    <row r="5" customHeight="1" spans="1:23">
      <c r="A5" s="29" t="s">
        <v>25</v>
      </c>
      <c r="B5" s="29" t="s">
        <v>26</v>
      </c>
      <c r="C5" s="29" t="s">
        <v>3283</v>
      </c>
      <c r="D5" s="29" t="s">
        <v>28</v>
      </c>
      <c r="E5" s="29" t="s">
        <v>32</v>
      </c>
      <c r="F5" s="29" t="s">
        <v>3284</v>
      </c>
      <c r="G5" s="29" t="s">
        <v>3285</v>
      </c>
      <c r="H5" s="29" t="s">
        <v>29</v>
      </c>
      <c r="I5" s="29" t="s">
        <v>3286</v>
      </c>
      <c r="J5" s="29" t="s">
        <v>3287</v>
      </c>
      <c r="K5" s="29" t="s">
        <v>2446</v>
      </c>
      <c r="L5" s="29" t="s">
        <v>31</v>
      </c>
      <c r="M5" s="29" t="s">
        <v>3288</v>
      </c>
      <c r="N5" s="29" t="s">
        <v>3289</v>
      </c>
      <c r="O5" s="29" t="s">
        <v>3290</v>
      </c>
      <c r="P5" s="29" t="s">
        <v>3291</v>
      </c>
      <c r="Q5" s="29" t="s">
        <v>2451</v>
      </c>
      <c r="R5" s="29" t="s">
        <v>3292</v>
      </c>
      <c r="S5" s="29" t="s">
        <v>3293</v>
      </c>
      <c r="T5" s="29" t="s">
        <v>3294</v>
      </c>
      <c r="U5" s="29" t="s">
        <v>3295</v>
      </c>
      <c r="V5" s="29" t="s">
        <v>3296</v>
      </c>
      <c r="W5" s="29" t="s">
        <v>3297</v>
      </c>
    </row>
    <row r="6" s="26" customFormat="1" customHeight="1" spans="1:23">
      <c r="A6" s="30" t="s">
        <v>3298</v>
      </c>
      <c r="B6" s="31" t="s">
        <v>3299</v>
      </c>
      <c r="C6" s="32">
        <v>548</v>
      </c>
      <c r="D6" s="31" t="s">
        <v>53</v>
      </c>
      <c r="E6" s="33">
        <v>43642.8439930555</v>
      </c>
      <c r="F6" s="33">
        <v>43642.8462152778</v>
      </c>
      <c r="G6" s="31" t="s">
        <v>3300</v>
      </c>
      <c r="H6" s="31" t="s">
        <v>3301</v>
      </c>
      <c r="I6" s="34" t="s">
        <v>3302</v>
      </c>
      <c r="J6" s="31" t="s">
        <v>3303</v>
      </c>
      <c r="K6" s="31" t="s">
        <v>3304</v>
      </c>
      <c r="L6" s="31" t="s">
        <v>3305</v>
      </c>
      <c r="M6" s="34" t="s">
        <v>3306</v>
      </c>
      <c r="N6" s="32">
        <v>568</v>
      </c>
      <c r="O6" s="35">
        <v>1</v>
      </c>
      <c r="P6" s="31" t="s">
        <v>3307</v>
      </c>
      <c r="Q6" s="31" t="s">
        <v>3308</v>
      </c>
      <c r="R6" s="31" t="s">
        <v>3304</v>
      </c>
      <c r="S6" s="31" t="s">
        <v>3304</v>
      </c>
      <c r="T6" s="31" t="s">
        <v>3304</v>
      </c>
      <c r="U6" s="35">
        <v>1</v>
      </c>
      <c r="V6" s="34" t="s">
        <v>3304</v>
      </c>
      <c r="W6" s="34" t="s">
        <v>3309</v>
      </c>
    </row>
    <row r="7" s="26" customFormat="1" customHeight="1" spans="1:23">
      <c r="A7" s="30" t="s">
        <v>3310</v>
      </c>
      <c r="B7" s="31" t="s">
        <v>3311</v>
      </c>
      <c r="C7" s="32">
        <v>2936</v>
      </c>
      <c r="D7" s="31" t="s">
        <v>53</v>
      </c>
      <c r="E7" s="33">
        <v>43642.8123032407</v>
      </c>
      <c r="F7" s="33">
        <v>43642.815</v>
      </c>
      <c r="G7" s="31" t="s">
        <v>3300</v>
      </c>
      <c r="H7" s="31" t="s">
        <v>3312</v>
      </c>
      <c r="I7" s="34" t="s">
        <v>3313</v>
      </c>
      <c r="J7" s="31" t="s">
        <v>3304</v>
      </c>
      <c r="K7" s="31" t="s">
        <v>3304</v>
      </c>
      <c r="L7" s="31" t="s">
        <v>3314</v>
      </c>
      <c r="M7" s="34" t="s">
        <v>3315</v>
      </c>
      <c r="N7" s="32">
        <v>2966</v>
      </c>
      <c r="O7" s="35">
        <v>1</v>
      </c>
      <c r="P7" s="31" t="s">
        <v>3316</v>
      </c>
      <c r="Q7" s="31" t="s">
        <v>3317</v>
      </c>
      <c r="R7" s="31" t="s">
        <v>3304</v>
      </c>
      <c r="S7" s="31" t="s">
        <v>3304</v>
      </c>
      <c r="T7" s="31" t="s">
        <v>3304</v>
      </c>
      <c r="U7" s="35">
        <v>1</v>
      </c>
      <c r="V7" s="34" t="s">
        <v>3304</v>
      </c>
      <c r="W7" s="34" t="s">
        <v>3318</v>
      </c>
    </row>
    <row r="8" s="26" customFormat="1" customHeight="1" spans="1:23">
      <c r="A8" s="30" t="s">
        <v>3319</v>
      </c>
      <c r="B8" s="31" t="s">
        <v>3320</v>
      </c>
      <c r="C8" s="32">
        <v>548</v>
      </c>
      <c r="D8" s="31" t="s">
        <v>53</v>
      </c>
      <c r="E8" s="33">
        <v>43641.8409027778</v>
      </c>
      <c r="F8" s="33">
        <v>43641.844837963</v>
      </c>
      <c r="G8" s="31" t="s">
        <v>3300</v>
      </c>
      <c r="H8" s="31" t="s">
        <v>3321</v>
      </c>
      <c r="I8" s="34" t="s">
        <v>3322</v>
      </c>
      <c r="J8" s="31" t="s">
        <v>3323</v>
      </c>
      <c r="K8" s="31" t="s">
        <v>3304</v>
      </c>
      <c r="L8" s="31" t="s">
        <v>3324</v>
      </c>
      <c r="M8" s="34" t="s">
        <v>3306</v>
      </c>
      <c r="N8" s="32">
        <v>568</v>
      </c>
      <c r="O8" s="35">
        <v>1</v>
      </c>
      <c r="P8" s="31" t="s">
        <v>3307</v>
      </c>
      <c r="Q8" s="31" t="s">
        <v>3308</v>
      </c>
      <c r="R8" s="31" t="s">
        <v>3304</v>
      </c>
      <c r="S8" s="31" t="s">
        <v>3304</v>
      </c>
      <c r="T8" s="31" t="s">
        <v>3304</v>
      </c>
      <c r="U8" s="35">
        <v>1</v>
      </c>
      <c r="V8" s="34" t="s">
        <v>3304</v>
      </c>
      <c r="W8" s="34" t="s">
        <v>3325</v>
      </c>
    </row>
    <row r="9" s="26" customFormat="1" customHeight="1" spans="1:23">
      <c r="A9" s="30" t="s">
        <v>3326</v>
      </c>
      <c r="B9" s="31" t="s">
        <v>3327</v>
      </c>
      <c r="C9" s="32">
        <v>2946</v>
      </c>
      <c r="D9" s="31" t="s">
        <v>53</v>
      </c>
      <c r="E9" s="33">
        <v>43641.8212152778</v>
      </c>
      <c r="F9" s="33">
        <v>43641.8234837963</v>
      </c>
      <c r="G9" s="31" t="s">
        <v>3300</v>
      </c>
      <c r="H9" s="31" t="s">
        <v>3328</v>
      </c>
      <c r="I9" s="34" t="s">
        <v>3313</v>
      </c>
      <c r="J9" s="31" t="s">
        <v>3304</v>
      </c>
      <c r="K9" s="31" t="s">
        <v>3304</v>
      </c>
      <c r="L9" s="31" t="s">
        <v>3329</v>
      </c>
      <c r="M9" s="34" t="s">
        <v>3315</v>
      </c>
      <c r="N9" s="32">
        <v>2966</v>
      </c>
      <c r="O9" s="35">
        <v>1</v>
      </c>
      <c r="P9" s="31" t="s">
        <v>3316</v>
      </c>
      <c r="Q9" s="31" t="s">
        <v>3317</v>
      </c>
      <c r="R9" s="31" t="s">
        <v>3304</v>
      </c>
      <c r="S9" s="31" t="s">
        <v>3304</v>
      </c>
      <c r="T9" s="31" t="s">
        <v>3304</v>
      </c>
      <c r="U9" s="35">
        <v>1</v>
      </c>
      <c r="V9" s="34" t="s">
        <v>3304</v>
      </c>
      <c r="W9" s="34" t="s">
        <v>3330</v>
      </c>
    </row>
    <row r="10" s="26" customFormat="1" customHeight="1" spans="1:23">
      <c r="A10" s="30" t="s">
        <v>3331</v>
      </c>
      <c r="B10" s="31" t="s">
        <v>3332</v>
      </c>
      <c r="C10" s="32">
        <v>2966</v>
      </c>
      <c r="D10" s="31" t="s">
        <v>53</v>
      </c>
      <c r="E10" s="33">
        <v>43640.8873032407</v>
      </c>
      <c r="F10" s="33">
        <v>43640.8909375</v>
      </c>
      <c r="G10" s="31" t="s">
        <v>3300</v>
      </c>
      <c r="H10" s="31" t="s">
        <v>3333</v>
      </c>
      <c r="I10" s="34" t="s">
        <v>3334</v>
      </c>
      <c r="J10" s="31" t="s">
        <v>3335</v>
      </c>
      <c r="K10" s="31" t="s">
        <v>3304</v>
      </c>
      <c r="L10" s="31" t="s">
        <v>3336</v>
      </c>
      <c r="M10" s="34" t="s">
        <v>3315</v>
      </c>
      <c r="N10" s="32">
        <v>2966</v>
      </c>
      <c r="O10" s="35">
        <v>1</v>
      </c>
      <c r="P10" s="31" t="s">
        <v>3316</v>
      </c>
      <c r="Q10" s="31" t="s">
        <v>3317</v>
      </c>
      <c r="R10" s="31" t="s">
        <v>3304</v>
      </c>
      <c r="S10" s="31" t="s">
        <v>3304</v>
      </c>
      <c r="T10" s="31" t="s">
        <v>3304</v>
      </c>
      <c r="U10" s="35">
        <v>1</v>
      </c>
      <c r="V10" s="34" t="s">
        <v>3304</v>
      </c>
      <c r="W10" s="34" t="s">
        <v>3337</v>
      </c>
    </row>
    <row r="11" s="26" customFormat="1" customHeight="1" spans="1:23">
      <c r="A11" s="30" t="s">
        <v>3338</v>
      </c>
      <c r="B11" s="31" t="s">
        <v>3339</v>
      </c>
      <c r="C11" s="32">
        <v>548</v>
      </c>
      <c r="D11" s="31" t="s">
        <v>53</v>
      </c>
      <c r="E11" s="33">
        <v>43640.8819097222</v>
      </c>
      <c r="F11" s="33">
        <v>43640.9242939815</v>
      </c>
      <c r="G11" s="31" t="s">
        <v>3300</v>
      </c>
      <c r="H11" s="31" t="s">
        <v>3340</v>
      </c>
      <c r="I11" s="34" t="s">
        <v>3341</v>
      </c>
      <c r="J11" s="31" t="s">
        <v>3342</v>
      </c>
      <c r="K11" s="31" t="s">
        <v>3304</v>
      </c>
      <c r="L11" s="31" t="s">
        <v>3343</v>
      </c>
      <c r="M11" s="34" t="s">
        <v>3306</v>
      </c>
      <c r="N11" s="32">
        <v>568</v>
      </c>
      <c r="O11" s="35">
        <v>1</v>
      </c>
      <c r="P11" s="31" t="s">
        <v>3307</v>
      </c>
      <c r="Q11" s="31" t="s">
        <v>3308</v>
      </c>
      <c r="R11" s="31" t="s">
        <v>3304</v>
      </c>
      <c r="S11" s="31" t="s">
        <v>3304</v>
      </c>
      <c r="T11" s="31" t="s">
        <v>3304</v>
      </c>
      <c r="U11" s="35">
        <v>1</v>
      </c>
      <c r="V11" s="34" t="s">
        <v>3304</v>
      </c>
      <c r="W11" s="34" t="s">
        <v>3344</v>
      </c>
    </row>
    <row r="12" s="26" customFormat="1" customHeight="1" spans="1:23">
      <c r="A12" s="30" t="s">
        <v>3345</v>
      </c>
      <c r="B12" s="31" t="s">
        <v>3346</v>
      </c>
      <c r="C12" s="32">
        <v>605.64</v>
      </c>
      <c r="D12" s="31" t="s">
        <v>53</v>
      </c>
      <c r="E12" s="33">
        <v>43640.8720833333</v>
      </c>
      <c r="F12" s="33">
        <v>43640.8784953704</v>
      </c>
      <c r="G12" s="31" t="s">
        <v>3300</v>
      </c>
      <c r="H12" s="31" t="s">
        <v>3347</v>
      </c>
      <c r="I12" s="34" t="s">
        <v>3348</v>
      </c>
      <c r="J12" s="31" t="s">
        <v>3304</v>
      </c>
      <c r="K12" s="31" t="s">
        <v>3304</v>
      </c>
      <c r="L12" s="31" t="s">
        <v>3349</v>
      </c>
      <c r="M12" s="34" t="s">
        <v>3350</v>
      </c>
      <c r="N12" s="32">
        <v>618</v>
      </c>
      <c r="O12" s="35">
        <v>1</v>
      </c>
      <c r="P12" s="31" t="s">
        <v>3307</v>
      </c>
      <c r="Q12" s="31" t="s">
        <v>3308</v>
      </c>
      <c r="R12" s="31" t="s">
        <v>3304</v>
      </c>
      <c r="S12" s="31" t="s">
        <v>3304</v>
      </c>
      <c r="T12" s="31" t="s">
        <v>3304</v>
      </c>
      <c r="U12" s="35">
        <v>1</v>
      </c>
      <c r="V12" s="34" t="s">
        <v>3304</v>
      </c>
      <c r="W12" s="34" t="s">
        <v>3351</v>
      </c>
    </row>
    <row r="13" s="26" customFormat="1" customHeight="1" spans="1:23">
      <c r="A13" s="30" t="s">
        <v>3352</v>
      </c>
      <c r="B13" s="31" t="s">
        <v>3353</v>
      </c>
      <c r="C13" s="32">
        <v>598</v>
      </c>
      <c r="D13" s="31" t="s">
        <v>53</v>
      </c>
      <c r="E13" s="33">
        <v>43639.8476388889</v>
      </c>
      <c r="F13" s="33">
        <v>43639.8574768518</v>
      </c>
      <c r="G13" s="31" t="s">
        <v>3300</v>
      </c>
      <c r="H13" s="31" t="s">
        <v>3354</v>
      </c>
      <c r="I13" s="34" t="s">
        <v>3355</v>
      </c>
      <c r="J13" s="31" t="s">
        <v>3304</v>
      </c>
      <c r="K13" s="31" t="s">
        <v>3304</v>
      </c>
      <c r="L13" s="31" t="s">
        <v>3356</v>
      </c>
      <c r="M13" s="34" t="s">
        <v>3350</v>
      </c>
      <c r="N13" s="32">
        <v>618</v>
      </c>
      <c r="O13" s="35">
        <v>1</v>
      </c>
      <c r="P13" s="31" t="s">
        <v>3307</v>
      </c>
      <c r="Q13" s="31" t="s">
        <v>3308</v>
      </c>
      <c r="R13" s="31" t="s">
        <v>3304</v>
      </c>
      <c r="S13" s="31" t="s">
        <v>3304</v>
      </c>
      <c r="T13" s="31" t="s">
        <v>3304</v>
      </c>
      <c r="U13" s="35">
        <v>1</v>
      </c>
      <c r="V13" s="34" t="s">
        <v>3304</v>
      </c>
      <c r="W13" s="34" t="s">
        <v>3357</v>
      </c>
    </row>
    <row r="14" s="26" customFormat="1" customHeight="1" spans="1:23">
      <c r="A14" s="30" t="s">
        <v>3358</v>
      </c>
      <c r="B14" s="31" t="s">
        <v>3359</v>
      </c>
      <c r="C14" s="32">
        <v>548</v>
      </c>
      <c r="D14" s="31" t="s">
        <v>53</v>
      </c>
      <c r="E14" s="33">
        <v>43639.8073958333</v>
      </c>
      <c r="F14" s="33">
        <v>43639.8105208333</v>
      </c>
      <c r="G14" s="31" t="s">
        <v>3300</v>
      </c>
      <c r="H14" s="31" t="s">
        <v>3360</v>
      </c>
      <c r="I14" s="34" t="s">
        <v>3361</v>
      </c>
      <c r="J14" s="31" t="s">
        <v>3362</v>
      </c>
      <c r="K14" s="31" t="s">
        <v>3304</v>
      </c>
      <c r="L14" s="31" t="s">
        <v>3363</v>
      </c>
      <c r="M14" s="34" t="s">
        <v>3306</v>
      </c>
      <c r="N14" s="32">
        <v>568</v>
      </c>
      <c r="O14" s="35">
        <v>1</v>
      </c>
      <c r="P14" s="31" t="s">
        <v>3307</v>
      </c>
      <c r="Q14" s="31" t="s">
        <v>3308</v>
      </c>
      <c r="R14" s="31" t="s">
        <v>3304</v>
      </c>
      <c r="S14" s="31" t="s">
        <v>3304</v>
      </c>
      <c r="T14" s="31" t="s">
        <v>3304</v>
      </c>
      <c r="U14" s="35">
        <v>1</v>
      </c>
      <c r="V14" s="34" t="s">
        <v>3304</v>
      </c>
      <c r="W14" s="34" t="s">
        <v>3364</v>
      </c>
    </row>
    <row r="15" s="26" customFormat="1" customHeight="1" spans="1:23">
      <c r="A15" s="30" t="s">
        <v>3365</v>
      </c>
      <c r="B15" s="31" t="s">
        <v>3366</v>
      </c>
      <c r="C15" s="32">
        <v>2946</v>
      </c>
      <c r="D15" s="31" t="s">
        <v>53</v>
      </c>
      <c r="E15" s="33">
        <v>43639.8037962963</v>
      </c>
      <c r="F15" s="33">
        <v>43639.8067592593</v>
      </c>
      <c r="G15" s="31" t="s">
        <v>3300</v>
      </c>
      <c r="H15" s="31" t="s">
        <v>3367</v>
      </c>
      <c r="I15" s="34" t="s">
        <v>3368</v>
      </c>
      <c r="J15" s="31" t="s">
        <v>3335</v>
      </c>
      <c r="K15" s="31" t="s">
        <v>3304</v>
      </c>
      <c r="L15" s="31" t="s">
        <v>3369</v>
      </c>
      <c r="M15" s="34" t="s">
        <v>3370</v>
      </c>
      <c r="N15" s="32">
        <v>2966</v>
      </c>
      <c r="O15" s="35">
        <v>1</v>
      </c>
      <c r="P15" s="31" t="s">
        <v>3316</v>
      </c>
      <c r="Q15" s="31" t="s">
        <v>3317</v>
      </c>
      <c r="R15" s="31" t="s">
        <v>3304</v>
      </c>
      <c r="S15" s="31" t="s">
        <v>3304</v>
      </c>
      <c r="T15" s="31" t="s">
        <v>3304</v>
      </c>
      <c r="U15" s="35">
        <v>1</v>
      </c>
      <c r="V15" s="34" t="s">
        <v>3304</v>
      </c>
      <c r="W15" s="34" t="s">
        <v>3371</v>
      </c>
    </row>
    <row r="16" s="26" customFormat="1" customHeight="1" spans="1:23">
      <c r="A16" s="30" t="s">
        <v>3372</v>
      </c>
      <c r="B16" s="31" t="s">
        <v>3373</v>
      </c>
      <c r="C16" s="32">
        <v>568</v>
      </c>
      <c r="D16" s="31" t="s">
        <v>53</v>
      </c>
      <c r="E16" s="33">
        <v>43638.7509606481</v>
      </c>
      <c r="F16" s="33">
        <v>43638.7575462963</v>
      </c>
      <c r="G16" s="31" t="s">
        <v>3300</v>
      </c>
      <c r="H16" s="31" t="s">
        <v>3374</v>
      </c>
      <c r="I16" s="34" t="s">
        <v>3375</v>
      </c>
      <c r="J16" s="31" t="s">
        <v>3376</v>
      </c>
      <c r="K16" s="31" t="s">
        <v>3304</v>
      </c>
      <c r="L16" s="31" t="s">
        <v>3377</v>
      </c>
      <c r="M16" s="34" t="s">
        <v>3306</v>
      </c>
      <c r="N16" s="32">
        <v>568</v>
      </c>
      <c r="O16" s="35">
        <v>1</v>
      </c>
      <c r="P16" s="31" t="s">
        <v>3307</v>
      </c>
      <c r="Q16" s="31" t="s">
        <v>3308</v>
      </c>
      <c r="R16" s="31" t="s">
        <v>3304</v>
      </c>
      <c r="S16" s="31" t="s">
        <v>3304</v>
      </c>
      <c r="T16" s="31" t="s">
        <v>3304</v>
      </c>
      <c r="U16" s="35">
        <v>1</v>
      </c>
      <c r="V16" s="34" t="s">
        <v>3304</v>
      </c>
      <c r="W16" s="34" t="s">
        <v>3378</v>
      </c>
    </row>
    <row r="17" s="26" customFormat="1" customHeight="1" spans="1:23">
      <c r="A17" s="30" t="s">
        <v>3379</v>
      </c>
      <c r="B17" s="31" t="s">
        <v>3380</v>
      </c>
      <c r="C17" s="32">
        <v>598</v>
      </c>
      <c r="D17" s="31" t="s">
        <v>53</v>
      </c>
      <c r="E17" s="33">
        <v>43638.7461342593</v>
      </c>
      <c r="F17" s="33">
        <v>43638.7495601852</v>
      </c>
      <c r="G17" s="31" t="s">
        <v>3300</v>
      </c>
      <c r="H17" s="31" t="s">
        <v>3381</v>
      </c>
      <c r="I17" s="34" t="s">
        <v>3382</v>
      </c>
      <c r="J17" s="31" t="s">
        <v>3383</v>
      </c>
      <c r="K17" s="31" t="s">
        <v>3304</v>
      </c>
      <c r="L17" s="31" t="s">
        <v>3384</v>
      </c>
      <c r="M17" s="34" t="s">
        <v>3350</v>
      </c>
      <c r="N17" s="32">
        <v>618</v>
      </c>
      <c r="O17" s="35">
        <v>1</v>
      </c>
      <c r="P17" s="31" t="s">
        <v>3307</v>
      </c>
      <c r="Q17" s="31" t="s">
        <v>3308</v>
      </c>
      <c r="R17" s="31" t="s">
        <v>3304</v>
      </c>
      <c r="S17" s="31" t="s">
        <v>3304</v>
      </c>
      <c r="T17" s="31" t="s">
        <v>3304</v>
      </c>
      <c r="U17" s="35">
        <v>1</v>
      </c>
      <c r="V17" s="34" t="s">
        <v>3304</v>
      </c>
      <c r="W17" s="34" t="s">
        <v>3385</v>
      </c>
    </row>
    <row r="18" s="26" customFormat="1" customHeight="1" spans="1:23">
      <c r="A18" s="30" t="s">
        <v>3386</v>
      </c>
      <c r="B18" s="31" t="s">
        <v>3387</v>
      </c>
      <c r="C18" s="32">
        <v>436</v>
      </c>
      <c r="D18" s="31" t="s">
        <v>53</v>
      </c>
      <c r="E18" s="33">
        <v>43638.7048611111</v>
      </c>
      <c r="F18" s="33">
        <v>43638.7091087963</v>
      </c>
      <c r="G18" s="31" t="s">
        <v>3300</v>
      </c>
      <c r="H18" s="31" t="s">
        <v>3388</v>
      </c>
      <c r="I18" s="34" t="s">
        <v>3389</v>
      </c>
      <c r="J18" s="31" t="s">
        <v>3383</v>
      </c>
      <c r="K18" s="31" t="s">
        <v>3304</v>
      </c>
      <c r="L18" s="31" t="s">
        <v>3390</v>
      </c>
      <c r="M18" s="34" t="s">
        <v>3391</v>
      </c>
      <c r="N18" s="32">
        <v>456</v>
      </c>
      <c r="O18" s="35">
        <v>1</v>
      </c>
      <c r="P18" s="31" t="s">
        <v>3307</v>
      </c>
      <c r="Q18" s="31" t="s">
        <v>3392</v>
      </c>
      <c r="R18" s="31" t="s">
        <v>3304</v>
      </c>
      <c r="S18" s="31" t="s">
        <v>3304</v>
      </c>
      <c r="T18" s="31" t="s">
        <v>3304</v>
      </c>
      <c r="U18" s="35">
        <v>1</v>
      </c>
      <c r="V18" s="34" t="s">
        <v>3304</v>
      </c>
      <c r="W18" s="34" t="s">
        <v>3393</v>
      </c>
    </row>
    <row r="19" s="26" customFormat="1" customHeight="1" spans="1:23">
      <c r="A19" s="30" t="s">
        <v>3394</v>
      </c>
      <c r="B19" s="31" t="s">
        <v>3395</v>
      </c>
      <c r="C19" s="32">
        <v>538</v>
      </c>
      <c r="D19" s="31" t="s">
        <v>53</v>
      </c>
      <c r="E19" s="33">
        <v>43638.6775231482</v>
      </c>
      <c r="F19" s="33">
        <v>43638.6815972222</v>
      </c>
      <c r="G19" s="31" t="s">
        <v>3300</v>
      </c>
      <c r="H19" s="31" t="s">
        <v>3396</v>
      </c>
      <c r="I19" s="34" t="s">
        <v>3397</v>
      </c>
      <c r="J19" s="31" t="s">
        <v>3335</v>
      </c>
      <c r="K19" s="31" t="s">
        <v>3304</v>
      </c>
      <c r="L19" s="31" t="s">
        <v>3398</v>
      </c>
      <c r="M19" s="34" t="s">
        <v>3306</v>
      </c>
      <c r="N19" s="32">
        <v>568</v>
      </c>
      <c r="O19" s="35">
        <v>1</v>
      </c>
      <c r="P19" s="31" t="s">
        <v>3307</v>
      </c>
      <c r="Q19" s="31" t="s">
        <v>3308</v>
      </c>
      <c r="R19" s="31" t="s">
        <v>3304</v>
      </c>
      <c r="S19" s="31" t="s">
        <v>3304</v>
      </c>
      <c r="T19" s="31" t="s">
        <v>3304</v>
      </c>
      <c r="U19" s="35">
        <v>1</v>
      </c>
      <c r="V19" s="34" t="s">
        <v>3304</v>
      </c>
      <c r="W19" s="34" t="s">
        <v>3399</v>
      </c>
    </row>
    <row r="20" s="26" customFormat="1" customHeight="1" spans="1:23">
      <c r="A20" s="30" t="s">
        <v>3400</v>
      </c>
      <c r="B20" s="31" t="s">
        <v>3401</v>
      </c>
      <c r="C20" s="32">
        <v>2946</v>
      </c>
      <c r="D20" s="31" t="s">
        <v>53</v>
      </c>
      <c r="E20" s="33">
        <v>43638.6597916667</v>
      </c>
      <c r="F20" s="33">
        <v>43638.6729050926</v>
      </c>
      <c r="G20" s="31" t="s">
        <v>3300</v>
      </c>
      <c r="H20" s="31" t="s">
        <v>3402</v>
      </c>
      <c r="I20" s="34" t="s">
        <v>3403</v>
      </c>
      <c r="J20" s="31" t="s">
        <v>3304</v>
      </c>
      <c r="K20" s="31" t="s">
        <v>3304</v>
      </c>
      <c r="L20" s="31" t="s">
        <v>3404</v>
      </c>
      <c r="M20" s="34" t="s">
        <v>3405</v>
      </c>
      <c r="N20" s="32">
        <v>2966</v>
      </c>
      <c r="O20" s="35">
        <v>1</v>
      </c>
      <c r="P20" s="31" t="s">
        <v>3406</v>
      </c>
      <c r="Q20" s="31" t="s">
        <v>3407</v>
      </c>
      <c r="R20" s="31" t="s">
        <v>3407</v>
      </c>
      <c r="S20" s="31" t="s">
        <v>3304</v>
      </c>
      <c r="T20" s="31" t="s">
        <v>3407</v>
      </c>
      <c r="U20" s="35">
        <v>1</v>
      </c>
      <c r="V20" s="34" t="s">
        <v>3304</v>
      </c>
      <c r="W20" s="34" t="s">
        <v>3408</v>
      </c>
    </row>
    <row r="21" s="26" customFormat="1" customHeight="1" spans="1:23">
      <c r="A21" s="30" t="s">
        <v>3409</v>
      </c>
      <c r="B21" s="31" t="s">
        <v>3410</v>
      </c>
      <c r="C21" s="32">
        <v>736</v>
      </c>
      <c r="D21" s="31" t="s">
        <v>53</v>
      </c>
      <c r="E21" s="33">
        <v>43637.939837963</v>
      </c>
      <c r="F21" s="33">
        <v>43637.9418287037</v>
      </c>
      <c r="G21" s="31" t="s">
        <v>3300</v>
      </c>
      <c r="H21" s="31" t="s">
        <v>3411</v>
      </c>
      <c r="I21" s="34" t="s">
        <v>3412</v>
      </c>
      <c r="J21" s="31" t="s">
        <v>3304</v>
      </c>
      <c r="K21" s="31" t="s">
        <v>3304</v>
      </c>
      <c r="L21" s="31" t="s">
        <v>3413</v>
      </c>
      <c r="M21" s="34" t="s">
        <v>3414</v>
      </c>
      <c r="N21" s="32">
        <v>368</v>
      </c>
      <c r="O21" s="35">
        <v>2</v>
      </c>
      <c r="P21" s="31" t="s">
        <v>3307</v>
      </c>
      <c r="Q21" s="31" t="s">
        <v>3415</v>
      </c>
      <c r="R21" s="31" t="s">
        <v>3415</v>
      </c>
      <c r="S21" s="31" t="s">
        <v>3304</v>
      </c>
      <c r="T21" s="31" t="s">
        <v>3304</v>
      </c>
      <c r="U21" s="35">
        <v>1</v>
      </c>
      <c r="V21" s="34" t="s">
        <v>3304</v>
      </c>
      <c r="W21" s="34" t="s">
        <v>3416</v>
      </c>
    </row>
    <row r="22" s="26" customFormat="1" customHeight="1" spans="1:23">
      <c r="A22" s="30" t="s">
        <v>3417</v>
      </c>
      <c r="B22" s="31" t="s">
        <v>3418</v>
      </c>
      <c r="C22" s="32">
        <v>1231</v>
      </c>
      <c r="D22" s="31" t="s">
        <v>53</v>
      </c>
      <c r="E22" s="33">
        <v>43637.8681481481</v>
      </c>
      <c r="F22" s="33">
        <v>43637.8843865741</v>
      </c>
      <c r="G22" s="31" t="s">
        <v>3300</v>
      </c>
      <c r="H22" s="31" t="s">
        <v>3419</v>
      </c>
      <c r="I22" s="34" t="s">
        <v>3420</v>
      </c>
      <c r="J22" s="31" t="s">
        <v>3421</v>
      </c>
      <c r="K22" s="31" t="s">
        <v>3304</v>
      </c>
      <c r="L22" s="31" t="s">
        <v>3422</v>
      </c>
      <c r="M22" s="34" t="s">
        <v>3423</v>
      </c>
      <c r="N22" s="32">
        <v>1251</v>
      </c>
      <c r="O22" s="35">
        <v>1</v>
      </c>
      <c r="P22" s="31" t="s">
        <v>3307</v>
      </c>
      <c r="Q22" s="31" t="s">
        <v>3424</v>
      </c>
      <c r="R22" s="31" t="s">
        <v>3304</v>
      </c>
      <c r="S22" s="31" t="s">
        <v>3304</v>
      </c>
      <c r="T22" s="31" t="s">
        <v>3304</v>
      </c>
      <c r="U22" s="35">
        <v>1</v>
      </c>
      <c r="V22" s="34" t="s">
        <v>3304</v>
      </c>
      <c r="W22" s="34" t="s">
        <v>3425</v>
      </c>
    </row>
    <row r="23" s="26" customFormat="1" customHeight="1" spans="1:23">
      <c r="A23" s="30" t="s">
        <v>3426</v>
      </c>
      <c r="B23" s="31" t="s">
        <v>3427</v>
      </c>
      <c r="C23" s="32">
        <v>598</v>
      </c>
      <c r="D23" s="31" t="s">
        <v>53</v>
      </c>
      <c r="E23" s="33">
        <v>43637.8644212963</v>
      </c>
      <c r="F23" s="33">
        <v>43637.8676273148</v>
      </c>
      <c r="G23" s="31" t="s">
        <v>3300</v>
      </c>
      <c r="H23" s="31" t="s">
        <v>3428</v>
      </c>
      <c r="I23" s="34" t="s">
        <v>3429</v>
      </c>
      <c r="J23" s="31" t="s">
        <v>3430</v>
      </c>
      <c r="K23" s="31" t="s">
        <v>3304</v>
      </c>
      <c r="L23" s="31" t="s">
        <v>3431</v>
      </c>
      <c r="M23" s="34" t="s">
        <v>3350</v>
      </c>
      <c r="N23" s="32">
        <v>618</v>
      </c>
      <c r="O23" s="35">
        <v>1</v>
      </c>
      <c r="P23" s="31" t="s">
        <v>3307</v>
      </c>
      <c r="Q23" s="31" t="s">
        <v>3308</v>
      </c>
      <c r="R23" s="31" t="s">
        <v>3304</v>
      </c>
      <c r="S23" s="31" t="s">
        <v>3304</v>
      </c>
      <c r="T23" s="31" t="s">
        <v>3304</v>
      </c>
      <c r="U23" s="35">
        <v>1</v>
      </c>
      <c r="V23" s="34" t="s">
        <v>3304</v>
      </c>
      <c r="W23" s="34" t="s">
        <v>3432</v>
      </c>
    </row>
    <row r="24" s="26" customFormat="1" customHeight="1" spans="1:23">
      <c r="A24" s="30" t="s">
        <v>3433</v>
      </c>
      <c r="B24" s="31" t="s">
        <v>3434</v>
      </c>
      <c r="C24" s="32">
        <v>2956</v>
      </c>
      <c r="D24" s="31" t="s">
        <v>53</v>
      </c>
      <c r="E24" s="33">
        <v>43637.8553703704</v>
      </c>
      <c r="F24" s="33">
        <v>43637.8596180555</v>
      </c>
      <c r="G24" s="31" t="s">
        <v>3300</v>
      </c>
      <c r="H24" s="31" t="s">
        <v>3435</v>
      </c>
      <c r="I24" s="34" t="s">
        <v>3436</v>
      </c>
      <c r="J24" s="31" t="s">
        <v>3437</v>
      </c>
      <c r="K24" s="31" t="s">
        <v>3304</v>
      </c>
      <c r="L24" s="31" t="s">
        <v>3438</v>
      </c>
      <c r="M24" s="34" t="s">
        <v>3370</v>
      </c>
      <c r="N24" s="32">
        <v>2966</v>
      </c>
      <c r="O24" s="35">
        <v>1</v>
      </c>
      <c r="P24" s="31" t="s">
        <v>3316</v>
      </c>
      <c r="Q24" s="31" t="s">
        <v>3317</v>
      </c>
      <c r="R24" s="31" t="s">
        <v>3304</v>
      </c>
      <c r="S24" s="31" t="s">
        <v>3304</v>
      </c>
      <c r="T24" s="31" t="s">
        <v>3304</v>
      </c>
      <c r="U24" s="35">
        <v>1</v>
      </c>
      <c r="V24" s="34" t="s">
        <v>3304</v>
      </c>
      <c r="W24" s="34" t="s">
        <v>3439</v>
      </c>
    </row>
    <row r="25" s="26" customFormat="1" customHeight="1" spans="1:23">
      <c r="A25" s="30" t="s">
        <v>3440</v>
      </c>
      <c r="B25" s="31" t="s">
        <v>3441</v>
      </c>
      <c r="C25" s="32">
        <v>548</v>
      </c>
      <c r="D25" s="31" t="s">
        <v>53</v>
      </c>
      <c r="E25" s="33">
        <v>43637.8481597222</v>
      </c>
      <c r="F25" s="33">
        <v>43637.8650925926</v>
      </c>
      <c r="G25" s="31" t="s">
        <v>3300</v>
      </c>
      <c r="H25" s="31" t="s">
        <v>3442</v>
      </c>
      <c r="I25" s="34" t="s">
        <v>3443</v>
      </c>
      <c r="J25" s="31" t="s">
        <v>3304</v>
      </c>
      <c r="K25" s="31" t="s">
        <v>3304</v>
      </c>
      <c r="L25" s="31" t="s">
        <v>3444</v>
      </c>
      <c r="M25" s="34" t="s">
        <v>3306</v>
      </c>
      <c r="N25" s="32">
        <v>568</v>
      </c>
      <c r="O25" s="35">
        <v>1</v>
      </c>
      <c r="P25" s="31" t="s">
        <v>3307</v>
      </c>
      <c r="Q25" s="31" t="s">
        <v>3308</v>
      </c>
      <c r="R25" s="31" t="s">
        <v>3304</v>
      </c>
      <c r="S25" s="31" t="s">
        <v>3304</v>
      </c>
      <c r="T25" s="31" t="s">
        <v>3304</v>
      </c>
      <c r="U25" s="35">
        <v>1</v>
      </c>
      <c r="V25" s="34" t="s">
        <v>3304</v>
      </c>
      <c r="W25" s="34" t="s">
        <v>3445</v>
      </c>
    </row>
    <row r="26" s="26" customFormat="1" customHeight="1" spans="1:23">
      <c r="A26" s="30" t="s">
        <v>3446</v>
      </c>
      <c r="B26" s="31" t="s">
        <v>3447</v>
      </c>
      <c r="C26" s="32">
        <v>436</v>
      </c>
      <c r="D26" s="31" t="s">
        <v>53</v>
      </c>
      <c r="E26" s="33">
        <v>43636.8936111111</v>
      </c>
      <c r="F26" s="33">
        <v>43636.8980555556</v>
      </c>
      <c r="G26" s="31" t="s">
        <v>3300</v>
      </c>
      <c r="H26" s="31" t="s">
        <v>3448</v>
      </c>
      <c r="I26" s="34" t="s">
        <v>3449</v>
      </c>
      <c r="J26" s="31" t="s">
        <v>3450</v>
      </c>
      <c r="K26" s="31" t="s">
        <v>3304</v>
      </c>
      <c r="L26" s="31" t="s">
        <v>3451</v>
      </c>
      <c r="M26" s="34" t="s">
        <v>3391</v>
      </c>
      <c r="N26" s="32">
        <v>456</v>
      </c>
      <c r="O26" s="35">
        <v>1</v>
      </c>
      <c r="P26" s="31" t="s">
        <v>3307</v>
      </c>
      <c r="Q26" s="31" t="s">
        <v>3392</v>
      </c>
      <c r="R26" s="31" t="s">
        <v>3304</v>
      </c>
      <c r="S26" s="31" t="s">
        <v>3304</v>
      </c>
      <c r="T26" s="31" t="s">
        <v>3304</v>
      </c>
      <c r="U26" s="35">
        <v>1</v>
      </c>
      <c r="V26" s="34" t="s">
        <v>3304</v>
      </c>
      <c r="W26" s="34" t="s">
        <v>3452</v>
      </c>
    </row>
    <row r="27" s="26" customFormat="1" customHeight="1" spans="1:23">
      <c r="A27" s="30" t="s">
        <v>3453</v>
      </c>
      <c r="B27" s="31" t="s">
        <v>3454</v>
      </c>
      <c r="C27" s="32">
        <v>548</v>
      </c>
      <c r="D27" s="31" t="s">
        <v>53</v>
      </c>
      <c r="E27" s="33">
        <v>43636.8782407407</v>
      </c>
      <c r="F27" s="33">
        <v>43636.882037037</v>
      </c>
      <c r="G27" s="31" t="s">
        <v>3300</v>
      </c>
      <c r="H27" s="31" t="s">
        <v>2608</v>
      </c>
      <c r="I27" s="34" t="s">
        <v>3455</v>
      </c>
      <c r="J27" s="31" t="s">
        <v>3304</v>
      </c>
      <c r="K27" s="31" t="s">
        <v>3304</v>
      </c>
      <c r="L27" s="31" t="s">
        <v>3456</v>
      </c>
      <c r="M27" s="34" t="s">
        <v>3306</v>
      </c>
      <c r="N27" s="32">
        <v>568</v>
      </c>
      <c r="O27" s="35">
        <v>1</v>
      </c>
      <c r="P27" s="31" t="s">
        <v>3307</v>
      </c>
      <c r="Q27" s="31" t="s">
        <v>3308</v>
      </c>
      <c r="R27" s="31" t="s">
        <v>3304</v>
      </c>
      <c r="S27" s="31" t="s">
        <v>3304</v>
      </c>
      <c r="T27" s="31" t="s">
        <v>3304</v>
      </c>
      <c r="U27" s="35">
        <v>1</v>
      </c>
      <c r="V27" s="34" t="s">
        <v>3304</v>
      </c>
      <c r="W27" s="34" t="s">
        <v>3457</v>
      </c>
    </row>
    <row r="28" s="26" customFormat="1" customHeight="1" spans="1:23">
      <c r="A28" s="30" t="s">
        <v>3458</v>
      </c>
      <c r="B28" s="31" t="s">
        <v>3459</v>
      </c>
      <c r="C28" s="32">
        <v>2956</v>
      </c>
      <c r="D28" s="31" t="s">
        <v>53</v>
      </c>
      <c r="E28" s="33">
        <v>43636.8673958333</v>
      </c>
      <c r="F28" s="33">
        <v>43636.8723958333</v>
      </c>
      <c r="G28" s="31" t="s">
        <v>3300</v>
      </c>
      <c r="H28" s="31" t="s">
        <v>3460</v>
      </c>
      <c r="I28" s="34" t="s">
        <v>3461</v>
      </c>
      <c r="J28" s="31" t="s">
        <v>3437</v>
      </c>
      <c r="K28" s="31" t="s">
        <v>3304</v>
      </c>
      <c r="L28" s="31" t="s">
        <v>3462</v>
      </c>
      <c r="M28" s="34" t="s">
        <v>3370</v>
      </c>
      <c r="N28" s="32">
        <v>2966</v>
      </c>
      <c r="O28" s="35">
        <v>1</v>
      </c>
      <c r="P28" s="31" t="s">
        <v>3316</v>
      </c>
      <c r="Q28" s="31" t="s">
        <v>3317</v>
      </c>
      <c r="R28" s="31" t="s">
        <v>3304</v>
      </c>
      <c r="S28" s="31" t="s">
        <v>3304</v>
      </c>
      <c r="T28" s="31" t="s">
        <v>3304</v>
      </c>
      <c r="U28" s="35">
        <v>1</v>
      </c>
      <c r="V28" s="34" t="s">
        <v>3304</v>
      </c>
      <c r="W28" s="34" t="s">
        <v>3463</v>
      </c>
    </row>
    <row r="29" s="26" customFormat="1" customHeight="1" spans="1:23">
      <c r="A29" s="30" t="s">
        <v>3464</v>
      </c>
      <c r="B29" s="31" t="s">
        <v>3465</v>
      </c>
      <c r="C29" s="32">
        <v>588</v>
      </c>
      <c r="D29" s="31" t="s">
        <v>53</v>
      </c>
      <c r="E29" s="33">
        <v>43636.8523611111</v>
      </c>
      <c r="F29" s="33">
        <v>43636.8572800926</v>
      </c>
      <c r="G29" s="31" t="s">
        <v>3300</v>
      </c>
      <c r="H29" s="31" t="s">
        <v>3466</v>
      </c>
      <c r="I29" s="34" t="s">
        <v>3467</v>
      </c>
      <c r="J29" s="31" t="s">
        <v>3468</v>
      </c>
      <c r="K29" s="31" t="s">
        <v>3304</v>
      </c>
      <c r="L29" s="31" t="s">
        <v>3469</v>
      </c>
      <c r="M29" s="34" t="s">
        <v>3350</v>
      </c>
      <c r="N29" s="32">
        <v>618</v>
      </c>
      <c r="O29" s="35">
        <v>1</v>
      </c>
      <c r="P29" s="31" t="s">
        <v>3307</v>
      </c>
      <c r="Q29" s="31" t="s">
        <v>3308</v>
      </c>
      <c r="R29" s="31" t="s">
        <v>3304</v>
      </c>
      <c r="S29" s="31" t="s">
        <v>3304</v>
      </c>
      <c r="T29" s="31" t="s">
        <v>3304</v>
      </c>
      <c r="U29" s="35">
        <v>1</v>
      </c>
      <c r="V29" s="34" t="s">
        <v>3304</v>
      </c>
      <c r="W29" s="34" t="s">
        <v>3470</v>
      </c>
    </row>
    <row r="30" s="26" customFormat="1" customHeight="1" spans="1:23">
      <c r="A30" s="30" t="s">
        <v>3471</v>
      </c>
      <c r="B30" s="31" t="s">
        <v>3472</v>
      </c>
      <c r="C30" s="32">
        <v>548</v>
      </c>
      <c r="D30" s="31" t="s">
        <v>53</v>
      </c>
      <c r="E30" s="33">
        <v>43636.8516087963</v>
      </c>
      <c r="F30" s="33">
        <v>43636.8534375</v>
      </c>
      <c r="G30" s="31" t="s">
        <v>3300</v>
      </c>
      <c r="H30" s="31" t="s">
        <v>3473</v>
      </c>
      <c r="I30" s="34" t="s">
        <v>3474</v>
      </c>
      <c r="J30" s="31" t="s">
        <v>3335</v>
      </c>
      <c r="K30" s="31" t="s">
        <v>3304</v>
      </c>
      <c r="L30" s="31" t="s">
        <v>3475</v>
      </c>
      <c r="M30" s="34" t="s">
        <v>3306</v>
      </c>
      <c r="N30" s="32">
        <v>568</v>
      </c>
      <c r="O30" s="35">
        <v>1</v>
      </c>
      <c r="P30" s="31" t="s">
        <v>3307</v>
      </c>
      <c r="Q30" s="31" t="s">
        <v>3308</v>
      </c>
      <c r="R30" s="31" t="s">
        <v>3304</v>
      </c>
      <c r="S30" s="31" t="s">
        <v>3304</v>
      </c>
      <c r="T30" s="31" t="s">
        <v>3304</v>
      </c>
      <c r="U30" s="35">
        <v>1</v>
      </c>
      <c r="V30" s="34" t="s">
        <v>3304</v>
      </c>
      <c r="W30" s="34" t="s">
        <v>3476</v>
      </c>
    </row>
    <row r="31" s="26" customFormat="1" customHeight="1" spans="1:23">
      <c r="A31" s="30" t="s">
        <v>3477</v>
      </c>
      <c r="B31" s="31" t="s">
        <v>3478</v>
      </c>
      <c r="C31" s="32">
        <v>436</v>
      </c>
      <c r="D31" s="31" t="s">
        <v>53</v>
      </c>
      <c r="E31" s="33">
        <v>43635.8865740741</v>
      </c>
      <c r="F31" s="33">
        <v>43635.8894675926</v>
      </c>
      <c r="G31" s="31" t="s">
        <v>3300</v>
      </c>
      <c r="H31" s="31" t="s">
        <v>3479</v>
      </c>
      <c r="I31" s="34" t="s">
        <v>3480</v>
      </c>
      <c r="J31" s="31" t="s">
        <v>3481</v>
      </c>
      <c r="K31" s="31" t="s">
        <v>3304</v>
      </c>
      <c r="L31" s="31" t="s">
        <v>3482</v>
      </c>
      <c r="M31" s="34" t="s">
        <v>3483</v>
      </c>
      <c r="N31" s="32">
        <v>456</v>
      </c>
      <c r="O31" s="35">
        <v>1</v>
      </c>
      <c r="P31" s="31" t="s">
        <v>3307</v>
      </c>
      <c r="Q31" s="31" t="s">
        <v>3392</v>
      </c>
      <c r="R31" s="31" t="s">
        <v>3304</v>
      </c>
      <c r="S31" s="31" t="s">
        <v>3304</v>
      </c>
      <c r="T31" s="31" t="s">
        <v>3304</v>
      </c>
      <c r="U31" s="35">
        <v>1</v>
      </c>
      <c r="V31" s="34" t="s">
        <v>3304</v>
      </c>
      <c r="W31" s="34" t="s">
        <v>3484</v>
      </c>
    </row>
    <row r="32" s="26" customFormat="1" customHeight="1" spans="1:23">
      <c r="A32" s="30" t="s">
        <v>3485</v>
      </c>
      <c r="B32" s="31" t="s">
        <v>3486</v>
      </c>
      <c r="C32" s="32">
        <v>426</v>
      </c>
      <c r="D32" s="31" t="s">
        <v>53</v>
      </c>
      <c r="E32" s="33">
        <v>43635.8698726852</v>
      </c>
      <c r="F32" s="33">
        <v>43635.8726041667</v>
      </c>
      <c r="G32" s="31" t="s">
        <v>3300</v>
      </c>
      <c r="H32" s="31" t="s">
        <v>3487</v>
      </c>
      <c r="I32" s="34" t="s">
        <v>3488</v>
      </c>
      <c r="J32" s="31" t="s">
        <v>3335</v>
      </c>
      <c r="K32" s="31" t="s">
        <v>3304</v>
      </c>
      <c r="L32" s="31" t="s">
        <v>3489</v>
      </c>
      <c r="M32" s="34" t="s">
        <v>3391</v>
      </c>
      <c r="N32" s="32">
        <v>456</v>
      </c>
      <c r="O32" s="35">
        <v>1</v>
      </c>
      <c r="P32" s="31" t="s">
        <v>3307</v>
      </c>
      <c r="Q32" s="31" t="s">
        <v>3392</v>
      </c>
      <c r="R32" s="31" t="s">
        <v>3304</v>
      </c>
      <c r="S32" s="31" t="s">
        <v>3304</v>
      </c>
      <c r="T32" s="31" t="s">
        <v>3304</v>
      </c>
      <c r="U32" s="35">
        <v>1</v>
      </c>
      <c r="V32" s="34" t="s">
        <v>3304</v>
      </c>
      <c r="W32" s="34" t="s">
        <v>3490</v>
      </c>
    </row>
    <row r="33" s="26" customFormat="1" customHeight="1" spans="1:23">
      <c r="A33" s="30" t="s">
        <v>3491</v>
      </c>
      <c r="B33" s="31" t="s">
        <v>3492</v>
      </c>
      <c r="C33" s="32">
        <v>436</v>
      </c>
      <c r="D33" s="31" t="s">
        <v>53</v>
      </c>
      <c r="E33" s="33">
        <v>43635.8637037037</v>
      </c>
      <c r="F33" s="33">
        <v>43635.8671412037</v>
      </c>
      <c r="G33" s="31" t="s">
        <v>3300</v>
      </c>
      <c r="H33" s="31" t="s">
        <v>3493</v>
      </c>
      <c r="I33" s="34" t="s">
        <v>3494</v>
      </c>
      <c r="J33" s="31" t="s">
        <v>3335</v>
      </c>
      <c r="K33" s="31" t="s">
        <v>3304</v>
      </c>
      <c r="L33" s="31" t="s">
        <v>3495</v>
      </c>
      <c r="M33" s="34" t="s">
        <v>3496</v>
      </c>
      <c r="N33" s="32">
        <v>456</v>
      </c>
      <c r="O33" s="35">
        <v>1</v>
      </c>
      <c r="P33" s="31" t="s">
        <v>3307</v>
      </c>
      <c r="Q33" s="31" t="s">
        <v>3392</v>
      </c>
      <c r="R33" s="31" t="s">
        <v>3304</v>
      </c>
      <c r="S33" s="31" t="s">
        <v>3304</v>
      </c>
      <c r="T33" s="31" t="s">
        <v>3304</v>
      </c>
      <c r="U33" s="35">
        <v>1</v>
      </c>
      <c r="V33" s="34" t="s">
        <v>3304</v>
      </c>
      <c r="W33" s="34" t="s">
        <v>3497</v>
      </c>
    </row>
    <row r="34" s="26" customFormat="1" customHeight="1" spans="1:23">
      <c r="A34" s="30" t="s">
        <v>3498</v>
      </c>
      <c r="B34" s="31" t="s">
        <v>3499</v>
      </c>
      <c r="C34" s="32">
        <v>588</v>
      </c>
      <c r="D34" s="31" t="s">
        <v>53</v>
      </c>
      <c r="E34" s="33">
        <v>43635.8533796296</v>
      </c>
      <c r="F34" s="33">
        <v>43635.8573032407</v>
      </c>
      <c r="G34" s="31" t="s">
        <v>3300</v>
      </c>
      <c r="H34" s="31" t="s">
        <v>3500</v>
      </c>
      <c r="I34" s="34" t="s">
        <v>3501</v>
      </c>
      <c r="J34" s="31" t="s">
        <v>3502</v>
      </c>
      <c r="K34" s="31" t="s">
        <v>3304</v>
      </c>
      <c r="L34" s="31" t="s">
        <v>3503</v>
      </c>
      <c r="M34" s="34" t="s">
        <v>3350</v>
      </c>
      <c r="N34" s="32">
        <v>618</v>
      </c>
      <c r="O34" s="35">
        <v>1</v>
      </c>
      <c r="P34" s="31" t="s">
        <v>3307</v>
      </c>
      <c r="Q34" s="31" t="s">
        <v>3308</v>
      </c>
      <c r="R34" s="31" t="s">
        <v>3304</v>
      </c>
      <c r="S34" s="31" t="s">
        <v>3304</v>
      </c>
      <c r="T34" s="31" t="s">
        <v>3304</v>
      </c>
      <c r="U34" s="35">
        <v>1</v>
      </c>
      <c r="V34" s="34" t="s">
        <v>3304</v>
      </c>
      <c r="W34" s="34" t="s">
        <v>3504</v>
      </c>
    </row>
    <row r="35" s="26" customFormat="1" customHeight="1" spans="1:23">
      <c r="A35" s="30" t="s">
        <v>3505</v>
      </c>
      <c r="B35" s="31" t="s">
        <v>3506</v>
      </c>
      <c r="C35" s="32">
        <v>2946</v>
      </c>
      <c r="D35" s="31" t="s">
        <v>53</v>
      </c>
      <c r="E35" s="33">
        <v>43635.852025463</v>
      </c>
      <c r="F35" s="33">
        <v>43635.8579861111</v>
      </c>
      <c r="G35" s="31" t="s">
        <v>3300</v>
      </c>
      <c r="H35" s="31" t="s">
        <v>3507</v>
      </c>
      <c r="I35" s="34" t="s">
        <v>3508</v>
      </c>
      <c r="J35" s="31" t="s">
        <v>3304</v>
      </c>
      <c r="K35" s="31" t="s">
        <v>3304</v>
      </c>
      <c r="L35" s="31" t="s">
        <v>3509</v>
      </c>
      <c r="M35" s="34" t="s">
        <v>3370</v>
      </c>
      <c r="N35" s="32">
        <v>2966</v>
      </c>
      <c r="O35" s="35">
        <v>1</v>
      </c>
      <c r="P35" s="31" t="s">
        <v>3316</v>
      </c>
      <c r="Q35" s="31" t="s">
        <v>3317</v>
      </c>
      <c r="R35" s="31" t="s">
        <v>3304</v>
      </c>
      <c r="S35" s="31" t="s">
        <v>3304</v>
      </c>
      <c r="T35" s="31" t="s">
        <v>3304</v>
      </c>
      <c r="U35" s="35">
        <v>1</v>
      </c>
      <c r="V35" s="34" t="s">
        <v>3304</v>
      </c>
      <c r="W35" s="34" t="s">
        <v>3510</v>
      </c>
    </row>
    <row r="36" s="26" customFormat="1" customHeight="1" spans="1:23">
      <c r="A36" s="30" t="s">
        <v>3511</v>
      </c>
      <c r="B36" s="31" t="s">
        <v>3512</v>
      </c>
      <c r="C36" s="32">
        <v>548</v>
      </c>
      <c r="D36" s="31" t="s">
        <v>53</v>
      </c>
      <c r="E36" s="33">
        <v>43635.8487847222</v>
      </c>
      <c r="F36" s="33">
        <v>43635.8561111111</v>
      </c>
      <c r="G36" s="31" t="s">
        <v>3300</v>
      </c>
      <c r="H36" s="31" t="s">
        <v>3513</v>
      </c>
      <c r="I36" s="34" t="s">
        <v>3514</v>
      </c>
      <c r="J36" s="31" t="s">
        <v>3335</v>
      </c>
      <c r="K36" s="31" t="s">
        <v>3304</v>
      </c>
      <c r="L36" s="31" t="s">
        <v>3515</v>
      </c>
      <c r="M36" s="34" t="s">
        <v>3306</v>
      </c>
      <c r="N36" s="32">
        <v>568</v>
      </c>
      <c r="O36" s="35">
        <v>1</v>
      </c>
      <c r="P36" s="31" t="s">
        <v>3307</v>
      </c>
      <c r="Q36" s="31" t="s">
        <v>3308</v>
      </c>
      <c r="R36" s="31" t="s">
        <v>3304</v>
      </c>
      <c r="S36" s="31" t="s">
        <v>3304</v>
      </c>
      <c r="T36" s="31" t="s">
        <v>3304</v>
      </c>
      <c r="U36" s="35">
        <v>1</v>
      </c>
      <c r="V36" s="34" t="s">
        <v>3304</v>
      </c>
      <c r="W36" s="34" t="s">
        <v>3516</v>
      </c>
    </row>
    <row r="37" s="26" customFormat="1" customHeight="1" spans="1:23">
      <c r="A37" s="30" t="s">
        <v>3517</v>
      </c>
      <c r="B37" s="31" t="s">
        <v>3518</v>
      </c>
      <c r="C37" s="32">
        <v>446</v>
      </c>
      <c r="D37" s="31" t="s">
        <v>53</v>
      </c>
      <c r="E37" s="33">
        <v>43634.8676967593</v>
      </c>
      <c r="F37" s="33">
        <v>43634.8852430556</v>
      </c>
      <c r="G37" s="31" t="s">
        <v>3300</v>
      </c>
      <c r="H37" s="31" t="s">
        <v>3519</v>
      </c>
      <c r="I37" s="34" t="s">
        <v>3520</v>
      </c>
      <c r="J37" s="31" t="s">
        <v>3521</v>
      </c>
      <c r="K37" s="31" t="s">
        <v>3304</v>
      </c>
      <c r="L37" s="31" t="s">
        <v>3522</v>
      </c>
      <c r="M37" s="34" t="s">
        <v>3483</v>
      </c>
      <c r="N37" s="32">
        <v>456</v>
      </c>
      <c r="O37" s="35">
        <v>1</v>
      </c>
      <c r="P37" s="31" t="s">
        <v>3307</v>
      </c>
      <c r="Q37" s="31" t="s">
        <v>3392</v>
      </c>
      <c r="R37" s="31" t="s">
        <v>3304</v>
      </c>
      <c r="S37" s="31" t="s">
        <v>3304</v>
      </c>
      <c r="T37" s="31" t="s">
        <v>3304</v>
      </c>
      <c r="U37" s="35">
        <v>1</v>
      </c>
      <c r="V37" s="34" t="s">
        <v>3304</v>
      </c>
      <c r="W37" s="34" t="s">
        <v>3523</v>
      </c>
    </row>
    <row r="38" s="26" customFormat="1" customHeight="1" spans="1:23">
      <c r="A38" s="30" t="s">
        <v>3524</v>
      </c>
      <c r="B38" s="31" t="s">
        <v>3525</v>
      </c>
      <c r="C38" s="32">
        <v>446</v>
      </c>
      <c r="D38" s="31" t="s">
        <v>53</v>
      </c>
      <c r="E38" s="33">
        <v>43634.8313657407</v>
      </c>
      <c r="F38" s="33">
        <v>43634.8379398148</v>
      </c>
      <c r="G38" s="31" t="s">
        <v>3300</v>
      </c>
      <c r="H38" s="31" t="s">
        <v>3526</v>
      </c>
      <c r="I38" s="34" t="s">
        <v>3527</v>
      </c>
      <c r="J38" s="31" t="s">
        <v>3528</v>
      </c>
      <c r="K38" s="31" t="s">
        <v>3304</v>
      </c>
      <c r="L38" s="31" t="s">
        <v>3529</v>
      </c>
      <c r="M38" s="34" t="s">
        <v>3496</v>
      </c>
      <c r="N38" s="32">
        <v>456</v>
      </c>
      <c r="O38" s="35">
        <v>1</v>
      </c>
      <c r="P38" s="31" t="s">
        <v>3307</v>
      </c>
      <c r="Q38" s="31" t="s">
        <v>3392</v>
      </c>
      <c r="R38" s="31" t="s">
        <v>3304</v>
      </c>
      <c r="S38" s="31" t="s">
        <v>3304</v>
      </c>
      <c r="T38" s="31" t="s">
        <v>3304</v>
      </c>
      <c r="U38" s="35">
        <v>1</v>
      </c>
      <c r="V38" s="34" t="s">
        <v>3304</v>
      </c>
      <c r="W38" s="34" t="s">
        <v>3530</v>
      </c>
    </row>
    <row r="39" s="26" customFormat="1" customHeight="1" spans="1:23">
      <c r="A39" s="30" t="s">
        <v>3531</v>
      </c>
      <c r="B39" s="31" t="s">
        <v>3532</v>
      </c>
      <c r="C39" s="32">
        <v>598</v>
      </c>
      <c r="D39" s="31" t="s">
        <v>53</v>
      </c>
      <c r="E39" s="33">
        <v>43634.8294675926</v>
      </c>
      <c r="F39" s="33">
        <v>43634.8359606481</v>
      </c>
      <c r="G39" s="31" t="s">
        <v>3300</v>
      </c>
      <c r="H39" s="31" t="s">
        <v>3533</v>
      </c>
      <c r="I39" s="34" t="s">
        <v>3534</v>
      </c>
      <c r="J39" s="31" t="s">
        <v>3535</v>
      </c>
      <c r="K39" s="31" t="s">
        <v>3304</v>
      </c>
      <c r="L39" s="31" t="s">
        <v>3536</v>
      </c>
      <c r="M39" s="34" t="s">
        <v>3350</v>
      </c>
      <c r="N39" s="32">
        <v>618</v>
      </c>
      <c r="O39" s="35">
        <v>1</v>
      </c>
      <c r="P39" s="31" t="s">
        <v>3307</v>
      </c>
      <c r="Q39" s="31" t="s">
        <v>3308</v>
      </c>
      <c r="R39" s="31" t="s">
        <v>3304</v>
      </c>
      <c r="S39" s="31" t="s">
        <v>3304</v>
      </c>
      <c r="T39" s="31" t="s">
        <v>3304</v>
      </c>
      <c r="U39" s="35">
        <v>1</v>
      </c>
      <c r="V39" s="34" t="s">
        <v>3304</v>
      </c>
      <c r="W39" s="34" t="s">
        <v>3537</v>
      </c>
    </row>
    <row r="40" s="26" customFormat="1" customHeight="1" spans="1:23">
      <c r="A40" s="30" t="s">
        <v>3538</v>
      </c>
      <c r="B40" s="31" t="s">
        <v>3539</v>
      </c>
      <c r="C40" s="32">
        <v>436</v>
      </c>
      <c r="D40" s="31" t="s">
        <v>53</v>
      </c>
      <c r="E40" s="33">
        <v>43634.828587963</v>
      </c>
      <c r="F40" s="33">
        <v>43634.8319444444</v>
      </c>
      <c r="G40" s="31" t="s">
        <v>3300</v>
      </c>
      <c r="H40" s="31" t="s">
        <v>3540</v>
      </c>
      <c r="I40" s="34" t="s">
        <v>3541</v>
      </c>
      <c r="J40" s="31" t="s">
        <v>3542</v>
      </c>
      <c r="K40" s="31" t="s">
        <v>3304</v>
      </c>
      <c r="L40" s="31" t="s">
        <v>3543</v>
      </c>
      <c r="M40" s="34" t="s">
        <v>3391</v>
      </c>
      <c r="N40" s="32">
        <v>456</v>
      </c>
      <c r="O40" s="35">
        <v>1</v>
      </c>
      <c r="P40" s="31" t="s">
        <v>3307</v>
      </c>
      <c r="Q40" s="31" t="s">
        <v>3392</v>
      </c>
      <c r="R40" s="31" t="s">
        <v>3304</v>
      </c>
      <c r="S40" s="31" t="s">
        <v>3304</v>
      </c>
      <c r="T40" s="31" t="s">
        <v>3304</v>
      </c>
      <c r="U40" s="35">
        <v>1</v>
      </c>
      <c r="V40" s="34" t="s">
        <v>3304</v>
      </c>
      <c r="W40" s="34" t="s">
        <v>3544</v>
      </c>
    </row>
    <row r="41" s="26" customFormat="1" customHeight="1" spans="1:23">
      <c r="A41" s="30" t="s">
        <v>3545</v>
      </c>
      <c r="B41" s="31" t="s">
        <v>3546</v>
      </c>
      <c r="C41" s="32">
        <v>548</v>
      </c>
      <c r="D41" s="31" t="s">
        <v>53</v>
      </c>
      <c r="E41" s="33">
        <v>43634.7854398148</v>
      </c>
      <c r="F41" s="33">
        <v>43634.7969675926</v>
      </c>
      <c r="G41" s="31" t="s">
        <v>3300</v>
      </c>
      <c r="H41" s="31" t="s">
        <v>3547</v>
      </c>
      <c r="I41" s="34" t="s">
        <v>3548</v>
      </c>
      <c r="J41" s="31" t="s">
        <v>3304</v>
      </c>
      <c r="K41" s="31" t="s">
        <v>3304</v>
      </c>
      <c r="L41" s="31" t="s">
        <v>3549</v>
      </c>
      <c r="M41" s="34" t="s">
        <v>3306</v>
      </c>
      <c r="N41" s="32">
        <v>568</v>
      </c>
      <c r="O41" s="35">
        <v>1</v>
      </c>
      <c r="P41" s="31" t="s">
        <v>3307</v>
      </c>
      <c r="Q41" s="31" t="s">
        <v>3308</v>
      </c>
      <c r="R41" s="31" t="s">
        <v>3304</v>
      </c>
      <c r="S41" s="31" t="s">
        <v>3304</v>
      </c>
      <c r="T41" s="31" t="s">
        <v>3304</v>
      </c>
      <c r="U41" s="35">
        <v>1</v>
      </c>
      <c r="V41" s="34" t="s">
        <v>3304</v>
      </c>
      <c r="W41" s="34" t="s">
        <v>3550</v>
      </c>
    </row>
    <row r="42" s="26" customFormat="1" customHeight="1" spans="1:23">
      <c r="A42" s="30" t="s">
        <v>3551</v>
      </c>
      <c r="B42" s="31" t="s">
        <v>3552</v>
      </c>
      <c r="C42" s="32">
        <v>2946</v>
      </c>
      <c r="D42" s="31" t="s">
        <v>53</v>
      </c>
      <c r="E42" s="33">
        <v>43634.7785185185</v>
      </c>
      <c r="F42" s="33">
        <v>43634.782962963</v>
      </c>
      <c r="G42" s="31" t="s">
        <v>3300</v>
      </c>
      <c r="H42" s="31" t="s">
        <v>3553</v>
      </c>
      <c r="I42" s="34" t="s">
        <v>3554</v>
      </c>
      <c r="J42" s="31" t="s">
        <v>3304</v>
      </c>
      <c r="K42" s="31" t="s">
        <v>3304</v>
      </c>
      <c r="L42" s="31" t="s">
        <v>3555</v>
      </c>
      <c r="M42" s="34" t="s">
        <v>3370</v>
      </c>
      <c r="N42" s="32">
        <v>2966</v>
      </c>
      <c r="O42" s="35">
        <v>1</v>
      </c>
      <c r="P42" s="31" t="s">
        <v>3316</v>
      </c>
      <c r="Q42" s="31" t="s">
        <v>3317</v>
      </c>
      <c r="R42" s="31" t="s">
        <v>3304</v>
      </c>
      <c r="S42" s="31" t="s">
        <v>3304</v>
      </c>
      <c r="T42" s="31" t="s">
        <v>3304</v>
      </c>
      <c r="U42" s="35">
        <v>1</v>
      </c>
      <c r="V42" s="34" t="s">
        <v>3304</v>
      </c>
      <c r="W42" s="34" t="s">
        <v>3556</v>
      </c>
    </row>
    <row r="43" s="26" customFormat="1" customHeight="1" spans="1:23">
      <c r="A43" s="30" t="s">
        <v>3557</v>
      </c>
      <c r="B43" s="31" t="s">
        <v>3558</v>
      </c>
      <c r="C43" s="32">
        <v>2946</v>
      </c>
      <c r="D43" s="31" t="s">
        <v>53</v>
      </c>
      <c r="E43" s="33">
        <v>43633.9185416667</v>
      </c>
      <c r="F43" s="33">
        <v>43633.9220023148</v>
      </c>
      <c r="G43" s="31" t="s">
        <v>3300</v>
      </c>
      <c r="H43" s="31" t="s">
        <v>3559</v>
      </c>
      <c r="I43" s="34" t="s">
        <v>3560</v>
      </c>
      <c r="J43" s="31" t="s">
        <v>3304</v>
      </c>
      <c r="K43" s="31" t="s">
        <v>3304</v>
      </c>
      <c r="L43" s="31" t="s">
        <v>3561</v>
      </c>
      <c r="M43" s="34" t="s">
        <v>3315</v>
      </c>
      <c r="N43" s="32">
        <v>2966</v>
      </c>
      <c r="O43" s="35">
        <v>1</v>
      </c>
      <c r="P43" s="31" t="s">
        <v>3316</v>
      </c>
      <c r="Q43" s="31" t="s">
        <v>3317</v>
      </c>
      <c r="R43" s="31" t="s">
        <v>3304</v>
      </c>
      <c r="S43" s="31" t="s">
        <v>3304</v>
      </c>
      <c r="T43" s="31" t="s">
        <v>3304</v>
      </c>
      <c r="U43" s="35">
        <v>1</v>
      </c>
      <c r="V43" s="34" t="s">
        <v>3304</v>
      </c>
      <c r="W43" s="34" t="s">
        <v>3562</v>
      </c>
    </row>
    <row r="44" s="26" customFormat="1" customHeight="1" spans="1:23">
      <c r="A44" s="30" t="s">
        <v>3563</v>
      </c>
      <c r="B44" s="31" t="s">
        <v>3564</v>
      </c>
      <c r="C44" s="32">
        <v>436</v>
      </c>
      <c r="D44" s="31" t="s">
        <v>53</v>
      </c>
      <c r="E44" s="33">
        <v>43633.8769444444</v>
      </c>
      <c r="F44" s="33">
        <v>43633.8826388889</v>
      </c>
      <c r="G44" s="31" t="s">
        <v>3300</v>
      </c>
      <c r="H44" s="31" t="s">
        <v>3565</v>
      </c>
      <c r="I44" s="34" t="s">
        <v>3566</v>
      </c>
      <c r="J44" s="31" t="s">
        <v>3567</v>
      </c>
      <c r="K44" s="31" t="s">
        <v>3304</v>
      </c>
      <c r="L44" s="31" t="s">
        <v>3568</v>
      </c>
      <c r="M44" s="34" t="s">
        <v>3483</v>
      </c>
      <c r="N44" s="32">
        <v>456</v>
      </c>
      <c r="O44" s="35">
        <v>1</v>
      </c>
      <c r="P44" s="31" t="s">
        <v>3307</v>
      </c>
      <c r="Q44" s="31" t="s">
        <v>3392</v>
      </c>
      <c r="R44" s="31" t="s">
        <v>3304</v>
      </c>
      <c r="S44" s="31" t="s">
        <v>3304</v>
      </c>
      <c r="T44" s="31" t="s">
        <v>3304</v>
      </c>
      <c r="U44" s="35">
        <v>1</v>
      </c>
      <c r="V44" s="34" t="s">
        <v>3304</v>
      </c>
      <c r="W44" s="34" t="s">
        <v>3569</v>
      </c>
    </row>
    <row r="45" s="26" customFormat="1" customHeight="1" spans="1:23">
      <c r="A45" s="30" t="s">
        <v>3570</v>
      </c>
      <c r="B45" s="31" t="s">
        <v>3571</v>
      </c>
      <c r="C45" s="32">
        <v>558</v>
      </c>
      <c r="D45" s="31" t="s">
        <v>53</v>
      </c>
      <c r="E45" s="33">
        <v>43633.8753240741</v>
      </c>
      <c r="F45" s="33">
        <v>43633.8784606481</v>
      </c>
      <c r="G45" s="31" t="s">
        <v>3300</v>
      </c>
      <c r="H45" s="31" t="s">
        <v>3572</v>
      </c>
      <c r="I45" s="34" t="s">
        <v>3573</v>
      </c>
      <c r="J45" s="31" t="s">
        <v>3574</v>
      </c>
      <c r="K45" s="31" t="s">
        <v>3304</v>
      </c>
      <c r="L45" s="31" t="s">
        <v>3575</v>
      </c>
      <c r="M45" s="34" t="s">
        <v>3306</v>
      </c>
      <c r="N45" s="32">
        <v>568</v>
      </c>
      <c r="O45" s="35">
        <v>1</v>
      </c>
      <c r="P45" s="31" t="s">
        <v>3307</v>
      </c>
      <c r="Q45" s="31" t="s">
        <v>3308</v>
      </c>
      <c r="R45" s="31" t="s">
        <v>3304</v>
      </c>
      <c r="S45" s="31" t="s">
        <v>3304</v>
      </c>
      <c r="T45" s="31" t="s">
        <v>3304</v>
      </c>
      <c r="U45" s="35">
        <v>1</v>
      </c>
      <c r="V45" s="34" t="s">
        <v>3304</v>
      </c>
      <c r="W45" s="34" t="s">
        <v>3576</v>
      </c>
    </row>
    <row r="46" s="26" customFormat="1" customHeight="1" spans="1:23">
      <c r="A46" s="30" t="s">
        <v>3577</v>
      </c>
      <c r="B46" s="31" t="s">
        <v>3578</v>
      </c>
      <c r="C46" s="32">
        <v>588</v>
      </c>
      <c r="D46" s="31" t="s">
        <v>53</v>
      </c>
      <c r="E46" s="33">
        <v>43633.8630902778</v>
      </c>
      <c r="F46" s="33">
        <v>43633.8859375</v>
      </c>
      <c r="G46" s="31" t="s">
        <v>3300</v>
      </c>
      <c r="H46" s="31" t="s">
        <v>3579</v>
      </c>
      <c r="I46" s="34" t="s">
        <v>3580</v>
      </c>
      <c r="J46" s="31" t="s">
        <v>3521</v>
      </c>
      <c r="K46" s="31" t="s">
        <v>3304</v>
      </c>
      <c r="L46" s="31" t="s">
        <v>3581</v>
      </c>
      <c r="M46" s="34" t="s">
        <v>3350</v>
      </c>
      <c r="N46" s="32">
        <v>618</v>
      </c>
      <c r="O46" s="35">
        <v>1</v>
      </c>
      <c r="P46" s="31" t="s">
        <v>3307</v>
      </c>
      <c r="Q46" s="31" t="s">
        <v>3308</v>
      </c>
      <c r="R46" s="31" t="s">
        <v>3304</v>
      </c>
      <c r="S46" s="31" t="s">
        <v>3304</v>
      </c>
      <c r="T46" s="31" t="s">
        <v>3304</v>
      </c>
      <c r="U46" s="35">
        <v>1</v>
      </c>
      <c r="V46" s="34" t="s">
        <v>3304</v>
      </c>
      <c r="W46" s="34" t="s">
        <v>3582</v>
      </c>
    </row>
    <row r="47" s="26" customFormat="1" customHeight="1" spans="1:23">
      <c r="A47" s="30" t="s">
        <v>3583</v>
      </c>
      <c r="B47" s="31" t="s">
        <v>3584</v>
      </c>
      <c r="C47" s="32">
        <v>426</v>
      </c>
      <c r="D47" s="31" t="s">
        <v>53</v>
      </c>
      <c r="E47" s="33">
        <v>43633.8486458333</v>
      </c>
      <c r="F47" s="33">
        <v>43633.8522337963</v>
      </c>
      <c r="G47" s="31" t="s">
        <v>3300</v>
      </c>
      <c r="H47" s="31" t="s">
        <v>3585</v>
      </c>
      <c r="I47" s="34" t="s">
        <v>3586</v>
      </c>
      <c r="J47" s="31" t="s">
        <v>3335</v>
      </c>
      <c r="K47" s="31" t="s">
        <v>3304</v>
      </c>
      <c r="L47" s="31" t="s">
        <v>3587</v>
      </c>
      <c r="M47" s="34" t="s">
        <v>3496</v>
      </c>
      <c r="N47" s="32">
        <v>456</v>
      </c>
      <c r="O47" s="35">
        <v>1</v>
      </c>
      <c r="P47" s="31" t="s">
        <v>3307</v>
      </c>
      <c r="Q47" s="31" t="s">
        <v>3392</v>
      </c>
      <c r="R47" s="31" t="s">
        <v>3304</v>
      </c>
      <c r="S47" s="31" t="s">
        <v>3304</v>
      </c>
      <c r="T47" s="31" t="s">
        <v>3304</v>
      </c>
      <c r="U47" s="35">
        <v>1</v>
      </c>
      <c r="V47" s="34" t="s">
        <v>3304</v>
      </c>
      <c r="W47" s="34" t="s">
        <v>3588</v>
      </c>
    </row>
    <row r="48" s="26" customFormat="1" customHeight="1" spans="1:23">
      <c r="A48" s="30" t="s">
        <v>3589</v>
      </c>
      <c r="B48" s="31" t="s">
        <v>3590</v>
      </c>
      <c r="C48" s="32">
        <v>426</v>
      </c>
      <c r="D48" s="31" t="s">
        <v>53</v>
      </c>
      <c r="E48" s="33">
        <v>43633.8471875</v>
      </c>
      <c r="F48" s="33">
        <v>43633.8515162037</v>
      </c>
      <c r="G48" s="31" t="s">
        <v>3300</v>
      </c>
      <c r="H48" s="31" t="s">
        <v>3591</v>
      </c>
      <c r="I48" s="34" t="s">
        <v>3592</v>
      </c>
      <c r="J48" s="31" t="s">
        <v>3437</v>
      </c>
      <c r="K48" s="31" t="s">
        <v>3304</v>
      </c>
      <c r="L48" s="31" t="s">
        <v>3438</v>
      </c>
      <c r="M48" s="34" t="s">
        <v>3391</v>
      </c>
      <c r="N48" s="32">
        <v>456</v>
      </c>
      <c r="O48" s="35">
        <v>1</v>
      </c>
      <c r="P48" s="31" t="s">
        <v>3307</v>
      </c>
      <c r="Q48" s="31" t="s">
        <v>3392</v>
      </c>
      <c r="R48" s="31" t="s">
        <v>3304</v>
      </c>
      <c r="S48" s="31" t="s">
        <v>3304</v>
      </c>
      <c r="T48" s="31" t="s">
        <v>3304</v>
      </c>
      <c r="U48" s="35">
        <v>1</v>
      </c>
      <c r="V48" s="34" t="s">
        <v>3304</v>
      </c>
      <c r="W48" s="34" t="s">
        <v>3593</v>
      </c>
    </row>
    <row r="49" s="26" customFormat="1" customHeight="1" spans="1:23">
      <c r="A49" s="30" t="s">
        <v>3594</v>
      </c>
      <c r="B49" s="31" t="s">
        <v>3595</v>
      </c>
      <c r="C49" s="32">
        <v>426</v>
      </c>
      <c r="D49" s="31" t="s">
        <v>53</v>
      </c>
      <c r="E49" s="33">
        <v>43632.9324074074</v>
      </c>
      <c r="F49" s="33">
        <v>43632.9379861111</v>
      </c>
      <c r="G49" s="31" t="s">
        <v>3300</v>
      </c>
      <c r="H49" s="31" t="s">
        <v>3596</v>
      </c>
      <c r="I49" s="34" t="s">
        <v>3597</v>
      </c>
      <c r="J49" s="31" t="s">
        <v>3304</v>
      </c>
      <c r="K49" s="31" t="s">
        <v>3304</v>
      </c>
      <c r="L49" s="31" t="s">
        <v>3598</v>
      </c>
      <c r="M49" s="34" t="s">
        <v>3483</v>
      </c>
      <c r="N49" s="32">
        <v>456</v>
      </c>
      <c r="O49" s="35">
        <v>1</v>
      </c>
      <c r="P49" s="31" t="s">
        <v>3307</v>
      </c>
      <c r="Q49" s="31" t="s">
        <v>3392</v>
      </c>
      <c r="R49" s="31" t="s">
        <v>3304</v>
      </c>
      <c r="S49" s="31" t="s">
        <v>3304</v>
      </c>
      <c r="T49" s="31" t="s">
        <v>3304</v>
      </c>
      <c r="U49" s="35">
        <v>1</v>
      </c>
      <c r="V49" s="34" t="s">
        <v>3304</v>
      </c>
      <c r="W49" s="34" t="s">
        <v>3599</v>
      </c>
    </row>
    <row r="50" s="26" customFormat="1" customHeight="1" spans="1:23">
      <c r="A50" s="30" t="s">
        <v>3600</v>
      </c>
      <c r="B50" s="31" t="s">
        <v>3601</v>
      </c>
      <c r="C50" s="32">
        <v>436</v>
      </c>
      <c r="D50" s="31" t="s">
        <v>53</v>
      </c>
      <c r="E50" s="33">
        <v>43632.925462963</v>
      </c>
      <c r="F50" s="33">
        <v>43632.930625</v>
      </c>
      <c r="G50" s="31" t="s">
        <v>3300</v>
      </c>
      <c r="H50" s="31" t="s">
        <v>3602</v>
      </c>
      <c r="I50" s="34" t="s">
        <v>3603</v>
      </c>
      <c r="J50" s="31" t="s">
        <v>3604</v>
      </c>
      <c r="K50" s="31" t="s">
        <v>3304</v>
      </c>
      <c r="L50" s="31" t="s">
        <v>3605</v>
      </c>
      <c r="M50" s="34" t="s">
        <v>3391</v>
      </c>
      <c r="N50" s="32">
        <v>456</v>
      </c>
      <c r="O50" s="35">
        <v>1</v>
      </c>
      <c r="P50" s="31" t="s">
        <v>3307</v>
      </c>
      <c r="Q50" s="31" t="s">
        <v>3392</v>
      </c>
      <c r="R50" s="31" t="s">
        <v>3304</v>
      </c>
      <c r="S50" s="31" t="s">
        <v>3304</v>
      </c>
      <c r="T50" s="31" t="s">
        <v>3304</v>
      </c>
      <c r="U50" s="35">
        <v>1</v>
      </c>
      <c r="V50" s="34" t="s">
        <v>3304</v>
      </c>
      <c r="W50" s="34" t="s">
        <v>3606</v>
      </c>
    </row>
    <row r="51" s="26" customFormat="1" customHeight="1" spans="1:23">
      <c r="A51" s="30" t="s">
        <v>3607</v>
      </c>
      <c r="B51" s="31" t="s">
        <v>3608</v>
      </c>
      <c r="C51" s="32">
        <v>436</v>
      </c>
      <c r="D51" s="31" t="s">
        <v>53</v>
      </c>
      <c r="E51" s="33">
        <v>43632.9159375</v>
      </c>
      <c r="F51" s="33">
        <v>43632.9228125</v>
      </c>
      <c r="G51" s="31" t="s">
        <v>3300</v>
      </c>
      <c r="H51" s="31" t="s">
        <v>3609</v>
      </c>
      <c r="I51" s="34" t="s">
        <v>3610</v>
      </c>
      <c r="J51" s="31" t="s">
        <v>3611</v>
      </c>
      <c r="K51" s="31" t="s">
        <v>3304</v>
      </c>
      <c r="L51" s="31" t="s">
        <v>3612</v>
      </c>
      <c r="M51" s="34" t="s">
        <v>3483</v>
      </c>
      <c r="N51" s="32">
        <v>456</v>
      </c>
      <c r="O51" s="35">
        <v>1</v>
      </c>
      <c r="P51" s="31" t="s">
        <v>3307</v>
      </c>
      <c r="Q51" s="31" t="s">
        <v>3392</v>
      </c>
      <c r="R51" s="31" t="s">
        <v>3304</v>
      </c>
      <c r="S51" s="31" t="s">
        <v>3304</v>
      </c>
      <c r="T51" s="31" t="s">
        <v>3304</v>
      </c>
      <c r="U51" s="35">
        <v>1</v>
      </c>
      <c r="V51" s="34" t="s">
        <v>3304</v>
      </c>
      <c r="W51" s="34" t="s">
        <v>3613</v>
      </c>
    </row>
    <row r="52" s="26" customFormat="1" customHeight="1" spans="1:23">
      <c r="A52" s="30" t="s">
        <v>3614</v>
      </c>
      <c r="B52" s="31" t="s">
        <v>3615</v>
      </c>
      <c r="C52" s="32">
        <v>436</v>
      </c>
      <c r="D52" s="31" t="s">
        <v>53</v>
      </c>
      <c r="E52" s="33">
        <v>43632.9055439815</v>
      </c>
      <c r="F52" s="33">
        <v>43632.9088078704</v>
      </c>
      <c r="G52" s="31" t="s">
        <v>3300</v>
      </c>
      <c r="H52" s="31" t="s">
        <v>3616</v>
      </c>
      <c r="I52" s="34" t="s">
        <v>3617</v>
      </c>
      <c r="J52" s="31" t="s">
        <v>3335</v>
      </c>
      <c r="K52" s="31" t="s">
        <v>3304</v>
      </c>
      <c r="L52" s="31" t="s">
        <v>3618</v>
      </c>
      <c r="M52" s="34" t="s">
        <v>3391</v>
      </c>
      <c r="N52" s="32">
        <v>456</v>
      </c>
      <c r="O52" s="35">
        <v>1</v>
      </c>
      <c r="P52" s="31" t="s">
        <v>3307</v>
      </c>
      <c r="Q52" s="31" t="s">
        <v>3392</v>
      </c>
      <c r="R52" s="31" t="s">
        <v>3304</v>
      </c>
      <c r="S52" s="31" t="s">
        <v>3304</v>
      </c>
      <c r="T52" s="31" t="s">
        <v>3304</v>
      </c>
      <c r="U52" s="35">
        <v>1</v>
      </c>
      <c r="V52" s="34" t="s">
        <v>3304</v>
      </c>
      <c r="W52" s="34" t="s">
        <v>3619</v>
      </c>
    </row>
    <row r="53" s="26" customFormat="1" customHeight="1" spans="1:23">
      <c r="A53" s="30" t="s">
        <v>3620</v>
      </c>
      <c r="B53" s="31" t="s">
        <v>3621</v>
      </c>
      <c r="C53" s="32">
        <v>598</v>
      </c>
      <c r="D53" s="31" t="s">
        <v>53</v>
      </c>
      <c r="E53" s="33">
        <v>43632.9054976852</v>
      </c>
      <c r="F53" s="33">
        <v>43632.9134606482</v>
      </c>
      <c r="G53" s="31" t="s">
        <v>3300</v>
      </c>
      <c r="H53" s="31" t="s">
        <v>3622</v>
      </c>
      <c r="I53" s="34" t="s">
        <v>3623</v>
      </c>
      <c r="J53" s="31" t="s">
        <v>3335</v>
      </c>
      <c r="K53" s="31" t="s">
        <v>3304</v>
      </c>
      <c r="L53" s="31" t="s">
        <v>3624</v>
      </c>
      <c r="M53" s="34" t="s">
        <v>3350</v>
      </c>
      <c r="N53" s="32">
        <v>618</v>
      </c>
      <c r="O53" s="35">
        <v>1</v>
      </c>
      <c r="P53" s="31" t="s">
        <v>3307</v>
      </c>
      <c r="Q53" s="31" t="s">
        <v>3308</v>
      </c>
      <c r="R53" s="31" t="s">
        <v>3304</v>
      </c>
      <c r="S53" s="31" t="s">
        <v>3304</v>
      </c>
      <c r="T53" s="31" t="s">
        <v>3304</v>
      </c>
      <c r="U53" s="35">
        <v>1</v>
      </c>
      <c r="V53" s="34" t="s">
        <v>3304</v>
      </c>
      <c r="W53" s="34" t="s">
        <v>3625</v>
      </c>
    </row>
    <row r="54" s="26" customFormat="1" customHeight="1" spans="1:23">
      <c r="A54" s="30" t="s">
        <v>3626</v>
      </c>
      <c r="B54" s="31" t="s">
        <v>3627</v>
      </c>
      <c r="C54" s="32">
        <v>456</v>
      </c>
      <c r="D54" s="31" t="s">
        <v>53</v>
      </c>
      <c r="E54" s="33">
        <v>43632.9053935185</v>
      </c>
      <c r="F54" s="33">
        <v>43632.9078819444</v>
      </c>
      <c r="G54" s="31" t="s">
        <v>3300</v>
      </c>
      <c r="H54" s="31" t="s">
        <v>3628</v>
      </c>
      <c r="I54" s="34" t="s">
        <v>3629</v>
      </c>
      <c r="J54" s="31" t="s">
        <v>3630</v>
      </c>
      <c r="K54" s="31" t="s">
        <v>3304</v>
      </c>
      <c r="L54" s="31" t="s">
        <v>3631</v>
      </c>
      <c r="M54" s="34" t="s">
        <v>3496</v>
      </c>
      <c r="N54" s="32">
        <v>456</v>
      </c>
      <c r="O54" s="35">
        <v>1</v>
      </c>
      <c r="P54" s="31" t="s">
        <v>3307</v>
      </c>
      <c r="Q54" s="31" t="s">
        <v>3392</v>
      </c>
      <c r="R54" s="31" t="s">
        <v>3304</v>
      </c>
      <c r="S54" s="31" t="s">
        <v>3304</v>
      </c>
      <c r="T54" s="31" t="s">
        <v>3304</v>
      </c>
      <c r="U54" s="35">
        <v>1</v>
      </c>
      <c r="V54" s="34" t="s">
        <v>3304</v>
      </c>
      <c r="W54" s="34" t="s">
        <v>3632</v>
      </c>
    </row>
    <row r="55" s="26" customFormat="1" customHeight="1" spans="1:23">
      <c r="A55" s="30" t="s">
        <v>3633</v>
      </c>
      <c r="B55" s="31" t="s">
        <v>3634</v>
      </c>
      <c r="C55" s="32">
        <v>548</v>
      </c>
      <c r="D55" s="31" t="s">
        <v>53</v>
      </c>
      <c r="E55" s="33">
        <v>43632.8784143518</v>
      </c>
      <c r="F55" s="33">
        <v>43632.8809953704</v>
      </c>
      <c r="G55" s="31" t="s">
        <v>3300</v>
      </c>
      <c r="H55" s="31" t="s">
        <v>3635</v>
      </c>
      <c r="I55" s="34" t="s">
        <v>3636</v>
      </c>
      <c r="J55" s="31" t="s">
        <v>3637</v>
      </c>
      <c r="K55" s="31" t="s">
        <v>3304</v>
      </c>
      <c r="L55" s="31" t="s">
        <v>3638</v>
      </c>
      <c r="M55" s="34" t="s">
        <v>3306</v>
      </c>
      <c r="N55" s="32">
        <v>568</v>
      </c>
      <c r="O55" s="35">
        <v>1</v>
      </c>
      <c r="P55" s="31" t="s">
        <v>3307</v>
      </c>
      <c r="Q55" s="31" t="s">
        <v>3308</v>
      </c>
      <c r="R55" s="31" t="s">
        <v>3304</v>
      </c>
      <c r="S55" s="31" t="s">
        <v>3304</v>
      </c>
      <c r="T55" s="31" t="s">
        <v>3304</v>
      </c>
      <c r="U55" s="35">
        <v>1</v>
      </c>
      <c r="V55" s="34" t="s">
        <v>3304</v>
      </c>
      <c r="W55" s="34" t="s">
        <v>3639</v>
      </c>
    </row>
    <row r="56" s="26" customFormat="1" customHeight="1" spans="1:23">
      <c r="A56" s="30" t="s">
        <v>3640</v>
      </c>
      <c r="B56" s="31" t="s">
        <v>3641</v>
      </c>
      <c r="C56" s="32">
        <v>456</v>
      </c>
      <c r="D56" s="31" t="s">
        <v>53</v>
      </c>
      <c r="E56" s="33">
        <v>43631.9939467593</v>
      </c>
      <c r="F56" s="33">
        <v>43631.9979398148</v>
      </c>
      <c r="G56" s="31" t="s">
        <v>3300</v>
      </c>
      <c r="H56" s="31" t="s">
        <v>401</v>
      </c>
      <c r="I56" s="34" t="s">
        <v>3642</v>
      </c>
      <c r="J56" s="31" t="s">
        <v>3643</v>
      </c>
      <c r="K56" s="31" t="s">
        <v>3304</v>
      </c>
      <c r="L56" s="31" t="s">
        <v>3644</v>
      </c>
      <c r="M56" s="34" t="s">
        <v>3391</v>
      </c>
      <c r="N56" s="32">
        <v>456</v>
      </c>
      <c r="O56" s="35">
        <v>1</v>
      </c>
      <c r="P56" s="31" t="s">
        <v>3307</v>
      </c>
      <c r="Q56" s="31" t="s">
        <v>3392</v>
      </c>
      <c r="R56" s="31" t="s">
        <v>3304</v>
      </c>
      <c r="S56" s="31" t="s">
        <v>3304</v>
      </c>
      <c r="T56" s="31" t="s">
        <v>3304</v>
      </c>
      <c r="U56" s="35">
        <v>1</v>
      </c>
      <c r="V56" s="34" t="s">
        <v>3304</v>
      </c>
      <c r="W56" s="34" t="s">
        <v>3645</v>
      </c>
    </row>
    <row r="57" s="26" customFormat="1" customHeight="1" spans="1:23">
      <c r="A57" s="30" t="s">
        <v>3646</v>
      </c>
      <c r="B57" s="31" t="s">
        <v>3647</v>
      </c>
      <c r="C57" s="32">
        <v>436</v>
      </c>
      <c r="D57" s="31" t="s">
        <v>53</v>
      </c>
      <c r="E57" s="33">
        <v>43631.9924189815</v>
      </c>
      <c r="F57" s="33">
        <v>43631.9968287037</v>
      </c>
      <c r="G57" s="31" t="s">
        <v>3300</v>
      </c>
      <c r="H57" s="31" t="s">
        <v>3648</v>
      </c>
      <c r="I57" s="34" t="s">
        <v>3649</v>
      </c>
      <c r="J57" s="31" t="s">
        <v>3304</v>
      </c>
      <c r="K57" s="31" t="s">
        <v>3304</v>
      </c>
      <c r="L57" s="31" t="s">
        <v>3650</v>
      </c>
      <c r="M57" s="34" t="s">
        <v>3391</v>
      </c>
      <c r="N57" s="32">
        <v>456</v>
      </c>
      <c r="O57" s="35">
        <v>1</v>
      </c>
      <c r="P57" s="31" t="s">
        <v>3307</v>
      </c>
      <c r="Q57" s="31" t="s">
        <v>3392</v>
      </c>
      <c r="R57" s="31" t="s">
        <v>3304</v>
      </c>
      <c r="S57" s="31" t="s">
        <v>3304</v>
      </c>
      <c r="T57" s="31" t="s">
        <v>3304</v>
      </c>
      <c r="U57" s="35">
        <v>1</v>
      </c>
      <c r="V57" s="34" t="s">
        <v>3304</v>
      </c>
      <c r="W57" s="34" t="s">
        <v>3651</v>
      </c>
    </row>
    <row r="58" s="26" customFormat="1" customHeight="1" spans="1:23">
      <c r="A58" s="30" t="s">
        <v>3652</v>
      </c>
      <c r="B58" s="31" t="s">
        <v>3653</v>
      </c>
      <c r="C58" s="32">
        <v>436</v>
      </c>
      <c r="D58" s="31" t="s">
        <v>53</v>
      </c>
      <c r="E58" s="33">
        <v>43631.9809490741</v>
      </c>
      <c r="F58" s="33">
        <v>43632.0057291667</v>
      </c>
      <c r="G58" s="31" t="s">
        <v>3300</v>
      </c>
      <c r="H58" s="31" t="s">
        <v>3654</v>
      </c>
      <c r="I58" s="34" t="s">
        <v>3655</v>
      </c>
      <c r="J58" s="31" t="s">
        <v>3304</v>
      </c>
      <c r="K58" s="31" t="s">
        <v>3304</v>
      </c>
      <c r="L58" s="31" t="s">
        <v>3656</v>
      </c>
      <c r="M58" s="34" t="s">
        <v>3496</v>
      </c>
      <c r="N58" s="32">
        <v>456</v>
      </c>
      <c r="O58" s="35">
        <v>1</v>
      </c>
      <c r="P58" s="31" t="s">
        <v>3307</v>
      </c>
      <c r="Q58" s="31" t="s">
        <v>3392</v>
      </c>
      <c r="R58" s="31" t="s">
        <v>3304</v>
      </c>
      <c r="S58" s="31" t="s">
        <v>3304</v>
      </c>
      <c r="T58" s="31" t="s">
        <v>3304</v>
      </c>
      <c r="U58" s="35">
        <v>1</v>
      </c>
      <c r="V58" s="34" t="s">
        <v>3304</v>
      </c>
      <c r="W58" s="34" t="s">
        <v>3657</v>
      </c>
    </row>
    <row r="59" s="26" customFormat="1" customHeight="1" spans="1:23">
      <c r="A59" s="30" t="s">
        <v>3658</v>
      </c>
      <c r="B59" s="31" t="s">
        <v>3659</v>
      </c>
      <c r="C59" s="32">
        <v>588</v>
      </c>
      <c r="D59" s="31" t="s">
        <v>53</v>
      </c>
      <c r="E59" s="33">
        <v>43631.97125</v>
      </c>
      <c r="F59" s="33">
        <v>43631.9847453704</v>
      </c>
      <c r="G59" s="31" t="s">
        <v>3300</v>
      </c>
      <c r="H59" s="31" t="s">
        <v>3660</v>
      </c>
      <c r="I59" s="34" t="s">
        <v>3661</v>
      </c>
      <c r="J59" s="31" t="s">
        <v>3662</v>
      </c>
      <c r="K59" s="31" t="s">
        <v>3304</v>
      </c>
      <c r="L59" s="31" t="s">
        <v>3663</v>
      </c>
      <c r="M59" s="34" t="s">
        <v>3350</v>
      </c>
      <c r="N59" s="32">
        <v>618</v>
      </c>
      <c r="O59" s="35">
        <v>1</v>
      </c>
      <c r="P59" s="31" t="s">
        <v>3307</v>
      </c>
      <c r="Q59" s="31" t="s">
        <v>3308</v>
      </c>
      <c r="R59" s="31" t="s">
        <v>3304</v>
      </c>
      <c r="S59" s="31" t="s">
        <v>3304</v>
      </c>
      <c r="T59" s="31" t="s">
        <v>3304</v>
      </c>
      <c r="U59" s="35">
        <v>1</v>
      </c>
      <c r="V59" s="34" t="s">
        <v>3304</v>
      </c>
      <c r="W59" s="34" t="s">
        <v>3664</v>
      </c>
    </row>
    <row r="60" s="26" customFormat="1" customHeight="1" spans="1:23">
      <c r="A60" s="30" t="s">
        <v>3665</v>
      </c>
      <c r="B60" s="31" t="s">
        <v>3666</v>
      </c>
      <c r="C60" s="32">
        <v>426</v>
      </c>
      <c r="D60" s="31" t="s">
        <v>53</v>
      </c>
      <c r="E60" s="33">
        <v>43631.9624652778</v>
      </c>
      <c r="F60" s="33">
        <v>43631.9647685185</v>
      </c>
      <c r="G60" s="31" t="s">
        <v>3300</v>
      </c>
      <c r="H60" s="31" t="s">
        <v>3667</v>
      </c>
      <c r="I60" s="34" t="s">
        <v>3668</v>
      </c>
      <c r="J60" s="31" t="s">
        <v>3304</v>
      </c>
      <c r="K60" s="31" t="s">
        <v>3304</v>
      </c>
      <c r="L60" s="31" t="s">
        <v>3669</v>
      </c>
      <c r="M60" s="34" t="s">
        <v>3483</v>
      </c>
      <c r="N60" s="32">
        <v>456</v>
      </c>
      <c r="O60" s="35">
        <v>1</v>
      </c>
      <c r="P60" s="31" t="s">
        <v>3307</v>
      </c>
      <c r="Q60" s="31" t="s">
        <v>3392</v>
      </c>
      <c r="R60" s="31" t="s">
        <v>3304</v>
      </c>
      <c r="S60" s="31" t="s">
        <v>3304</v>
      </c>
      <c r="T60" s="31" t="s">
        <v>3304</v>
      </c>
      <c r="U60" s="35">
        <v>1</v>
      </c>
      <c r="V60" s="34" t="s">
        <v>3304</v>
      </c>
      <c r="W60" s="34" t="s">
        <v>3670</v>
      </c>
    </row>
    <row r="61" s="26" customFormat="1" customHeight="1" spans="1:23">
      <c r="A61" s="30" t="s">
        <v>3671</v>
      </c>
      <c r="B61" s="31" t="s">
        <v>3672</v>
      </c>
      <c r="C61" s="32">
        <v>568</v>
      </c>
      <c r="D61" s="31" t="s">
        <v>53</v>
      </c>
      <c r="E61" s="33">
        <v>43631.944224537</v>
      </c>
      <c r="F61" s="33">
        <v>43631.951724537</v>
      </c>
      <c r="G61" s="31" t="s">
        <v>3300</v>
      </c>
      <c r="H61" s="31" t="s">
        <v>3673</v>
      </c>
      <c r="I61" s="34" t="s">
        <v>3674</v>
      </c>
      <c r="J61" s="31" t="s">
        <v>3304</v>
      </c>
      <c r="K61" s="31" t="s">
        <v>3304</v>
      </c>
      <c r="L61" s="31" t="s">
        <v>3675</v>
      </c>
      <c r="M61" s="34" t="s">
        <v>3306</v>
      </c>
      <c r="N61" s="32">
        <v>568</v>
      </c>
      <c r="O61" s="35">
        <v>1</v>
      </c>
      <c r="P61" s="31" t="s">
        <v>3307</v>
      </c>
      <c r="Q61" s="31" t="s">
        <v>3308</v>
      </c>
      <c r="R61" s="31" t="s">
        <v>3304</v>
      </c>
      <c r="S61" s="31" t="s">
        <v>3304</v>
      </c>
      <c r="T61" s="31" t="s">
        <v>3304</v>
      </c>
      <c r="U61" s="35">
        <v>1</v>
      </c>
      <c r="V61" s="34" t="s">
        <v>3304</v>
      </c>
      <c r="W61" s="34" t="s">
        <v>3676</v>
      </c>
    </row>
    <row r="62" s="26" customFormat="1" customHeight="1" spans="1:23">
      <c r="A62" s="30" t="s">
        <v>3677</v>
      </c>
      <c r="B62" s="31" t="s">
        <v>3678</v>
      </c>
      <c r="C62" s="32">
        <v>752.56</v>
      </c>
      <c r="D62" s="31" t="s">
        <v>53</v>
      </c>
      <c r="E62" s="33">
        <v>43630.7947916667</v>
      </c>
      <c r="F62" s="33">
        <v>43630.8016435185</v>
      </c>
      <c r="G62" s="31" t="s">
        <v>3300</v>
      </c>
      <c r="H62" s="31" t="s">
        <v>3679</v>
      </c>
      <c r="I62" s="34" t="s">
        <v>3680</v>
      </c>
      <c r="J62" s="31" t="s">
        <v>3335</v>
      </c>
      <c r="K62" s="31" t="s">
        <v>3304</v>
      </c>
      <c r="L62" s="31" t="s">
        <v>3681</v>
      </c>
      <c r="M62" s="34" t="s">
        <v>3682</v>
      </c>
      <c r="N62" s="32">
        <v>888</v>
      </c>
      <c r="O62" s="35">
        <v>1</v>
      </c>
      <c r="P62" s="31" t="s">
        <v>3316</v>
      </c>
      <c r="Q62" s="31" t="s">
        <v>3683</v>
      </c>
      <c r="R62" s="31" t="s">
        <v>3304</v>
      </c>
      <c r="S62" s="31" t="s">
        <v>3304</v>
      </c>
      <c r="T62" s="31" t="s">
        <v>3304</v>
      </c>
      <c r="U62" s="35">
        <v>1</v>
      </c>
      <c r="V62" s="34" t="s">
        <v>3304</v>
      </c>
      <c r="W62" s="34" t="s">
        <v>3684</v>
      </c>
    </row>
    <row r="63" s="26" customFormat="1" customHeight="1" spans="1:23">
      <c r="A63" s="30" t="s">
        <v>3685</v>
      </c>
      <c r="B63" s="31" t="s">
        <v>3686</v>
      </c>
      <c r="C63" s="32">
        <v>1899</v>
      </c>
      <c r="D63" s="31" t="s">
        <v>53</v>
      </c>
      <c r="E63" s="33">
        <v>43630.7787384259</v>
      </c>
      <c r="F63" s="33">
        <v>43630.7852546296</v>
      </c>
      <c r="G63" s="31" t="s">
        <v>3300</v>
      </c>
      <c r="H63" s="31" t="s">
        <v>3687</v>
      </c>
      <c r="I63" s="34" t="s">
        <v>3688</v>
      </c>
      <c r="J63" s="31" t="s">
        <v>3304</v>
      </c>
      <c r="K63" s="31" t="s">
        <v>3304</v>
      </c>
      <c r="L63" s="31" t="s">
        <v>3689</v>
      </c>
      <c r="M63" s="34" t="s">
        <v>3690</v>
      </c>
      <c r="N63" s="32">
        <v>1899</v>
      </c>
      <c r="O63" s="35">
        <v>1</v>
      </c>
      <c r="P63" s="31" t="s">
        <v>3316</v>
      </c>
      <c r="Q63" s="31" t="s">
        <v>3691</v>
      </c>
      <c r="R63" s="31" t="s">
        <v>3304</v>
      </c>
      <c r="S63" s="31" t="s">
        <v>3304</v>
      </c>
      <c r="T63" s="31" t="s">
        <v>3304</v>
      </c>
      <c r="U63" s="35">
        <v>1</v>
      </c>
      <c r="V63" s="34" t="s">
        <v>3304</v>
      </c>
      <c r="W63" s="34" t="s">
        <v>3692</v>
      </c>
    </row>
    <row r="64" s="26" customFormat="1" customHeight="1" spans="1:23">
      <c r="A64" s="30" t="s">
        <v>3693</v>
      </c>
      <c r="B64" s="31" t="s">
        <v>3694</v>
      </c>
      <c r="C64" s="32">
        <v>436</v>
      </c>
      <c r="D64" s="31" t="s">
        <v>53</v>
      </c>
      <c r="E64" s="33">
        <v>43630.7612847222</v>
      </c>
      <c r="F64" s="33">
        <v>43630.7644328704</v>
      </c>
      <c r="G64" s="31" t="s">
        <v>3300</v>
      </c>
      <c r="H64" s="31" t="s">
        <v>3695</v>
      </c>
      <c r="I64" s="34" t="s">
        <v>3696</v>
      </c>
      <c r="J64" s="31" t="s">
        <v>3697</v>
      </c>
      <c r="K64" s="31" t="s">
        <v>3304</v>
      </c>
      <c r="L64" s="31" t="s">
        <v>3698</v>
      </c>
      <c r="M64" s="34" t="s">
        <v>3483</v>
      </c>
      <c r="N64" s="32">
        <v>456</v>
      </c>
      <c r="O64" s="35">
        <v>1</v>
      </c>
      <c r="P64" s="31" t="s">
        <v>3307</v>
      </c>
      <c r="Q64" s="31" t="s">
        <v>3392</v>
      </c>
      <c r="R64" s="31" t="s">
        <v>3304</v>
      </c>
      <c r="S64" s="31" t="s">
        <v>3304</v>
      </c>
      <c r="T64" s="31" t="s">
        <v>3304</v>
      </c>
      <c r="U64" s="35">
        <v>1</v>
      </c>
      <c r="V64" s="34" t="s">
        <v>3304</v>
      </c>
      <c r="W64" s="34" t="s">
        <v>3699</v>
      </c>
    </row>
    <row r="65" s="26" customFormat="1" customHeight="1" spans="1:23">
      <c r="A65" s="30" t="s">
        <v>3700</v>
      </c>
      <c r="B65" s="31" t="s">
        <v>3701</v>
      </c>
      <c r="C65" s="32">
        <v>426</v>
      </c>
      <c r="D65" s="31" t="s">
        <v>53</v>
      </c>
      <c r="E65" s="33">
        <v>43630.7528240741</v>
      </c>
      <c r="F65" s="33">
        <v>43630.7565509259</v>
      </c>
      <c r="G65" s="31" t="s">
        <v>3300</v>
      </c>
      <c r="H65" s="31" t="s">
        <v>3702</v>
      </c>
      <c r="I65" s="34" t="s">
        <v>3703</v>
      </c>
      <c r="J65" s="31" t="s">
        <v>3335</v>
      </c>
      <c r="K65" s="31" t="s">
        <v>3304</v>
      </c>
      <c r="L65" s="31" t="s">
        <v>3704</v>
      </c>
      <c r="M65" s="34" t="s">
        <v>3391</v>
      </c>
      <c r="N65" s="32">
        <v>456</v>
      </c>
      <c r="O65" s="35">
        <v>1</v>
      </c>
      <c r="P65" s="31" t="s">
        <v>3307</v>
      </c>
      <c r="Q65" s="31" t="s">
        <v>3392</v>
      </c>
      <c r="R65" s="31" t="s">
        <v>3304</v>
      </c>
      <c r="S65" s="31" t="s">
        <v>3304</v>
      </c>
      <c r="T65" s="31" t="s">
        <v>3304</v>
      </c>
      <c r="U65" s="35">
        <v>1</v>
      </c>
      <c r="V65" s="34" t="s">
        <v>3304</v>
      </c>
      <c r="W65" s="34" t="s">
        <v>3705</v>
      </c>
    </row>
    <row r="66" s="26" customFormat="1" customHeight="1" spans="1:23">
      <c r="A66" s="30" t="s">
        <v>3706</v>
      </c>
      <c r="B66" s="31" t="s">
        <v>3707</v>
      </c>
      <c r="C66" s="32">
        <v>426</v>
      </c>
      <c r="D66" s="31" t="s">
        <v>53</v>
      </c>
      <c r="E66" s="33">
        <v>43630.7513888889</v>
      </c>
      <c r="F66" s="33">
        <v>43630.7533449074</v>
      </c>
      <c r="G66" s="31" t="s">
        <v>3300</v>
      </c>
      <c r="H66" s="31" t="s">
        <v>3708</v>
      </c>
      <c r="I66" s="34" t="s">
        <v>3709</v>
      </c>
      <c r="J66" s="31" t="s">
        <v>3335</v>
      </c>
      <c r="K66" s="31" t="s">
        <v>3304</v>
      </c>
      <c r="L66" s="31" t="s">
        <v>3710</v>
      </c>
      <c r="M66" s="34" t="s">
        <v>3483</v>
      </c>
      <c r="N66" s="32">
        <v>456</v>
      </c>
      <c r="O66" s="35">
        <v>1</v>
      </c>
      <c r="P66" s="31" t="s">
        <v>3307</v>
      </c>
      <c r="Q66" s="31" t="s">
        <v>3392</v>
      </c>
      <c r="R66" s="31" t="s">
        <v>3304</v>
      </c>
      <c r="S66" s="31" t="s">
        <v>3304</v>
      </c>
      <c r="T66" s="31" t="s">
        <v>3304</v>
      </c>
      <c r="U66" s="35">
        <v>1</v>
      </c>
      <c r="V66" s="34" t="s">
        <v>3304</v>
      </c>
      <c r="W66" s="34" t="s">
        <v>3711</v>
      </c>
    </row>
    <row r="67" s="26" customFormat="1" customHeight="1" spans="1:23">
      <c r="A67" s="30" t="s">
        <v>3712</v>
      </c>
      <c r="B67" s="31" t="s">
        <v>3713</v>
      </c>
      <c r="C67" s="32">
        <v>426</v>
      </c>
      <c r="D67" s="31" t="s">
        <v>53</v>
      </c>
      <c r="E67" s="33">
        <v>43630.736712963</v>
      </c>
      <c r="F67" s="33">
        <v>43630.7387962963</v>
      </c>
      <c r="G67" s="31" t="s">
        <v>3300</v>
      </c>
      <c r="H67" s="31" t="s">
        <v>3714</v>
      </c>
      <c r="I67" s="34" t="s">
        <v>3715</v>
      </c>
      <c r="J67" s="31" t="s">
        <v>3304</v>
      </c>
      <c r="K67" s="31" t="s">
        <v>3304</v>
      </c>
      <c r="L67" s="31" t="s">
        <v>3716</v>
      </c>
      <c r="M67" s="34" t="s">
        <v>3391</v>
      </c>
      <c r="N67" s="32">
        <v>456</v>
      </c>
      <c r="O67" s="35">
        <v>1</v>
      </c>
      <c r="P67" s="31" t="s">
        <v>3307</v>
      </c>
      <c r="Q67" s="31" t="s">
        <v>3392</v>
      </c>
      <c r="R67" s="31" t="s">
        <v>3304</v>
      </c>
      <c r="S67" s="31" t="s">
        <v>3304</v>
      </c>
      <c r="T67" s="31" t="s">
        <v>3304</v>
      </c>
      <c r="U67" s="35">
        <v>1</v>
      </c>
      <c r="V67" s="34" t="s">
        <v>3304</v>
      </c>
      <c r="W67" s="34" t="s">
        <v>3717</v>
      </c>
    </row>
    <row r="68" s="26" customFormat="1" customHeight="1" spans="1:23">
      <c r="A68" s="30" t="s">
        <v>3718</v>
      </c>
      <c r="B68" s="31" t="s">
        <v>3719</v>
      </c>
      <c r="C68" s="32">
        <v>426</v>
      </c>
      <c r="D68" s="31" t="s">
        <v>53</v>
      </c>
      <c r="E68" s="33">
        <v>43630.7341782407</v>
      </c>
      <c r="F68" s="33">
        <v>43630.7600115741</v>
      </c>
      <c r="G68" s="31" t="s">
        <v>3300</v>
      </c>
      <c r="H68" s="31" t="s">
        <v>3720</v>
      </c>
      <c r="I68" s="34" t="s">
        <v>3721</v>
      </c>
      <c r="J68" s="31" t="s">
        <v>3722</v>
      </c>
      <c r="K68" s="31" t="s">
        <v>3304</v>
      </c>
      <c r="L68" s="31" t="s">
        <v>3723</v>
      </c>
      <c r="M68" s="34" t="s">
        <v>3496</v>
      </c>
      <c r="N68" s="32">
        <v>456</v>
      </c>
      <c r="O68" s="35">
        <v>1</v>
      </c>
      <c r="P68" s="31" t="s">
        <v>3307</v>
      </c>
      <c r="Q68" s="31" t="s">
        <v>3392</v>
      </c>
      <c r="R68" s="31" t="s">
        <v>3304</v>
      </c>
      <c r="S68" s="31" t="s">
        <v>3304</v>
      </c>
      <c r="T68" s="31" t="s">
        <v>3304</v>
      </c>
      <c r="U68" s="35">
        <v>1</v>
      </c>
      <c r="V68" s="34" t="s">
        <v>3304</v>
      </c>
      <c r="W68" s="34" t="s">
        <v>3724</v>
      </c>
    </row>
    <row r="69" s="26" customFormat="1" customHeight="1" spans="1:23">
      <c r="A69" s="30" t="s">
        <v>3725</v>
      </c>
      <c r="B69" s="31" t="s">
        <v>3726</v>
      </c>
      <c r="C69" s="32">
        <v>588</v>
      </c>
      <c r="D69" s="31" t="s">
        <v>53</v>
      </c>
      <c r="E69" s="33">
        <v>43630.7316087963</v>
      </c>
      <c r="F69" s="33">
        <v>43630.7342476852</v>
      </c>
      <c r="G69" s="31" t="s">
        <v>3300</v>
      </c>
      <c r="H69" s="31" t="s">
        <v>3727</v>
      </c>
      <c r="I69" s="34" t="s">
        <v>3728</v>
      </c>
      <c r="J69" s="31" t="s">
        <v>3335</v>
      </c>
      <c r="K69" s="31" t="s">
        <v>3304</v>
      </c>
      <c r="L69" s="31" t="s">
        <v>3729</v>
      </c>
      <c r="M69" s="34" t="s">
        <v>3350</v>
      </c>
      <c r="N69" s="32">
        <v>618</v>
      </c>
      <c r="O69" s="35">
        <v>1</v>
      </c>
      <c r="P69" s="31" t="s">
        <v>3307</v>
      </c>
      <c r="Q69" s="31" t="s">
        <v>3308</v>
      </c>
      <c r="R69" s="31" t="s">
        <v>3304</v>
      </c>
      <c r="S69" s="31" t="s">
        <v>3304</v>
      </c>
      <c r="T69" s="31" t="s">
        <v>3304</v>
      </c>
      <c r="U69" s="35">
        <v>1</v>
      </c>
      <c r="V69" s="34" t="s">
        <v>3304</v>
      </c>
      <c r="W69" s="34" t="s">
        <v>3730</v>
      </c>
    </row>
    <row r="70" s="26" customFormat="1" customHeight="1" spans="1:23">
      <c r="A70" s="30" t="s">
        <v>3731</v>
      </c>
      <c r="B70" s="31" t="s">
        <v>3732</v>
      </c>
      <c r="C70" s="32">
        <v>568</v>
      </c>
      <c r="D70" s="31" t="s">
        <v>53</v>
      </c>
      <c r="E70" s="33">
        <v>43629.7423032408</v>
      </c>
      <c r="F70" s="33">
        <v>43629.7499074074</v>
      </c>
      <c r="G70" s="31" t="s">
        <v>3300</v>
      </c>
      <c r="H70" s="31" t="s">
        <v>3733</v>
      </c>
      <c r="I70" s="34" t="s">
        <v>3734</v>
      </c>
      <c r="J70" s="31" t="s">
        <v>3304</v>
      </c>
      <c r="K70" s="31" t="s">
        <v>3304</v>
      </c>
      <c r="L70" s="31" t="s">
        <v>3735</v>
      </c>
      <c r="M70" s="34" t="s">
        <v>3306</v>
      </c>
      <c r="N70" s="32">
        <v>568</v>
      </c>
      <c r="O70" s="35">
        <v>1</v>
      </c>
      <c r="P70" s="31" t="s">
        <v>3307</v>
      </c>
      <c r="Q70" s="31" t="s">
        <v>3308</v>
      </c>
      <c r="R70" s="31" t="s">
        <v>3304</v>
      </c>
      <c r="S70" s="31" t="s">
        <v>3304</v>
      </c>
      <c r="T70" s="31" t="s">
        <v>3304</v>
      </c>
      <c r="U70" s="35">
        <v>1</v>
      </c>
      <c r="V70" s="34" t="s">
        <v>3304</v>
      </c>
      <c r="W70" s="34" t="s">
        <v>3736</v>
      </c>
    </row>
    <row r="71" s="26" customFormat="1" customHeight="1" spans="1:23">
      <c r="A71" s="30" t="s">
        <v>3737</v>
      </c>
      <c r="B71" s="31" t="s">
        <v>3738</v>
      </c>
      <c r="C71" s="32">
        <v>426</v>
      </c>
      <c r="D71" s="31" t="s">
        <v>53</v>
      </c>
      <c r="E71" s="33">
        <v>43629.7121527778</v>
      </c>
      <c r="F71" s="33">
        <v>43629.7187615741</v>
      </c>
      <c r="G71" s="31" t="s">
        <v>3300</v>
      </c>
      <c r="H71" s="31" t="s">
        <v>3739</v>
      </c>
      <c r="I71" s="34" t="s">
        <v>3740</v>
      </c>
      <c r="J71" s="31" t="s">
        <v>3741</v>
      </c>
      <c r="K71" s="31" t="s">
        <v>3304</v>
      </c>
      <c r="L71" s="31" t="s">
        <v>3742</v>
      </c>
      <c r="M71" s="34" t="s">
        <v>3483</v>
      </c>
      <c r="N71" s="32">
        <v>456</v>
      </c>
      <c r="O71" s="35">
        <v>1</v>
      </c>
      <c r="P71" s="31" t="s">
        <v>3307</v>
      </c>
      <c r="Q71" s="31" t="s">
        <v>3392</v>
      </c>
      <c r="R71" s="31" t="s">
        <v>3304</v>
      </c>
      <c r="S71" s="31" t="s">
        <v>3304</v>
      </c>
      <c r="T71" s="31" t="s">
        <v>3304</v>
      </c>
      <c r="U71" s="35">
        <v>1</v>
      </c>
      <c r="V71" s="34" t="s">
        <v>3304</v>
      </c>
      <c r="W71" s="34" t="s">
        <v>3743</v>
      </c>
    </row>
    <row r="72" s="26" customFormat="1" customHeight="1" spans="1:23">
      <c r="A72" s="30" t="s">
        <v>3744</v>
      </c>
      <c r="B72" s="31" t="s">
        <v>3745</v>
      </c>
      <c r="C72" s="32">
        <v>426</v>
      </c>
      <c r="D72" s="31" t="s">
        <v>53</v>
      </c>
      <c r="E72" s="33">
        <v>43629.709849537</v>
      </c>
      <c r="F72" s="33">
        <v>43629.7143055556</v>
      </c>
      <c r="G72" s="31" t="s">
        <v>3300</v>
      </c>
      <c r="H72" s="31" t="s">
        <v>3746</v>
      </c>
      <c r="I72" s="34" t="s">
        <v>3747</v>
      </c>
      <c r="J72" s="31" t="s">
        <v>3304</v>
      </c>
      <c r="K72" s="31" t="s">
        <v>3304</v>
      </c>
      <c r="L72" s="31" t="s">
        <v>3748</v>
      </c>
      <c r="M72" s="34" t="s">
        <v>3483</v>
      </c>
      <c r="N72" s="32">
        <v>456</v>
      </c>
      <c r="O72" s="35">
        <v>1</v>
      </c>
      <c r="P72" s="31" t="s">
        <v>3307</v>
      </c>
      <c r="Q72" s="31" t="s">
        <v>3392</v>
      </c>
      <c r="R72" s="31" t="s">
        <v>3304</v>
      </c>
      <c r="S72" s="31" t="s">
        <v>3304</v>
      </c>
      <c r="T72" s="31" t="s">
        <v>3304</v>
      </c>
      <c r="U72" s="35">
        <v>1</v>
      </c>
      <c r="V72" s="34" t="s">
        <v>3304</v>
      </c>
      <c r="W72" s="34" t="s">
        <v>3749</v>
      </c>
    </row>
    <row r="73" s="26" customFormat="1" customHeight="1" spans="1:23">
      <c r="A73" s="30" t="s">
        <v>3750</v>
      </c>
      <c r="B73" s="31" t="s">
        <v>3751</v>
      </c>
      <c r="C73" s="32">
        <v>436</v>
      </c>
      <c r="D73" s="31" t="s">
        <v>53</v>
      </c>
      <c r="E73" s="33">
        <v>43629.6921527778</v>
      </c>
      <c r="F73" s="33">
        <v>43629.6938078704</v>
      </c>
      <c r="G73" s="31" t="s">
        <v>3300</v>
      </c>
      <c r="H73" s="31" t="s">
        <v>3752</v>
      </c>
      <c r="I73" s="34" t="s">
        <v>3753</v>
      </c>
      <c r="J73" s="31" t="s">
        <v>3754</v>
      </c>
      <c r="K73" s="31" t="s">
        <v>3304</v>
      </c>
      <c r="L73" s="31" t="s">
        <v>3755</v>
      </c>
      <c r="M73" s="34" t="s">
        <v>3391</v>
      </c>
      <c r="N73" s="32">
        <v>456</v>
      </c>
      <c r="O73" s="35">
        <v>1</v>
      </c>
      <c r="P73" s="31" t="s">
        <v>3307</v>
      </c>
      <c r="Q73" s="31" t="s">
        <v>3392</v>
      </c>
      <c r="R73" s="31" t="s">
        <v>3304</v>
      </c>
      <c r="S73" s="31" t="s">
        <v>3304</v>
      </c>
      <c r="T73" s="31" t="s">
        <v>3304</v>
      </c>
      <c r="U73" s="35">
        <v>1</v>
      </c>
      <c r="V73" s="34" t="s">
        <v>3304</v>
      </c>
      <c r="W73" s="34" t="s">
        <v>3756</v>
      </c>
    </row>
    <row r="74" s="26" customFormat="1" customHeight="1" spans="1:23">
      <c r="A74" s="30" t="s">
        <v>3757</v>
      </c>
      <c r="B74" s="31" t="s">
        <v>3758</v>
      </c>
      <c r="C74" s="32">
        <v>426</v>
      </c>
      <c r="D74" s="31" t="s">
        <v>53</v>
      </c>
      <c r="E74" s="33">
        <v>43629.6825925926</v>
      </c>
      <c r="F74" s="33">
        <v>43629.6891782407</v>
      </c>
      <c r="G74" s="31" t="s">
        <v>3300</v>
      </c>
      <c r="H74" s="31" t="s">
        <v>3759</v>
      </c>
      <c r="I74" s="34" t="s">
        <v>3760</v>
      </c>
      <c r="J74" s="31" t="s">
        <v>3761</v>
      </c>
      <c r="K74" s="31" t="s">
        <v>3304</v>
      </c>
      <c r="L74" s="31" t="s">
        <v>3762</v>
      </c>
      <c r="M74" s="34" t="s">
        <v>3496</v>
      </c>
      <c r="N74" s="32">
        <v>456</v>
      </c>
      <c r="O74" s="35">
        <v>1</v>
      </c>
      <c r="P74" s="31" t="s">
        <v>3307</v>
      </c>
      <c r="Q74" s="31" t="s">
        <v>3392</v>
      </c>
      <c r="R74" s="31" t="s">
        <v>3304</v>
      </c>
      <c r="S74" s="31" t="s">
        <v>3304</v>
      </c>
      <c r="T74" s="31" t="s">
        <v>3304</v>
      </c>
      <c r="U74" s="35">
        <v>1</v>
      </c>
      <c r="V74" s="34" t="s">
        <v>3304</v>
      </c>
      <c r="W74" s="34" t="s">
        <v>3763</v>
      </c>
    </row>
    <row r="75" s="26" customFormat="1" customHeight="1" spans="1:23">
      <c r="A75" s="30" t="s">
        <v>3764</v>
      </c>
      <c r="B75" s="31" t="s">
        <v>3765</v>
      </c>
      <c r="C75" s="32">
        <v>426</v>
      </c>
      <c r="D75" s="31" t="s">
        <v>53</v>
      </c>
      <c r="E75" s="33">
        <v>43629.6808912037</v>
      </c>
      <c r="F75" s="33">
        <v>43629.685775463</v>
      </c>
      <c r="G75" s="31" t="s">
        <v>3300</v>
      </c>
      <c r="H75" s="31" t="s">
        <v>3766</v>
      </c>
      <c r="I75" s="34" t="s">
        <v>3767</v>
      </c>
      <c r="J75" s="31" t="s">
        <v>3768</v>
      </c>
      <c r="K75" s="31" t="s">
        <v>3304</v>
      </c>
      <c r="L75" s="31" t="s">
        <v>3769</v>
      </c>
      <c r="M75" s="34" t="s">
        <v>3391</v>
      </c>
      <c r="N75" s="32">
        <v>456</v>
      </c>
      <c r="O75" s="35">
        <v>1</v>
      </c>
      <c r="P75" s="31" t="s">
        <v>3307</v>
      </c>
      <c r="Q75" s="31" t="s">
        <v>3392</v>
      </c>
      <c r="R75" s="31" t="s">
        <v>3304</v>
      </c>
      <c r="S75" s="31" t="s">
        <v>3304</v>
      </c>
      <c r="T75" s="31" t="s">
        <v>3304</v>
      </c>
      <c r="U75" s="35">
        <v>1</v>
      </c>
      <c r="V75" s="34" t="s">
        <v>3304</v>
      </c>
      <c r="W75" s="34" t="s">
        <v>3770</v>
      </c>
    </row>
    <row r="76" s="26" customFormat="1" customHeight="1" spans="1:23">
      <c r="A76" s="30" t="s">
        <v>3771</v>
      </c>
      <c r="B76" s="31" t="s">
        <v>3772</v>
      </c>
      <c r="C76" s="32">
        <v>548</v>
      </c>
      <c r="D76" s="31" t="s">
        <v>53</v>
      </c>
      <c r="E76" s="33">
        <v>43629.6796527778</v>
      </c>
      <c r="F76" s="33">
        <v>43630.7491203704</v>
      </c>
      <c r="G76" s="31" t="s">
        <v>3300</v>
      </c>
      <c r="H76" s="31" t="s">
        <v>3773</v>
      </c>
      <c r="I76" s="34" t="s">
        <v>3774</v>
      </c>
      <c r="J76" s="31" t="s">
        <v>3775</v>
      </c>
      <c r="K76" s="31" t="s">
        <v>3304</v>
      </c>
      <c r="L76" s="31" t="s">
        <v>3776</v>
      </c>
      <c r="M76" s="34" t="s">
        <v>3306</v>
      </c>
      <c r="N76" s="32">
        <v>568</v>
      </c>
      <c r="O76" s="35">
        <v>1</v>
      </c>
      <c r="P76" s="31" t="s">
        <v>3307</v>
      </c>
      <c r="Q76" s="31" t="s">
        <v>3308</v>
      </c>
      <c r="R76" s="31" t="s">
        <v>3304</v>
      </c>
      <c r="S76" s="31" t="s">
        <v>3304</v>
      </c>
      <c r="T76" s="31" t="s">
        <v>3304</v>
      </c>
      <c r="U76" s="35">
        <v>1</v>
      </c>
      <c r="V76" s="34" t="s">
        <v>3304</v>
      </c>
      <c r="W76" s="34" t="s">
        <v>3777</v>
      </c>
    </row>
    <row r="77" s="26" customFormat="1" customHeight="1" spans="1:23">
      <c r="A77" s="30" t="s">
        <v>3778</v>
      </c>
      <c r="B77" s="31" t="s">
        <v>3779</v>
      </c>
      <c r="C77" s="32">
        <v>588</v>
      </c>
      <c r="D77" s="31" t="s">
        <v>53</v>
      </c>
      <c r="E77" s="33">
        <v>43629.6790162037</v>
      </c>
      <c r="F77" s="33">
        <v>43629.6865393519</v>
      </c>
      <c r="G77" s="31" t="s">
        <v>3300</v>
      </c>
      <c r="H77" s="31" t="s">
        <v>3780</v>
      </c>
      <c r="I77" s="34" t="s">
        <v>3781</v>
      </c>
      <c r="J77" s="31" t="s">
        <v>3335</v>
      </c>
      <c r="K77" s="31" t="s">
        <v>3304</v>
      </c>
      <c r="L77" s="31" t="s">
        <v>3782</v>
      </c>
      <c r="M77" s="34" t="s">
        <v>3350</v>
      </c>
      <c r="N77" s="32">
        <v>618</v>
      </c>
      <c r="O77" s="35">
        <v>1</v>
      </c>
      <c r="P77" s="31" t="s">
        <v>3307</v>
      </c>
      <c r="Q77" s="31" t="s">
        <v>3308</v>
      </c>
      <c r="R77" s="31" t="s">
        <v>3304</v>
      </c>
      <c r="S77" s="31" t="s">
        <v>3304</v>
      </c>
      <c r="T77" s="31" t="s">
        <v>3304</v>
      </c>
      <c r="U77" s="35">
        <v>1</v>
      </c>
      <c r="V77" s="34" t="s">
        <v>3304</v>
      </c>
      <c r="W77" s="34" t="s">
        <v>3783</v>
      </c>
    </row>
    <row r="78" s="26" customFormat="1" customHeight="1" spans="1:23">
      <c r="A78" s="30" t="s">
        <v>3784</v>
      </c>
      <c r="B78" s="31" t="s">
        <v>3785</v>
      </c>
      <c r="C78" s="32">
        <v>912</v>
      </c>
      <c r="D78" s="31" t="s">
        <v>53</v>
      </c>
      <c r="E78" s="33">
        <v>43628.8901273148</v>
      </c>
      <c r="F78" s="33">
        <v>43628.8929282407</v>
      </c>
      <c r="G78" s="31" t="s">
        <v>3300</v>
      </c>
      <c r="H78" s="31" t="s">
        <v>3786</v>
      </c>
      <c r="I78" s="34" t="s">
        <v>3787</v>
      </c>
      <c r="J78" s="31" t="s">
        <v>3788</v>
      </c>
      <c r="K78" s="31" t="s">
        <v>3304</v>
      </c>
      <c r="L78" s="31" t="s">
        <v>3789</v>
      </c>
      <c r="M78" s="34" t="s">
        <v>3790</v>
      </c>
      <c r="N78" s="32">
        <v>456</v>
      </c>
      <c r="O78" s="35">
        <v>2</v>
      </c>
      <c r="P78" s="31" t="s">
        <v>3307</v>
      </c>
      <c r="Q78" s="31" t="s">
        <v>3392</v>
      </c>
      <c r="R78" s="31" t="s">
        <v>3304</v>
      </c>
      <c r="S78" s="31" t="s">
        <v>3304</v>
      </c>
      <c r="T78" s="31" t="s">
        <v>3304</v>
      </c>
      <c r="U78" s="35">
        <v>1</v>
      </c>
      <c r="V78" s="34" t="s">
        <v>3304</v>
      </c>
      <c r="W78" s="34" t="s">
        <v>3791</v>
      </c>
    </row>
    <row r="79" s="27" customFormat="1" hidden="1" customHeight="1" spans="1:23">
      <c r="A79" s="36" t="s">
        <v>3792</v>
      </c>
      <c r="B79" s="37" t="s">
        <v>3793</v>
      </c>
      <c r="C79" s="38">
        <v>503</v>
      </c>
      <c r="D79" s="37" t="s">
        <v>53</v>
      </c>
      <c r="E79" s="39">
        <v>43628.8831597222</v>
      </c>
      <c r="F79" s="39">
        <v>43628.8835300926</v>
      </c>
      <c r="G79" s="37" t="s">
        <v>3300</v>
      </c>
      <c r="H79" s="37" t="s">
        <v>3794</v>
      </c>
      <c r="I79" s="44" t="s">
        <v>3795</v>
      </c>
      <c r="J79" s="37" t="s">
        <v>3335</v>
      </c>
      <c r="K79" s="37" t="s">
        <v>3304</v>
      </c>
      <c r="L79" s="37" t="s">
        <v>3796</v>
      </c>
      <c r="M79" s="44" t="s">
        <v>3797</v>
      </c>
      <c r="N79" s="38">
        <v>523</v>
      </c>
      <c r="O79" s="45">
        <v>1</v>
      </c>
      <c r="P79" s="37" t="s">
        <v>3307</v>
      </c>
      <c r="Q79" s="37" t="s">
        <v>3304</v>
      </c>
      <c r="R79" s="37" t="s">
        <v>2683</v>
      </c>
      <c r="S79" s="37" t="s">
        <v>3304</v>
      </c>
      <c r="T79" s="37" t="s">
        <v>2683</v>
      </c>
      <c r="U79" s="45">
        <v>1</v>
      </c>
      <c r="V79" s="44" t="s">
        <v>3304</v>
      </c>
      <c r="W79" s="44" t="s">
        <v>3798</v>
      </c>
    </row>
    <row r="80" s="26" customFormat="1" customHeight="1" spans="1:23">
      <c r="A80" s="30" t="s">
        <v>3799</v>
      </c>
      <c r="B80" s="31" t="s">
        <v>3800</v>
      </c>
      <c r="C80" s="32">
        <v>568</v>
      </c>
      <c r="D80" s="31" t="s">
        <v>53</v>
      </c>
      <c r="E80" s="33">
        <v>43628.8791666667</v>
      </c>
      <c r="F80" s="33">
        <v>43628.8817939815</v>
      </c>
      <c r="G80" s="31" t="s">
        <v>3300</v>
      </c>
      <c r="H80" s="31" t="s">
        <v>3801</v>
      </c>
      <c r="I80" s="34" t="s">
        <v>3802</v>
      </c>
      <c r="J80" s="31" t="s">
        <v>3803</v>
      </c>
      <c r="K80" s="31" t="s">
        <v>3304</v>
      </c>
      <c r="L80" s="31" t="s">
        <v>3804</v>
      </c>
      <c r="M80" s="34" t="s">
        <v>3805</v>
      </c>
      <c r="N80" s="32">
        <v>568</v>
      </c>
      <c r="O80" s="35">
        <v>1</v>
      </c>
      <c r="P80" s="31" t="s">
        <v>3307</v>
      </c>
      <c r="Q80" s="31" t="s">
        <v>3308</v>
      </c>
      <c r="R80" s="31" t="s">
        <v>3304</v>
      </c>
      <c r="S80" s="31" t="s">
        <v>3304</v>
      </c>
      <c r="T80" s="31" t="s">
        <v>3304</v>
      </c>
      <c r="U80" s="35">
        <v>1</v>
      </c>
      <c r="V80" s="34" t="s">
        <v>3304</v>
      </c>
      <c r="W80" s="34" t="s">
        <v>3806</v>
      </c>
    </row>
    <row r="81" s="26" customFormat="1" customHeight="1" spans="1:23">
      <c r="A81" s="30" t="s">
        <v>3807</v>
      </c>
      <c r="B81" s="31" t="s">
        <v>3808</v>
      </c>
      <c r="C81" s="32">
        <v>658</v>
      </c>
      <c r="D81" s="31" t="s">
        <v>53</v>
      </c>
      <c r="E81" s="33">
        <v>43628.8628009259</v>
      </c>
      <c r="F81" s="33">
        <v>43628.8665162037</v>
      </c>
      <c r="G81" s="31" t="s">
        <v>3300</v>
      </c>
      <c r="H81" s="31" t="s">
        <v>3809</v>
      </c>
      <c r="I81" s="34" t="s">
        <v>3810</v>
      </c>
      <c r="J81" s="31" t="s">
        <v>3304</v>
      </c>
      <c r="K81" s="31" t="s">
        <v>3304</v>
      </c>
      <c r="L81" s="31" t="s">
        <v>3811</v>
      </c>
      <c r="M81" s="34" t="s">
        <v>3812</v>
      </c>
      <c r="N81" s="32">
        <v>688</v>
      </c>
      <c r="O81" s="35">
        <v>1</v>
      </c>
      <c r="P81" s="31" t="s">
        <v>3307</v>
      </c>
      <c r="Q81" s="31" t="s">
        <v>3308</v>
      </c>
      <c r="R81" s="31" t="s">
        <v>3304</v>
      </c>
      <c r="S81" s="31" t="s">
        <v>3304</v>
      </c>
      <c r="T81" s="31" t="s">
        <v>3304</v>
      </c>
      <c r="U81" s="35">
        <v>1</v>
      </c>
      <c r="V81" s="34" t="s">
        <v>3304</v>
      </c>
      <c r="W81" s="34" t="s">
        <v>3813</v>
      </c>
    </row>
    <row r="82" s="26" customFormat="1" customHeight="1" spans="1:23">
      <c r="A82" s="30" t="s">
        <v>3814</v>
      </c>
      <c r="B82" s="31" t="s">
        <v>3815</v>
      </c>
      <c r="C82" s="32">
        <v>882</v>
      </c>
      <c r="D82" s="31" t="s">
        <v>53</v>
      </c>
      <c r="E82" s="33">
        <v>43628.7983217593</v>
      </c>
      <c r="F82" s="33">
        <v>43628.802025463</v>
      </c>
      <c r="G82" s="31" t="s">
        <v>3300</v>
      </c>
      <c r="H82" s="31" t="s">
        <v>3816</v>
      </c>
      <c r="I82" s="34" t="s">
        <v>3817</v>
      </c>
      <c r="J82" s="31" t="s">
        <v>3335</v>
      </c>
      <c r="K82" s="31" t="s">
        <v>3304</v>
      </c>
      <c r="L82" s="31" t="s">
        <v>3818</v>
      </c>
      <c r="M82" s="34" t="s">
        <v>3819</v>
      </c>
      <c r="N82" s="32">
        <v>456</v>
      </c>
      <c r="O82" s="35">
        <v>2</v>
      </c>
      <c r="P82" s="31" t="s">
        <v>3307</v>
      </c>
      <c r="Q82" s="31" t="s">
        <v>3392</v>
      </c>
      <c r="R82" s="31" t="s">
        <v>3304</v>
      </c>
      <c r="S82" s="31" t="s">
        <v>3304</v>
      </c>
      <c r="T82" s="31" t="s">
        <v>3304</v>
      </c>
      <c r="U82" s="35">
        <v>1</v>
      </c>
      <c r="V82" s="34" t="s">
        <v>3304</v>
      </c>
      <c r="W82" s="34" t="s">
        <v>3820</v>
      </c>
    </row>
    <row r="83" s="26" customFormat="1" customHeight="1" spans="1:23">
      <c r="A83" s="30" t="s">
        <v>3821</v>
      </c>
      <c r="B83" s="31" t="s">
        <v>3822</v>
      </c>
      <c r="C83" s="32">
        <v>912</v>
      </c>
      <c r="D83" s="31" t="s">
        <v>53</v>
      </c>
      <c r="E83" s="33">
        <v>43628.7752777778</v>
      </c>
      <c r="F83" s="33">
        <v>43628.7789583333</v>
      </c>
      <c r="G83" s="31" t="s">
        <v>3300</v>
      </c>
      <c r="H83" s="31" t="s">
        <v>3823</v>
      </c>
      <c r="I83" s="34" t="s">
        <v>3824</v>
      </c>
      <c r="J83" s="31" t="s">
        <v>3335</v>
      </c>
      <c r="K83" s="31" t="s">
        <v>3304</v>
      </c>
      <c r="L83" s="31" t="s">
        <v>3825</v>
      </c>
      <c r="M83" s="34" t="s">
        <v>3826</v>
      </c>
      <c r="N83" s="32">
        <v>456</v>
      </c>
      <c r="O83" s="35">
        <v>2</v>
      </c>
      <c r="P83" s="31" t="s">
        <v>3307</v>
      </c>
      <c r="Q83" s="31" t="s">
        <v>3392</v>
      </c>
      <c r="R83" s="31" t="s">
        <v>3304</v>
      </c>
      <c r="S83" s="31" t="s">
        <v>3304</v>
      </c>
      <c r="T83" s="31" t="s">
        <v>3304</v>
      </c>
      <c r="U83" s="35">
        <v>1</v>
      </c>
      <c r="V83" s="34" t="s">
        <v>3304</v>
      </c>
      <c r="W83" s="34" t="s">
        <v>3827</v>
      </c>
    </row>
    <row r="84" s="26" customFormat="1" customHeight="1" spans="1:23">
      <c r="A84" s="30" t="s">
        <v>3828</v>
      </c>
      <c r="B84" s="31" t="s">
        <v>3829</v>
      </c>
      <c r="C84" s="32">
        <v>568</v>
      </c>
      <c r="D84" s="31" t="s">
        <v>53</v>
      </c>
      <c r="E84" s="33">
        <v>43628.7728356482</v>
      </c>
      <c r="F84" s="33">
        <v>43628.7950347222</v>
      </c>
      <c r="G84" s="31" t="s">
        <v>3300</v>
      </c>
      <c r="H84" s="31" t="s">
        <v>3830</v>
      </c>
      <c r="I84" s="34" t="s">
        <v>3831</v>
      </c>
      <c r="J84" s="31" t="s">
        <v>3304</v>
      </c>
      <c r="K84" s="31" t="s">
        <v>3304</v>
      </c>
      <c r="L84" s="31" t="s">
        <v>3832</v>
      </c>
      <c r="M84" s="34" t="s">
        <v>3805</v>
      </c>
      <c r="N84" s="32">
        <v>568</v>
      </c>
      <c r="O84" s="35">
        <v>1</v>
      </c>
      <c r="P84" s="31" t="s">
        <v>3307</v>
      </c>
      <c r="Q84" s="31" t="s">
        <v>3308</v>
      </c>
      <c r="R84" s="31" t="s">
        <v>3304</v>
      </c>
      <c r="S84" s="31" t="s">
        <v>3304</v>
      </c>
      <c r="T84" s="31" t="s">
        <v>3304</v>
      </c>
      <c r="U84" s="35">
        <v>1</v>
      </c>
      <c r="V84" s="34" t="s">
        <v>3304</v>
      </c>
      <c r="W84" s="34" t="s">
        <v>3833</v>
      </c>
    </row>
    <row r="85" s="26" customFormat="1" customHeight="1" spans="1:23">
      <c r="A85" s="30" t="s">
        <v>3834</v>
      </c>
      <c r="B85" s="31" t="s">
        <v>3835</v>
      </c>
      <c r="C85" s="32">
        <v>892</v>
      </c>
      <c r="D85" s="31" t="s">
        <v>53</v>
      </c>
      <c r="E85" s="33">
        <v>43627.856400463</v>
      </c>
      <c r="F85" s="33">
        <v>43627.8596759259</v>
      </c>
      <c r="G85" s="31" t="s">
        <v>3300</v>
      </c>
      <c r="H85" s="31" t="s">
        <v>3836</v>
      </c>
      <c r="I85" s="34" t="s">
        <v>3837</v>
      </c>
      <c r="J85" s="31" t="s">
        <v>3335</v>
      </c>
      <c r="K85" s="31" t="s">
        <v>3304</v>
      </c>
      <c r="L85" s="31" t="s">
        <v>3838</v>
      </c>
      <c r="M85" s="34" t="s">
        <v>3839</v>
      </c>
      <c r="N85" s="32">
        <v>456</v>
      </c>
      <c r="O85" s="35">
        <v>2</v>
      </c>
      <c r="P85" s="31" t="s">
        <v>3307</v>
      </c>
      <c r="Q85" s="31" t="s">
        <v>3392</v>
      </c>
      <c r="R85" s="31" t="s">
        <v>3304</v>
      </c>
      <c r="S85" s="31" t="s">
        <v>3304</v>
      </c>
      <c r="T85" s="31" t="s">
        <v>3304</v>
      </c>
      <c r="U85" s="35">
        <v>1</v>
      </c>
      <c r="V85" s="34" t="s">
        <v>3304</v>
      </c>
      <c r="W85" s="34" t="s">
        <v>3840</v>
      </c>
    </row>
    <row r="86" s="26" customFormat="1" customHeight="1" spans="1:23">
      <c r="A86" s="30" t="s">
        <v>3841</v>
      </c>
      <c r="B86" s="31" t="s">
        <v>3842</v>
      </c>
      <c r="C86" s="32">
        <v>882</v>
      </c>
      <c r="D86" s="31" t="s">
        <v>53</v>
      </c>
      <c r="E86" s="33">
        <v>43627.8484490741</v>
      </c>
      <c r="F86" s="33">
        <v>43627.8763078704</v>
      </c>
      <c r="G86" s="31" t="s">
        <v>3300</v>
      </c>
      <c r="H86" s="31" t="s">
        <v>3843</v>
      </c>
      <c r="I86" s="34" t="s">
        <v>3844</v>
      </c>
      <c r="J86" s="31" t="s">
        <v>3304</v>
      </c>
      <c r="K86" s="31" t="s">
        <v>3304</v>
      </c>
      <c r="L86" s="31" t="s">
        <v>3845</v>
      </c>
      <c r="M86" s="34" t="s">
        <v>3846</v>
      </c>
      <c r="N86" s="32">
        <v>456</v>
      </c>
      <c r="O86" s="35">
        <v>2</v>
      </c>
      <c r="P86" s="31" t="s">
        <v>3307</v>
      </c>
      <c r="Q86" s="31" t="s">
        <v>3392</v>
      </c>
      <c r="R86" s="31" t="s">
        <v>3304</v>
      </c>
      <c r="S86" s="31" t="s">
        <v>3304</v>
      </c>
      <c r="T86" s="31" t="s">
        <v>3304</v>
      </c>
      <c r="U86" s="35">
        <v>1</v>
      </c>
      <c r="V86" s="34" t="s">
        <v>3304</v>
      </c>
      <c r="W86" s="34" t="s">
        <v>3847</v>
      </c>
    </row>
    <row r="87" s="26" customFormat="1" customHeight="1" spans="1:23">
      <c r="A87" s="30" t="s">
        <v>3848</v>
      </c>
      <c r="B87" s="31" t="s">
        <v>3849</v>
      </c>
      <c r="C87" s="32">
        <v>882</v>
      </c>
      <c r="D87" s="31" t="s">
        <v>53</v>
      </c>
      <c r="E87" s="33">
        <v>43627.8440856482</v>
      </c>
      <c r="F87" s="33">
        <v>43627.8489236111</v>
      </c>
      <c r="G87" s="31" t="s">
        <v>3300</v>
      </c>
      <c r="H87" s="31" t="s">
        <v>3850</v>
      </c>
      <c r="I87" s="34" t="s">
        <v>3851</v>
      </c>
      <c r="J87" s="31" t="s">
        <v>3637</v>
      </c>
      <c r="K87" s="31" t="s">
        <v>3304</v>
      </c>
      <c r="L87" s="31" t="s">
        <v>3852</v>
      </c>
      <c r="M87" s="34" t="s">
        <v>3853</v>
      </c>
      <c r="N87" s="32">
        <v>456</v>
      </c>
      <c r="O87" s="35">
        <v>2</v>
      </c>
      <c r="P87" s="31" t="s">
        <v>3307</v>
      </c>
      <c r="Q87" s="31" t="s">
        <v>3392</v>
      </c>
      <c r="R87" s="31" t="s">
        <v>3304</v>
      </c>
      <c r="S87" s="31" t="s">
        <v>3304</v>
      </c>
      <c r="T87" s="31" t="s">
        <v>3304</v>
      </c>
      <c r="U87" s="35">
        <v>1</v>
      </c>
      <c r="V87" s="34" t="s">
        <v>3304</v>
      </c>
      <c r="W87" s="34" t="s">
        <v>3854</v>
      </c>
    </row>
    <row r="88" s="26" customFormat="1" customHeight="1" spans="1:23">
      <c r="A88" s="30" t="s">
        <v>3855</v>
      </c>
      <c r="B88" s="31" t="s">
        <v>3856</v>
      </c>
      <c r="C88" s="32">
        <v>588</v>
      </c>
      <c r="D88" s="31" t="s">
        <v>53</v>
      </c>
      <c r="E88" s="33">
        <v>43627.8220138889</v>
      </c>
      <c r="F88" s="33">
        <v>43627.8273958333</v>
      </c>
      <c r="G88" s="31" t="s">
        <v>3300</v>
      </c>
      <c r="H88" s="31" t="s">
        <v>3857</v>
      </c>
      <c r="I88" s="34" t="s">
        <v>3858</v>
      </c>
      <c r="J88" s="31" t="s">
        <v>3304</v>
      </c>
      <c r="K88" s="31" t="s">
        <v>3304</v>
      </c>
      <c r="L88" s="31" t="s">
        <v>3859</v>
      </c>
      <c r="M88" s="34" t="s">
        <v>3860</v>
      </c>
      <c r="N88" s="32">
        <v>618</v>
      </c>
      <c r="O88" s="35">
        <v>1</v>
      </c>
      <c r="P88" s="31" t="s">
        <v>3307</v>
      </c>
      <c r="Q88" s="31" t="s">
        <v>3308</v>
      </c>
      <c r="R88" s="31" t="s">
        <v>3304</v>
      </c>
      <c r="S88" s="31" t="s">
        <v>3304</v>
      </c>
      <c r="T88" s="31" t="s">
        <v>3304</v>
      </c>
      <c r="U88" s="35">
        <v>1</v>
      </c>
      <c r="V88" s="34" t="s">
        <v>3304</v>
      </c>
      <c r="W88" s="34" t="s">
        <v>3861</v>
      </c>
    </row>
    <row r="89" s="26" customFormat="1" customHeight="1" spans="1:23">
      <c r="A89" s="30" t="s">
        <v>3862</v>
      </c>
      <c r="B89" s="31" t="s">
        <v>3863</v>
      </c>
      <c r="C89" s="32">
        <v>538</v>
      </c>
      <c r="D89" s="31" t="s">
        <v>53</v>
      </c>
      <c r="E89" s="33">
        <v>43627.8194675926</v>
      </c>
      <c r="F89" s="33">
        <v>43627.8227893519</v>
      </c>
      <c r="G89" s="31" t="s">
        <v>3300</v>
      </c>
      <c r="H89" s="31" t="s">
        <v>3864</v>
      </c>
      <c r="I89" s="34" t="s">
        <v>3865</v>
      </c>
      <c r="J89" s="31" t="s">
        <v>3866</v>
      </c>
      <c r="K89" s="31" t="s">
        <v>3304</v>
      </c>
      <c r="L89" s="31" t="s">
        <v>3867</v>
      </c>
      <c r="M89" s="34" t="s">
        <v>3868</v>
      </c>
      <c r="N89" s="32">
        <v>568</v>
      </c>
      <c r="O89" s="35">
        <v>1</v>
      </c>
      <c r="P89" s="31" t="s">
        <v>3307</v>
      </c>
      <c r="Q89" s="31" t="s">
        <v>3308</v>
      </c>
      <c r="R89" s="31" t="s">
        <v>3304</v>
      </c>
      <c r="S89" s="31" t="s">
        <v>3304</v>
      </c>
      <c r="T89" s="31" t="s">
        <v>3304</v>
      </c>
      <c r="U89" s="35">
        <v>1</v>
      </c>
      <c r="V89" s="34" t="s">
        <v>3304</v>
      </c>
      <c r="W89" s="34" t="s">
        <v>3869</v>
      </c>
    </row>
    <row r="90" s="28" customFormat="1" hidden="1" customHeight="1" spans="1:23">
      <c r="A90" s="40" t="s">
        <v>3870</v>
      </c>
      <c r="B90" s="41" t="s">
        <v>3871</v>
      </c>
      <c r="C90" s="42">
        <v>1280</v>
      </c>
      <c r="D90" s="41" t="s">
        <v>53</v>
      </c>
      <c r="E90" s="43">
        <v>43627.6241666667</v>
      </c>
      <c r="F90" s="43">
        <v>43627.6396759259</v>
      </c>
      <c r="G90" s="41" t="s">
        <v>3300</v>
      </c>
      <c r="H90" s="41" t="s">
        <v>3872</v>
      </c>
      <c r="I90" s="46" t="s">
        <v>3873</v>
      </c>
      <c r="J90" s="41" t="s">
        <v>3874</v>
      </c>
      <c r="K90" s="41" t="s">
        <v>3875</v>
      </c>
      <c r="L90" s="41" t="s">
        <v>3876</v>
      </c>
      <c r="M90" s="46" t="s">
        <v>3877</v>
      </c>
      <c r="N90" s="42">
        <v>1500</v>
      </c>
      <c r="O90" s="47">
        <v>1</v>
      </c>
      <c r="P90" s="41" t="s">
        <v>3307</v>
      </c>
      <c r="Q90" s="41" t="s">
        <v>3878</v>
      </c>
      <c r="R90" s="41" t="s">
        <v>3878</v>
      </c>
      <c r="S90" s="41" t="s">
        <v>3304</v>
      </c>
      <c r="T90" s="41" t="s">
        <v>3878</v>
      </c>
      <c r="U90" s="47">
        <v>1</v>
      </c>
      <c r="V90" s="46" t="s">
        <v>3304</v>
      </c>
      <c r="W90" s="46" t="s">
        <v>3879</v>
      </c>
    </row>
    <row r="91" s="26" customFormat="1" customHeight="1" spans="1:23">
      <c r="A91" s="30" t="s">
        <v>3880</v>
      </c>
      <c r="B91" s="31" t="s">
        <v>3881</v>
      </c>
      <c r="C91" s="32">
        <v>892</v>
      </c>
      <c r="D91" s="31" t="s">
        <v>53</v>
      </c>
      <c r="E91" s="33">
        <v>43626.9189351852</v>
      </c>
      <c r="F91" s="33">
        <v>43626.9193402778</v>
      </c>
      <c r="G91" s="31" t="s">
        <v>3300</v>
      </c>
      <c r="H91" s="31" t="s">
        <v>3882</v>
      </c>
      <c r="I91" s="34" t="s">
        <v>3883</v>
      </c>
      <c r="J91" s="31" t="s">
        <v>3884</v>
      </c>
      <c r="K91" s="31" t="s">
        <v>3304</v>
      </c>
      <c r="L91" s="31" t="s">
        <v>3885</v>
      </c>
      <c r="M91" s="34" t="s">
        <v>3886</v>
      </c>
      <c r="N91" s="32">
        <v>456</v>
      </c>
      <c r="O91" s="35">
        <v>2</v>
      </c>
      <c r="P91" s="31" t="s">
        <v>3307</v>
      </c>
      <c r="Q91" s="31" t="s">
        <v>3392</v>
      </c>
      <c r="R91" s="31" t="s">
        <v>3304</v>
      </c>
      <c r="S91" s="31" t="s">
        <v>3304</v>
      </c>
      <c r="T91" s="31" t="s">
        <v>3304</v>
      </c>
      <c r="U91" s="35">
        <v>1</v>
      </c>
      <c r="V91" s="34" t="s">
        <v>3304</v>
      </c>
      <c r="W91" s="34" t="s">
        <v>3887</v>
      </c>
    </row>
    <row r="92" s="26" customFormat="1" customHeight="1" spans="1:23">
      <c r="A92" s="30" t="s">
        <v>3888</v>
      </c>
      <c r="B92" s="31" t="s">
        <v>3889</v>
      </c>
      <c r="C92" s="32">
        <v>1368</v>
      </c>
      <c r="D92" s="31" t="s">
        <v>53</v>
      </c>
      <c r="E92" s="33">
        <v>43626.8526736111</v>
      </c>
      <c r="F92" s="33">
        <v>43626.8660069444</v>
      </c>
      <c r="G92" s="31" t="s">
        <v>3300</v>
      </c>
      <c r="H92" s="31" t="s">
        <v>3890</v>
      </c>
      <c r="I92" s="34" t="s">
        <v>3891</v>
      </c>
      <c r="J92" s="31" t="s">
        <v>3892</v>
      </c>
      <c r="K92" s="31" t="s">
        <v>3304</v>
      </c>
      <c r="L92" s="31" t="s">
        <v>3893</v>
      </c>
      <c r="M92" s="34" t="s">
        <v>3894</v>
      </c>
      <c r="N92" s="32">
        <v>456</v>
      </c>
      <c r="O92" s="35">
        <v>3</v>
      </c>
      <c r="P92" s="31" t="s">
        <v>3307</v>
      </c>
      <c r="Q92" s="31" t="s">
        <v>3392</v>
      </c>
      <c r="R92" s="31" t="s">
        <v>3304</v>
      </c>
      <c r="S92" s="31" t="s">
        <v>3304</v>
      </c>
      <c r="T92" s="31" t="s">
        <v>3304</v>
      </c>
      <c r="U92" s="35">
        <v>1</v>
      </c>
      <c r="V92" s="34" t="s">
        <v>3304</v>
      </c>
      <c r="W92" s="34" t="s">
        <v>3895</v>
      </c>
    </row>
    <row r="93" s="26" customFormat="1" customHeight="1" spans="1:23">
      <c r="A93" s="30" t="s">
        <v>3896</v>
      </c>
      <c r="B93" s="31" t="s">
        <v>3897</v>
      </c>
      <c r="C93" s="32">
        <v>668</v>
      </c>
      <c r="D93" s="31" t="s">
        <v>53</v>
      </c>
      <c r="E93" s="33">
        <v>43626.8466550926</v>
      </c>
      <c r="F93" s="33">
        <v>43626.8502546296</v>
      </c>
      <c r="G93" s="31" t="s">
        <v>3300</v>
      </c>
      <c r="H93" s="31" t="s">
        <v>3898</v>
      </c>
      <c r="I93" s="34" t="s">
        <v>3899</v>
      </c>
      <c r="J93" s="31" t="s">
        <v>3722</v>
      </c>
      <c r="K93" s="31" t="s">
        <v>3304</v>
      </c>
      <c r="L93" s="31" t="s">
        <v>3900</v>
      </c>
      <c r="M93" s="34" t="s">
        <v>3901</v>
      </c>
      <c r="N93" s="32">
        <v>688</v>
      </c>
      <c r="O93" s="35">
        <v>1</v>
      </c>
      <c r="P93" s="31" t="s">
        <v>3307</v>
      </c>
      <c r="Q93" s="31" t="s">
        <v>3308</v>
      </c>
      <c r="R93" s="31" t="s">
        <v>3304</v>
      </c>
      <c r="S93" s="31" t="s">
        <v>3304</v>
      </c>
      <c r="T93" s="31" t="s">
        <v>3304</v>
      </c>
      <c r="U93" s="35">
        <v>1</v>
      </c>
      <c r="V93" s="34" t="s">
        <v>3304</v>
      </c>
      <c r="W93" s="34" t="s">
        <v>3902</v>
      </c>
    </row>
    <row r="94" s="26" customFormat="1" customHeight="1" spans="1:23">
      <c r="A94" s="30" t="s">
        <v>3903</v>
      </c>
      <c r="B94" s="31" t="s">
        <v>3904</v>
      </c>
      <c r="C94" s="32">
        <v>882</v>
      </c>
      <c r="D94" s="31" t="s">
        <v>53</v>
      </c>
      <c r="E94" s="33">
        <v>43626.8280555556</v>
      </c>
      <c r="F94" s="33">
        <v>43626.8314583333</v>
      </c>
      <c r="G94" s="31" t="s">
        <v>3300</v>
      </c>
      <c r="H94" s="31" t="s">
        <v>3905</v>
      </c>
      <c r="I94" s="34" t="s">
        <v>3906</v>
      </c>
      <c r="J94" s="31" t="s">
        <v>3304</v>
      </c>
      <c r="K94" s="31" t="s">
        <v>3304</v>
      </c>
      <c r="L94" s="31" t="s">
        <v>3907</v>
      </c>
      <c r="M94" s="34" t="s">
        <v>3908</v>
      </c>
      <c r="N94" s="32">
        <v>456</v>
      </c>
      <c r="O94" s="35">
        <v>2</v>
      </c>
      <c r="P94" s="31" t="s">
        <v>3307</v>
      </c>
      <c r="Q94" s="31" t="s">
        <v>3392</v>
      </c>
      <c r="R94" s="31" t="s">
        <v>3304</v>
      </c>
      <c r="S94" s="31" t="s">
        <v>3304</v>
      </c>
      <c r="T94" s="31" t="s">
        <v>3304</v>
      </c>
      <c r="U94" s="35">
        <v>1</v>
      </c>
      <c r="V94" s="34" t="s">
        <v>3304</v>
      </c>
      <c r="W94" s="34" t="s">
        <v>3909</v>
      </c>
    </row>
    <row r="95" s="26" customFormat="1" customHeight="1" spans="1:23">
      <c r="A95" s="30" t="s">
        <v>3910</v>
      </c>
      <c r="B95" s="31" t="s">
        <v>3911</v>
      </c>
      <c r="C95" s="32">
        <v>668</v>
      </c>
      <c r="D95" s="31" t="s">
        <v>53</v>
      </c>
      <c r="E95" s="33">
        <v>43626.8035185185</v>
      </c>
      <c r="F95" s="33">
        <v>43626.8070949074</v>
      </c>
      <c r="G95" s="31" t="s">
        <v>3300</v>
      </c>
      <c r="H95" s="31" t="s">
        <v>3912</v>
      </c>
      <c r="I95" s="34" t="s">
        <v>3913</v>
      </c>
      <c r="J95" s="31" t="s">
        <v>3304</v>
      </c>
      <c r="K95" s="31" t="s">
        <v>3304</v>
      </c>
      <c r="L95" s="31" t="s">
        <v>3914</v>
      </c>
      <c r="M95" s="34" t="s">
        <v>3901</v>
      </c>
      <c r="N95" s="32">
        <v>688</v>
      </c>
      <c r="O95" s="35">
        <v>1</v>
      </c>
      <c r="P95" s="31" t="s">
        <v>3307</v>
      </c>
      <c r="Q95" s="31" t="s">
        <v>3308</v>
      </c>
      <c r="R95" s="31" t="s">
        <v>3304</v>
      </c>
      <c r="S95" s="31" t="s">
        <v>3304</v>
      </c>
      <c r="T95" s="31" t="s">
        <v>3304</v>
      </c>
      <c r="U95" s="35">
        <v>1</v>
      </c>
      <c r="V95" s="34" t="s">
        <v>3304</v>
      </c>
      <c r="W95" s="34" t="s">
        <v>3915</v>
      </c>
    </row>
    <row r="96" s="26" customFormat="1" customHeight="1" spans="1:23">
      <c r="A96" s="30" t="s">
        <v>3916</v>
      </c>
      <c r="B96" s="31" t="s">
        <v>3917</v>
      </c>
      <c r="C96" s="32">
        <v>1087</v>
      </c>
      <c r="D96" s="31" t="s">
        <v>53</v>
      </c>
      <c r="E96" s="33">
        <v>43625.921712963</v>
      </c>
      <c r="F96" s="33">
        <v>43625.9277777778</v>
      </c>
      <c r="G96" s="31" t="s">
        <v>3300</v>
      </c>
      <c r="H96" s="31" t="s">
        <v>3918</v>
      </c>
      <c r="I96" s="34" t="s">
        <v>3919</v>
      </c>
      <c r="J96" s="31" t="s">
        <v>3920</v>
      </c>
      <c r="K96" s="31" t="s">
        <v>3304</v>
      </c>
      <c r="L96" s="31" t="s">
        <v>3921</v>
      </c>
      <c r="M96" s="34" t="s">
        <v>3922</v>
      </c>
      <c r="N96" s="32">
        <v>456</v>
      </c>
      <c r="O96" s="35">
        <v>2</v>
      </c>
      <c r="P96" s="31" t="s">
        <v>3307</v>
      </c>
      <c r="Q96" s="31" t="s">
        <v>3392</v>
      </c>
      <c r="R96" s="31" t="s">
        <v>3304</v>
      </c>
      <c r="S96" s="31" t="s">
        <v>3304</v>
      </c>
      <c r="T96" s="31" t="s">
        <v>3304</v>
      </c>
      <c r="U96" s="35">
        <v>1</v>
      </c>
      <c r="V96" s="34" t="s">
        <v>3304</v>
      </c>
      <c r="W96" s="34" t="s">
        <v>3923</v>
      </c>
    </row>
    <row r="97" s="26" customFormat="1" customHeight="1" spans="1:23">
      <c r="A97" s="30" t="s">
        <v>3924</v>
      </c>
      <c r="B97" s="31" t="s">
        <v>3925</v>
      </c>
      <c r="C97" s="32">
        <v>1338</v>
      </c>
      <c r="D97" s="31" t="s">
        <v>53</v>
      </c>
      <c r="E97" s="33">
        <v>43625.8896759259</v>
      </c>
      <c r="F97" s="33">
        <v>43625.8922222222</v>
      </c>
      <c r="G97" s="31" t="s">
        <v>3300</v>
      </c>
      <c r="H97" s="31" t="s">
        <v>3926</v>
      </c>
      <c r="I97" s="34" t="s">
        <v>3927</v>
      </c>
      <c r="J97" s="31" t="s">
        <v>3928</v>
      </c>
      <c r="K97" s="31" t="s">
        <v>3304</v>
      </c>
      <c r="L97" s="31" t="s">
        <v>3929</v>
      </c>
      <c r="M97" s="34" t="s">
        <v>3930</v>
      </c>
      <c r="N97" s="32">
        <v>456</v>
      </c>
      <c r="O97" s="35">
        <v>3</v>
      </c>
      <c r="P97" s="31" t="s">
        <v>3307</v>
      </c>
      <c r="Q97" s="31" t="s">
        <v>3392</v>
      </c>
      <c r="R97" s="31" t="s">
        <v>3304</v>
      </c>
      <c r="S97" s="31" t="s">
        <v>3304</v>
      </c>
      <c r="T97" s="31" t="s">
        <v>3304</v>
      </c>
      <c r="U97" s="35">
        <v>1</v>
      </c>
      <c r="V97" s="34" t="s">
        <v>3304</v>
      </c>
      <c r="W97" s="34" t="s">
        <v>3931</v>
      </c>
    </row>
    <row r="98" s="26" customFormat="1" customHeight="1" spans="1:23">
      <c r="A98" s="30" t="s">
        <v>3932</v>
      </c>
      <c r="B98" s="31" t="s">
        <v>3933</v>
      </c>
      <c r="C98" s="32">
        <v>1087</v>
      </c>
      <c r="D98" s="31" t="s">
        <v>53</v>
      </c>
      <c r="E98" s="33">
        <v>43625.8798263889</v>
      </c>
      <c r="F98" s="33">
        <v>43625.8822916667</v>
      </c>
      <c r="G98" s="31" t="s">
        <v>3300</v>
      </c>
      <c r="H98" s="31" t="s">
        <v>3934</v>
      </c>
      <c r="I98" s="34" t="s">
        <v>3935</v>
      </c>
      <c r="J98" s="31" t="s">
        <v>3936</v>
      </c>
      <c r="K98" s="31" t="s">
        <v>3304</v>
      </c>
      <c r="L98" s="31" t="s">
        <v>3937</v>
      </c>
      <c r="M98" s="34" t="s">
        <v>3938</v>
      </c>
      <c r="N98" s="32">
        <v>456</v>
      </c>
      <c r="O98" s="35">
        <v>2</v>
      </c>
      <c r="P98" s="31" t="s">
        <v>3307</v>
      </c>
      <c r="Q98" s="31" t="s">
        <v>3392</v>
      </c>
      <c r="R98" s="31" t="s">
        <v>3304</v>
      </c>
      <c r="S98" s="31" t="s">
        <v>3304</v>
      </c>
      <c r="T98" s="31" t="s">
        <v>3304</v>
      </c>
      <c r="U98" s="35">
        <v>1</v>
      </c>
      <c r="V98" s="34" t="s">
        <v>3304</v>
      </c>
      <c r="W98" s="34" t="s">
        <v>3939</v>
      </c>
    </row>
    <row r="99" s="26" customFormat="1" customHeight="1" spans="1:23">
      <c r="A99" s="30" t="s">
        <v>3940</v>
      </c>
      <c r="B99" s="31" t="s">
        <v>3941</v>
      </c>
      <c r="C99" s="32">
        <v>688</v>
      </c>
      <c r="D99" s="31" t="s">
        <v>53</v>
      </c>
      <c r="E99" s="33">
        <v>43625.8715162037</v>
      </c>
      <c r="F99" s="33">
        <v>43625.8777314815</v>
      </c>
      <c r="G99" s="31" t="s">
        <v>3300</v>
      </c>
      <c r="H99" s="31" t="s">
        <v>3942</v>
      </c>
      <c r="I99" s="34" t="s">
        <v>3943</v>
      </c>
      <c r="J99" s="31" t="s">
        <v>3944</v>
      </c>
      <c r="K99" s="31" t="s">
        <v>3304</v>
      </c>
      <c r="L99" s="31" t="s">
        <v>3945</v>
      </c>
      <c r="M99" s="34" t="s">
        <v>3946</v>
      </c>
      <c r="N99" s="32">
        <v>688</v>
      </c>
      <c r="O99" s="35">
        <v>1</v>
      </c>
      <c r="P99" s="31" t="s">
        <v>3307</v>
      </c>
      <c r="Q99" s="31" t="s">
        <v>3308</v>
      </c>
      <c r="R99" s="31" t="s">
        <v>3304</v>
      </c>
      <c r="S99" s="31" t="s">
        <v>3304</v>
      </c>
      <c r="T99" s="31" t="s">
        <v>3304</v>
      </c>
      <c r="U99" s="35">
        <v>1</v>
      </c>
      <c r="V99" s="34" t="s">
        <v>3304</v>
      </c>
      <c r="W99" s="34" t="s">
        <v>3947</v>
      </c>
    </row>
    <row r="100" s="26" customFormat="1" customHeight="1" spans="1:23">
      <c r="A100" s="30" t="s">
        <v>3948</v>
      </c>
      <c r="B100" s="31" t="s">
        <v>3949</v>
      </c>
      <c r="C100" s="32">
        <v>658</v>
      </c>
      <c r="D100" s="31" t="s">
        <v>53</v>
      </c>
      <c r="E100" s="33">
        <v>43625.8450115741</v>
      </c>
      <c r="F100" s="33">
        <v>43625.8478935185</v>
      </c>
      <c r="G100" s="31" t="s">
        <v>3300</v>
      </c>
      <c r="H100" s="31" t="s">
        <v>3950</v>
      </c>
      <c r="I100" s="34" t="s">
        <v>3951</v>
      </c>
      <c r="J100" s="31" t="s">
        <v>3304</v>
      </c>
      <c r="K100" s="31" t="s">
        <v>3304</v>
      </c>
      <c r="L100" s="31" t="s">
        <v>3952</v>
      </c>
      <c r="M100" s="34" t="s">
        <v>3946</v>
      </c>
      <c r="N100" s="32">
        <v>688</v>
      </c>
      <c r="O100" s="35">
        <v>1</v>
      </c>
      <c r="P100" s="31" t="s">
        <v>3307</v>
      </c>
      <c r="Q100" s="31" t="s">
        <v>3308</v>
      </c>
      <c r="R100" s="31" t="s">
        <v>3304</v>
      </c>
      <c r="S100" s="31" t="s">
        <v>3304</v>
      </c>
      <c r="T100" s="31" t="s">
        <v>3304</v>
      </c>
      <c r="U100" s="35">
        <v>1</v>
      </c>
      <c r="V100" s="34" t="s">
        <v>3304</v>
      </c>
      <c r="W100" s="34" t="s">
        <v>3953</v>
      </c>
    </row>
    <row r="101" s="26" customFormat="1" customHeight="1" spans="1:23">
      <c r="A101" s="30" t="s">
        <v>3954</v>
      </c>
      <c r="B101" s="31" t="s">
        <v>3955</v>
      </c>
      <c r="C101" s="32">
        <v>882</v>
      </c>
      <c r="D101" s="31" t="s">
        <v>53</v>
      </c>
      <c r="E101" s="33">
        <v>43624.9494328704</v>
      </c>
      <c r="F101" s="33">
        <v>43624.9533333333</v>
      </c>
      <c r="G101" s="31" t="s">
        <v>3300</v>
      </c>
      <c r="H101" s="31" t="s">
        <v>3956</v>
      </c>
      <c r="I101" s="34" t="s">
        <v>3957</v>
      </c>
      <c r="J101" s="31" t="s">
        <v>3958</v>
      </c>
      <c r="K101" s="31" t="s">
        <v>3304</v>
      </c>
      <c r="L101" s="31" t="s">
        <v>3959</v>
      </c>
      <c r="M101" s="34" t="s">
        <v>3922</v>
      </c>
      <c r="N101" s="32">
        <v>456</v>
      </c>
      <c r="O101" s="35">
        <v>2</v>
      </c>
      <c r="P101" s="31" t="s">
        <v>3307</v>
      </c>
      <c r="Q101" s="31" t="s">
        <v>3392</v>
      </c>
      <c r="R101" s="31" t="s">
        <v>3304</v>
      </c>
      <c r="S101" s="31" t="s">
        <v>3304</v>
      </c>
      <c r="T101" s="31" t="s">
        <v>3304</v>
      </c>
      <c r="U101" s="35">
        <v>1</v>
      </c>
      <c r="V101" s="34" t="s">
        <v>3304</v>
      </c>
      <c r="W101" s="34" t="s">
        <v>3960</v>
      </c>
    </row>
    <row r="102" s="26" customFormat="1" customHeight="1" spans="1:23">
      <c r="A102" s="30" t="s">
        <v>3961</v>
      </c>
      <c r="B102" s="31" t="s">
        <v>3962</v>
      </c>
      <c r="C102" s="32">
        <v>658</v>
      </c>
      <c r="D102" s="31" t="s">
        <v>53</v>
      </c>
      <c r="E102" s="33">
        <v>43624.9417939815</v>
      </c>
      <c r="F102" s="33">
        <v>43624.9474305556</v>
      </c>
      <c r="G102" s="31" t="s">
        <v>3300</v>
      </c>
      <c r="H102" s="31" t="s">
        <v>3963</v>
      </c>
      <c r="I102" s="34" t="s">
        <v>3964</v>
      </c>
      <c r="J102" s="31" t="s">
        <v>3304</v>
      </c>
      <c r="K102" s="31" t="s">
        <v>3304</v>
      </c>
      <c r="L102" s="31" t="s">
        <v>3965</v>
      </c>
      <c r="M102" s="34" t="s">
        <v>3946</v>
      </c>
      <c r="N102" s="32">
        <v>688</v>
      </c>
      <c r="O102" s="35">
        <v>1</v>
      </c>
      <c r="P102" s="31" t="s">
        <v>3307</v>
      </c>
      <c r="Q102" s="31" t="s">
        <v>3308</v>
      </c>
      <c r="R102" s="31" t="s">
        <v>3304</v>
      </c>
      <c r="S102" s="31" t="s">
        <v>3304</v>
      </c>
      <c r="T102" s="31" t="s">
        <v>3304</v>
      </c>
      <c r="U102" s="35">
        <v>1</v>
      </c>
      <c r="V102" s="34" t="s">
        <v>3304</v>
      </c>
      <c r="W102" s="34" t="s">
        <v>3966</v>
      </c>
    </row>
    <row r="103" s="26" customFormat="1" customHeight="1" spans="1:23">
      <c r="A103" s="30" t="s">
        <v>3967</v>
      </c>
      <c r="B103" s="31" t="s">
        <v>3968</v>
      </c>
      <c r="C103" s="32">
        <v>753</v>
      </c>
      <c r="D103" s="31" t="s">
        <v>53</v>
      </c>
      <c r="E103" s="33">
        <v>43624.9417361111</v>
      </c>
      <c r="F103" s="33">
        <v>43624.9444212963</v>
      </c>
      <c r="G103" s="31" t="s">
        <v>3300</v>
      </c>
      <c r="H103" s="31" t="s">
        <v>3969</v>
      </c>
      <c r="I103" s="34" t="s">
        <v>3970</v>
      </c>
      <c r="J103" s="31" t="s">
        <v>3304</v>
      </c>
      <c r="K103" s="31" t="s">
        <v>3304</v>
      </c>
      <c r="L103" s="31" t="s">
        <v>3971</v>
      </c>
      <c r="M103" s="34" t="s">
        <v>3972</v>
      </c>
      <c r="N103" s="32">
        <v>618</v>
      </c>
      <c r="O103" s="35">
        <v>1</v>
      </c>
      <c r="P103" s="31" t="s">
        <v>3307</v>
      </c>
      <c r="Q103" s="31" t="s">
        <v>3308</v>
      </c>
      <c r="R103" s="31" t="s">
        <v>3304</v>
      </c>
      <c r="S103" s="31" t="s">
        <v>3304</v>
      </c>
      <c r="T103" s="31" t="s">
        <v>3304</v>
      </c>
      <c r="U103" s="35">
        <v>1</v>
      </c>
      <c r="V103" s="34" t="s">
        <v>3304</v>
      </c>
      <c r="W103" s="34" t="s">
        <v>3973</v>
      </c>
    </row>
    <row r="104" s="26" customFormat="1" customHeight="1" spans="1:23">
      <c r="A104" s="30" t="s">
        <v>3974</v>
      </c>
      <c r="B104" s="31" t="s">
        <v>3975</v>
      </c>
      <c r="C104" s="32">
        <v>1338</v>
      </c>
      <c r="D104" s="31" t="s">
        <v>53</v>
      </c>
      <c r="E104" s="33">
        <v>43624.9396064815</v>
      </c>
      <c r="F104" s="33">
        <v>43624.9479513889</v>
      </c>
      <c r="G104" s="31" t="s">
        <v>3300</v>
      </c>
      <c r="H104" s="31" t="s">
        <v>3976</v>
      </c>
      <c r="I104" s="34" t="s">
        <v>3977</v>
      </c>
      <c r="J104" s="31" t="s">
        <v>3335</v>
      </c>
      <c r="K104" s="31" t="s">
        <v>3304</v>
      </c>
      <c r="L104" s="31" t="s">
        <v>3978</v>
      </c>
      <c r="M104" s="34" t="s">
        <v>3930</v>
      </c>
      <c r="N104" s="32">
        <v>456</v>
      </c>
      <c r="O104" s="35">
        <v>3</v>
      </c>
      <c r="P104" s="31" t="s">
        <v>3307</v>
      </c>
      <c r="Q104" s="31" t="s">
        <v>3392</v>
      </c>
      <c r="R104" s="31" t="s">
        <v>3304</v>
      </c>
      <c r="S104" s="31" t="s">
        <v>3304</v>
      </c>
      <c r="T104" s="31" t="s">
        <v>3304</v>
      </c>
      <c r="U104" s="35">
        <v>1</v>
      </c>
      <c r="V104" s="34" t="s">
        <v>3304</v>
      </c>
      <c r="W104" s="34" t="s">
        <v>3979</v>
      </c>
    </row>
    <row r="105" s="26" customFormat="1" customHeight="1" spans="1:23">
      <c r="A105" s="30" t="s">
        <v>3980</v>
      </c>
      <c r="B105" s="31" t="s">
        <v>3981</v>
      </c>
      <c r="C105" s="32">
        <v>882</v>
      </c>
      <c r="D105" s="31" t="s">
        <v>53</v>
      </c>
      <c r="E105" s="33">
        <v>43624.9076041667</v>
      </c>
      <c r="F105" s="33">
        <v>43624.9112847222</v>
      </c>
      <c r="G105" s="31" t="s">
        <v>3300</v>
      </c>
      <c r="H105" s="31" t="s">
        <v>3982</v>
      </c>
      <c r="I105" s="34" t="s">
        <v>3983</v>
      </c>
      <c r="J105" s="31" t="s">
        <v>3984</v>
      </c>
      <c r="K105" s="31" t="s">
        <v>3304</v>
      </c>
      <c r="L105" s="31" t="s">
        <v>3985</v>
      </c>
      <c r="M105" s="34" t="s">
        <v>3938</v>
      </c>
      <c r="N105" s="32">
        <v>456</v>
      </c>
      <c r="O105" s="35">
        <v>2</v>
      </c>
      <c r="P105" s="31" t="s">
        <v>3307</v>
      </c>
      <c r="Q105" s="31" t="s">
        <v>3392</v>
      </c>
      <c r="R105" s="31" t="s">
        <v>3304</v>
      </c>
      <c r="S105" s="31" t="s">
        <v>3304</v>
      </c>
      <c r="T105" s="31" t="s">
        <v>3304</v>
      </c>
      <c r="U105" s="35">
        <v>1</v>
      </c>
      <c r="V105" s="34" t="s">
        <v>3304</v>
      </c>
      <c r="W105" s="34" t="s">
        <v>3986</v>
      </c>
    </row>
    <row r="106" s="26" customFormat="1" customHeight="1" spans="1:23">
      <c r="A106" s="30" t="s">
        <v>3987</v>
      </c>
      <c r="B106" s="31" t="s">
        <v>3988</v>
      </c>
      <c r="C106" s="32">
        <v>768</v>
      </c>
      <c r="D106" s="31" t="s">
        <v>53</v>
      </c>
      <c r="E106" s="33">
        <v>43624.9014814815</v>
      </c>
      <c r="F106" s="33">
        <v>43624.9044097222</v>
      </c>
      <c r="G106" s="31" t="s">
        <v>3300</v>
      </c>
      <c r="H106" s="31" t="s">
        <v>3989</v>
      </c>
      <c r="I106" s="34" t="s">
        <v>3990</v>
      </c>
      <c r="J106" s="31" t="s">
        <v>3991</v>
      </c>
      <c r="K106" s="31" t="s">
        <v>3304</v>
      </c>
      <c r="L106" s="31" t="s">
        <v>3992</v>
      </c>
      <c r="M106" s="34" t="s">
        <v>3993</v>
      </c>
      <c r="N106" s="32">
        <v>399</v>
      </c>
      <c r="O106" s="35">
        <v>2</v>
      </c>
      <c r="P106" s="31" t="s">
        <v>3307</v>
      </c>
      <c r="Q106" s="31" t="s">
        <v>3994</v>
      </c>
      <c r="R106" s="31" t="s">
        <v>3995</v>
      </c>
      <c r="S106" s="31" t="s">
        <v>3304</v>
      </c>
      <c r="T106" s="31" t="s">
        <v>3304</v>
      </c>
      <c r="U106" s="35">
        <v>1</v>
      </c>
      <c r="V106" s="34" t="s">
        <v>3304</v>
      </c>
      <c r="W106" s="34" t="s">
        <v>3996</v>
      </c>
    </row>
    <row r="107" s="26" customFormat="1" customHeight="1" spans="1:23">
      <c r="A107" s="30" t="s">
        <v>3997</v>
      </c>
      <c r="B107" s="31" t="s">
        <v>3998</v>
      </c>
      <c r="C107" s="32">
        <v>1340.64</v>
      </c>
      <c r="D107" s="31" t="s">
        <v>53</v>
      </c>
      <c r="E107" s="33">
        <v>43622.8162962963</v>
      </c>
      <c r="F107" s="33">
        <v>43622.8166203704</v>
      </c>
      <c r="G107" s="31" t="s">
        <v>3300</v>
      </c>
      <c r="H107" s="31" t="s">
        <v>3999</v>
      </c>
      <c r="I107" s="34" t="s">
        <v>4000</v>
      </c>
      <c r="J107" s="31" t="s">
        <v>3335</v>
      </c>
      <c r="K107" s="31" t="s">
        <v>3304</v>
      </c>
      <c r="L107" s="31" t="s">
        <v>4001</v>
      </c>
      <c r="M107" s="34" t="s">
        <v>3930</v>
      </c>
      <c r="N107" s="32">
        <v>456</v>
      </c>
      <c r="O107" s="35">
        <v>3</v>
      </c>
      <c r="P107" s="31" t="s">
        <v>3307</v>
      </c>
      <c r="Q107" s="31" t="s">
        <v>3392</v>
      </c>
      <c r="R107" s="31" t="s">
        <v>3304</v>
      </c>
      <c r="S107" s="31" t="s">
        <v>3304</v>
      </c>
      <c r="T107" s="31" t="s">
        <v>3304</v>
      </c>
      <c r="U107" s="35">
        <v>1</v>
      </c>
      <c r="V107" s="34" t="s">
        <v>3304</v>
      </c>
      <c r="W107" s="34" t="s">
        <v>4002</v>
      </c>
    </row>
    <row r="108" s="26" customFormat="1" customHeight="1" spans="1:23">
      <c r="A108" s="30" t="s">
        <v>4003</v>
      </c>
      <c r="B108" s="31" t="s">
        <v>4004</v>
      </c>
      <c r="C108" s="32">
        <v>882</v>
      </c>
      <c r="D108" s="31" t="s">
        <v>53</v>
      </c>
      <c r="E108" s="33">
        <v>43622.8034143519</v>
      </c>
      <c r="F108" s="33">
        <v>43622.8112037037</v>
      </c>
      <c r="G108" s="31" t="s">
        <v>3300</v>
      </c>
      <c r="H108" s="31" t="s">
        <v>4005</v>
      </c>
      <c r="I108" s="34" t="s">
        <v>4006</v>
      </c>
      <c r="J108" s="31" t="s">
        <v>3304</v>
      </c>
      <c r="K108" s="31" t="s">
        <v>3304</v>
      </c>
      <c r="L108" s="31" t="s">
        <v>4007</v>
      </c>
      <c r="M108" s="34" t="s">
        <v>3922</v>
      </c>
      <c r="N108" s="32">
        <v>456</v>
      </c>
      <c r="O108" s="35">
        <v>2</v>
      </c>
      <c r="P108" s="31" t="s">
        <v>3307</v>
      </c>
      <c r="Q108" s="31" t="s">
        <v>3392</v>
      </c>
      <c r="R108" s="31" t="s">
        <v>3304</v>
      </c>
      <c r="S108" s="31" t="s">
        <v>3304</v>
      </c>
      <c r="T108" s="31" t="s">
        <v>3304</v>
      </c>
      <c r="U108" s="35">
        <v>1</v>
      </c>
      <c r="V108" s="34" t="s">
        <v>3304</v>
      </c>
      <c r="W108" s="34" t="s">
        <v>4008</v>
      </c>
    </row>
    <row r="109" s="26" customFormat="1" customHeight="1" spans="1:23">
      <c r="A109" s="30" t="s">
        <v>4009</v>
      </c>
      <c r="B109" s="31" t="s">
        <v>4010</v>
      </c>
      <c r="C109" s="32">
        <v>882</v>
      </c>
      <c r="D109" s="31" t="s">
        <v>53</v>
      </c>
      <c r="E109" s="33">
        <v>43622.7771875</v>
      </c>
      <c r="F109" s="33">
        <v>43622.8283796296</v>
      </c>
      <c r="G109" s="31" t="s">
        <v>3300</v>
      </c>
      <c r="H109" s="31" t="s">
        <v>4011</v>
      </c>
      <c r="I109" s="34" t="s">
        <v>4012</v>
      </c>
      <c r="J109" s="31" t="s">
        <v>3304</v>
      </c>
      <c r="K109" s="31" t="s">
        <v>3304</v>
      </c>
      <c r="L109" s="31" t="s">
        <v>4013</v>
      </c>
      <c r="M109" s="34" t="s">
        <v>3938</v>
      </c>
      <c r="N109" s="32">
        <v>456</v>
      </c>
      <c r="O109" s="35">
        <v>2</v>
      </c>
      <c r="P109" s="31" t="s">
        <v>3307</v>
      </c>
      <c r="Q109" s="31" t="s">
        <v>3392</v>
      </c>
      <c r="R109" s="31" t="s">
        <v>3304</v>
      </c>
      <c r="S109" s="31" t="s">
        <v>3304</v>
      </c>
      <c r="T109" s="31" t="s">
        <v>3304</v>
      </c>
      <c r="U109" s="35">
        <v>1</v>
      </c>
      <c r="V109" s="34" t="s">
        <v>3304</v>
      </c>
      <c r="W109" s="34" t="s">
        <v>4014</v>
      </c>
    </row>
    <row r="110" s="26" customFormat="1" customHeight="1" spans="1:23">
      <c r="A110" s="30" t="s">
        <v>4015</v>
      </c>
      <c r="B110" s="31" t="s">
        <v>4016</v>
      </c>
      <c r="C110" s="32">
        <v>1570.04</v>
      </c>
      <c r="D110" s="31" t="s">
        <v>53</v>
      </c>
      <c r="E110" s="33">
        <v>43622.735162037</v>
      </c>
      <c r="F110" s="33">
        <v>43622.7546875</v>
      </c>
      <c r="G110" s="31" t="s">
        <v>3300</v>
      </c>
      <c r="H110" s="31" t="s">
        <v>4017</v>
      </c>
      <c r="I110" s="34" t="s">
        <v>4018</v>
      </c>
      <c r="J110" s="31" t="s">
        <v>4019</v>
      </c>
      <c r="K110" s="31" t="s">
        <v>3304</v>
      </c>
      <c r="L110" s="31" t="s">
        <v>4020</v>
      </c>
      <c r="M110" s="34" t="s">
        <v>3993</v>
      </c>
      <c r="N110" s="32">
        <v>399</v>
      </c>
      <c r="O110" s="35">
        <v>4</v>
      </c>
      <c r="P110" s="31" t="s">
        <v>3307</v>
      </c>
      <c r="Q110" s="31" t="s">
        <v>3994</v>
      </c>
      <c r="R110" s="31" t="s">
        <v>3995</v>
      </c>
      <c r="S110" s="31" t="s">
        <v>3304</v>
      </c>
      <c r="T110" s="31" t="s">
        <v>3304</v>
      </c>
      <c r="U110" s="35">
        <v>1</v>
      </c>
      <c r="V110" s="34" t="s">
        <v>3304</v>
      </c>
      <c r="W110" s="34" t="s">
        <v>4021</v>
      </c>
    </row>
    <row r="111" s="26" customFormat="1" customHeight="1" spans="1:23">
      <c r="A111" s="30" t="s">
        <v>4022</v>
      </c>
      <c r="B111" s="31" t="s">
        <v>4023</v>
      </c>
      <c r="C111" s="32">
        <v>1475.1</v>
      </c>
      <c r="D111" s="31" t="s">
        <v>53</v>
      </c>
      <c r="E111" s="33">
        <v>43622.7235300926</v>
      </c>
      <c r="F111" s="33">
        <v>43622.7265972222</v>
      </c>
      <c r="G111" s="31" t="s">
        <v>3300</v>
      </c>
      <c r="H111" s="31" t="s">
        <v>4024</v>
      </c>
      <c r="I111" s="34" t="s">
        <v>4025</v>
      </c>
      <c r="J111" s="31" t="s">
        <v>3335</v>
      </c>
      <c r="K111" s="31" t="s">
        <v>3304</v>
      </c>
      <c r="L111" s="31" t="s">
        <v>4026</v>
      </c>
      <c r="M111" s="34" t="s">
        <v>4027</v>
      </c>
      <c r="N111" s="32">
        <v>298</v>
      </c>
      <c r="O111" s="35">
        <v>5</v>
      </c>
      <c r="P111" s="31" t="s">
        <v>3307</v>
      </c>
      <c r="Q111" s="31" t="s">
        <v>3994</v>
      </c>
      <c r="R111" s="31" t="s">
        <v>3995</v>
      </c>
      <c r="S111" s="31" t="s">
        <v>3304</v>
      </c>
      <c r="T111" s="31" t="s">
        <v>3304</v>
      </c>
      <c r="U111" s="35">
        <v>1</v>
      </c>
      <c r="V111" s="34" t="s">
        <v>3304</v>
      </c>
      <c r="W111" s="34" t="s">
        <v>4028</v>
      </c>
    </row>
    <row r="112" s="26" customFormat="1" customHeight="1" spans="1:23">
      <c r="A112" s="30" t="s">
        <v>4029</v>
      </c>
      <c r="B112" s="31" t="s">
        <v>4030</v>
      </c>
      <c r="C112" s="32">
        <v>538</v>
      </c>
      <c r="D112" s="31" t="s">
        <v>53</v>
      </c>
      <c r="E112" s="33">
        <v>43622.714537037</v>
      </c>
      <c r="F112" s="33">
        <v>43622.7240509259</v>
      </c>
      <c r="G112" s="31" t="s">
        <v>3300</v>
      </c>
      <c r="H112" s="31" t="s">
        <v>4031</v>
      </c>
      <c r="I112" s="34" t="s">
        <v>4032</v>
      </c>
      <c r="J112" s="31" t="s">
        <v>4033</v>
      </c>
      <c r="K112" s="31" t="s">
        <v>3304</v>
      </c>
      <c r="L112" s="31" t="s">
        <v>4034</v>
      </c>
      <c r="M112" s="34" t="s">
        <v>4035</v>
      </c>
      <c r="N112" s="32">
        <v>568</v>
      </c>
      <c r="O112" s="35">
        <v>1</v>
      </c>
      <c r="P112" s="31" t="s">
        <v>3307</v>
      </c>
      <c r="Q112" s="31" t="s">
        <v>3308</v>
      </c>
      <c r="R112" s="31" t="s">
        <v>3304</v>
      </c>
      <c r="S112" s="31" t="s">
        <v>3304</v>
      </c>
      <c r="T112" s="31" t="s">
        <v>3304</v>
      </c>
      <c r="U112" s="35">
        <v>1</v>
      </c>
      <c r="V112" s="34" t="s">
        <v>3304</v>
      </c>
      <c r="W112" s="34" t="s">
        <v>4036</v>
      </c>
    </row>
    <row r="113" s="26" customFormat="1" customHeight="1" spans="1:23">
      <c r="A113" s="30" t="s">
        <v>4037</v>
      </c>
      <c r="B113" s="31" t="s">
        <v>4038</v>
      </c>
      <c r="C113" s="32">
        <v>658</v>
      </c>
      <c r="D113" s="31" t="s">
        <v>53</v>
      </c>
      <c r="E113" s="33">
        <v>43622.6800462963</v>
      </c>
      <c r="F113" s="33">
        <v>43622.6843981482</v>
      </c>
      <c r="G113" s="31" t="s">
        <v>3300</v>
      </c>
      <c r="H113" s="31" t="s">
        <v>4039</v>
      </c>
      <c r="I113" s="34" t="s">
        <v>4040</v>
      </c>
      <c r="J113" s="31" t="s">
        <v>3304</v>
      </c>
      <c r="K113" s="31" t="s">
        <v>3304</v>
      </c>
      <c r="L113" s="31" t="s">
        <v>4041</v>
      </c>
      <c r="M113" s="34" t="s">
        <v>3946</v>
      </c>
      <c r="N113" s="32">
        <v>688</v>
      </c>
      <c r="O113" s="35">
        <v>1</v>
      </c>
      <c r="P113" s="31" t="s">
        <v>3307</v>
      </c>
      <c r="Q113" s="31" t="s">
        <v>3308</v>
      </c>
      <c r="R113" s="31" t="s">
        <v>3304</v>
      </c>
      <c r="S113" s="31" t="s">
        <v>3304</v>
      </c>
      <c r="T113" s="31" t="s">
        <v>3304</v>
      </c>
      <c r="U113" s="35">
        <v>1</v>
      </c>
      <c r="V113" s="34" t="s">
        <v>3304</v>
      </c>
      <c r="W113" s="34" t="s">
        <v>4042</v>
      </c>
    </row>
    <row r="114" s="26" customFormat="1" customHeight="1" spans="1:23">
      <c r="A114" s="30" t="s">
        <v>4043</v>
      </c>
      <c r="B114" s="31" t="s">
        <v>4044</v>
      </c>
      <c r="C114" s="32">
        <v>882</v>
      </c>
      <c r="D114" s="31" t="s">
        <v>53</v>
      </c>
      <c r="E114" s="33">
        <v>43620.7574884259</v>
      </c>
      <c r="F114" s="33">
        <v>43620.7665046296</v>
      </c>
      <c r="G114" s="31" t="s">
        <v>3300</v>
      </c>
      <c r="H114" s="31" t="s">
        <v>4045</v>
      </c>
      <c r="I114" s="34" t="s">
        <v>4046</v>
      </c>
      <c r="J114" s="31" t="s">
        <v>4047</v>
      </c>
      <c r="K114" s="31" t="s">
        <v>3304</v>
      </c>
      <c r="L114" s="31" t="s">
        <v>4048</v>
      </c>
      <c r="M114" s="34" t="s">
        <v>3938</v>
      </c>
      <c r="N114" s="32">
        <v>456</v>
      </c>
      <c r="O114" s="35">
        <v>2</v>
      </c>
      <c r="P114" s="31" t="s">
        <v>3307</v>
      </c>
      <c r="Q114" s="31" t="s">
        <v>3392</v>
      </c>
      <c r="R114" s="31" t="s">
        <v>3304</v>
      </c>
      <c r="S114" s="31" t="s">
        <v>3304</v>
      </c>
      <c r="T114" s="31" t="s">
        <v>3304</v>
      </c>
      <c r="U114" s="35">
        <v>1</v>
      </c>
      <c r="V114" s="34" t="s">
        <v>3304</v>
      </c>
      <c r="W114" s="34" t="s">
        <v>4049</v>
      </c>
    </row>
    <row r="115" s="26" customFormat="1" customHeight="1" spans="1:23">
      <c r="A115" s="30" t="s">
        <v>4050</v>
      </c>
      <c r="B115" s="31" t="s">
        <v>4051</v>
      </c>
      <c r="C115" s="32">
        <v>882</v>
      </c>
      <c r="D115" s="31" t="s">
        <v>53</v>
      </c>
      <c r="E115" s="33">
        <v>43620.7282523148</v>
      </c>
      <c r="F115" s="33">
        <v>43620.7358912037</v>
      </c>
      <c r="G115" s="31" t="s">
        <v>3300</v>
      </c>
      <c r="H115" s="31" t="s">
        <v>4052</v>
      </c>
      <c r="I115" s="34" t="s">
        <v>4053</v>
      </c>
      <c r="J115" s="31" t="s">
        <v>4054</v>
      </c>
      <c r="K115" s="31" t="s">
        <v>3304</v>
      </c>
      <c r="L115" s="31" t="s">
        <v>4055</v>
      </c>
      <c r="M115" s="34" t="s">
        <v>4056</v>
      </c>
      <c r="N115" s="32">
        <v>456</v>
      </c>
      <c r="O115" s="35">
        <v>2</v>
      </c>
      <c r="P115" s="31" t="s">
        <v>3307</v>
      </c>
      <c r="Q115" s="31" t="s">
        <v>3392</v>
      </c>
      <c r="R115" s="31" t="s">
        <v>3304</v>
      </c>
      <c r="S115" s="31" t="s">
        <v>3304</v>
      </c>
      <c r="T115" s="31" t="s">
        <v>3304</v>
      </c>
      <c r="U115" s="35">
        <v>1</v>
      </c>
      <c r="V115" s="34" t="s">
        <v>3304</v>
      </c>
      <c r="W115" s="34" t="s">
        <v>4057</v>
      </c>
    </row>
    <row r="116" s="26" customFormat="1" customHeight="1" spans="1:23">
      <c r="A116" s="30" t="s">
        <v>4058</v>
      </c>
      <c r="B116" s="31" t="s">
        <v>4059</v>
      </c>
      <c r="C116" s="32">
        <v>905</v>
      </c>
      <c r="D116" s="31" t="s">
        <v>53</v>
      </c>
      <c r="E116" s="33">
        <v>43620.555462963</v>
      </c>
      <c r="F116" s="33">
        <v>43620.5569791667</v>
      </c>
      <c r="G116" s="31" t="s">
        <v>3300</v>
      </c>
      <c r="H116" s="31" t="s">
        <v>4060</v>
      </c>
      <c r="I116" s="34" t="s">
        <v>4061</v>
      </c>
      <c r="J116" s="31" t="s">
        <v>4062</v>
      </c>
      <c r="K116" s="31" t="s">
        <v>3304</v>
      </c>
      <c r="L116" s="31" t="s">
        <v>4063</v>
      </c>
      <c r="M116" s="34" t="s">
        <v>4064</v>
      </c>
      <c r="N116" s="32">
        <v>935</v>
      </c>
      <c r="O116" s="35">
        <v>1</v>
      </c>
      <c r="P116" s="31" t="s">
        <v>3307</v>
      </c>
      <c r="Q116" s="31" t="s">
        <v>3424</v>
      </c>
      <c r="R116" s="31" t="s">
        <v>3304</v>
      </c>
      <c r="S116" s="31" t="s">
        <v>3304</v>
      </c>
      <c r="T116" s="31" t="s">
        <v>3304</v>
      </c>
      <c r="U116" s="35">
        <v>1</v>
      </c>
      <c r="V116" s="34" t="s">
        <v>3304</v>
      </c>
      <c r="W116" s="34" t="s">
        <v>4065</v>
      </c>
    </row>
    <row r="117" s="26" customFormat="1" customHeight="1" spans="1:23">
      <c r="A117" s="30" t="s">
        <v>4066</v>
      </c>
      <c r="B117" s="31" t="s">
        <v>4067</v>
      </c>
      <c r="C117" s="32">
        <v>905</v>
      </c>
      <c r="D117" s="31" t="s">
        <v>53</v>
      </c>
      <c r="E117" s="33">
        <v>43620.5454050926</v>
      </c>
      <c r="F117" s="33">
        <v>43620.5491087963</v>
      </c>
      <c r="G117" s="31" t="s">
        <v>3300</v>
      </c>
      <c r="H117" s="31" t="s">
        <v>4068</v>
      </c>
      <c r="I117" s="34" t="s">
        <v>4069</v>
      </c>
      <c r="J117" s="31" t="s">
        <v>4070</v>
      </c>
      <c r="K117" s="31" t="s">
        <v>3304</v>
      </c>
      <c r="L117" s="31" t="s">
        <v>4071</v>
      </c>
      <c r="M117" s="34" t="s">
        <v>4064</v>
      </c>
      <c r="N117" s="32">
        <v>935</v>
      </c>
      <c r="O117" s="35">
        <v>1</v>
      </c>
      <c r="P117" s="31" t="s">
        <v>3307</v>
      </c>
      <c r="Q117" s="31" t="s">
        <v>3424</v>
      </c>
      <c r="R117" s="31" t="s">
        <v>3304</v>
      </c>
      <c r="S117" s="31" t="s">
        <v>3304</v>
      </c>
      <c r="T117" s="31" t="s">
        <v>3304</v>
      </c>
      <c r="U117" s="35">
        <v>1</v>
      </c>
      <c r="V117" s="34" t="s">
        <v>3304</v>
      </c>
      <c r="W117" s="34" t="s">
        <v>4072</v>
      </c>
    </row>
    <row r="118" s="26" customFormat="1" customHeight="1" spans="1:23">
      <c r="A118" s="30" t="s">
        <v>4073</v>
      </c>
      <c r="B118" s="31" t="s">
        <v>4074</v>
      </c>
      <c r="C118" s="32">
        <v>1368</v>
      </c>
      <c r="D118" s="31" t="s">
        <v>53</v>
      </c>
      <c r="E118" s="33">
        <v>43619.8116319444</v>
      </c>
      <c r="F118" s="33">
        <v>43619.8149421296</v>
      </c>
      <c r="G118" s="31" t="s">
        <v>3300</v>
      </c>
      <c r="H118" s="31" t="s">
        <v>4075</v>
      </c>
      <c r="I118" s="34" t="s">
        <v>4076</v>
      </c>
      <c r="J118" s="31" t="s">
        <v>3304</v>
      </c>
      <c r="K118" s="31" t="s">
        <v>3304</v>
      </c>
      <c r="L118" s="31" t="s">
        <v>4077</v>
      </c>
      <c r="M118" s="34" t="s">
        <v>3930</v>
      </c>
      <c r="N118" s="32">
        <v>456</v>
      </c>
      <c r="O118" s="35">
        <v>3</v>
      </c>
      <c r="P118" s="31" t="s">
        <v>3307</v>
      </c>
      <c r="Q118" s="31" t="s">
        <v>3392</v>
      </c>
      <c r="R118" s="31" t="s">
        <v>3304</v>
      </c>
      <c r="S118" s="31" t="s">
        <v>3304</v>
      </c>
      <c r="T118" s="31" t="s">
        <v>3304</v>
      </c>
      <c r="U118" s="35">
        <v>1</v>
      </c>
      <c r="V118" s="34" t="s">
        <v>3304</v>
      </c>
      <c r="W118" s="34" t="s">
        <v>4078</v>
      </c>
    </row>
    <row r="119" s="26" customFormat="1" customHeight="1" spans="1:23">
      <c r="A119" s="30" t="s">
        <v>4079</v>
      </c>
      <c r="B119" s="31" t="s">
        <v>4080</v>
      </c>
      <c r="C119" s="32">
        <v>912</v>
      </c>
      <c r="D119" s="31" t="s">
        <v>53</v>
      </c>
      <c r="E119" s="33">
        <v>43619.7972106482</v>
      </c>
      <c r="F119" s="33">
        <v>43619.8063541667</v>
      </c>
      <c r="G119" s="31" t="s">
        <v>3300</v>
      </c>
      <c r="H119" s="31" t="s">
        <v>4081</v>
      </c>
      <c r="I119" s="34" t="s">
        <v>4082</v>
      </c>
      <c r="J119" s="31" t="s">
        <v>3304</v>
      </c>
      <c r="K119" s="31" t="s">
        <v>3304</v>
      </c>
      <c r="L119" s="31" t="s">
        <v>4083</v>
      </c>
      <c r="M119" s="34" t="s">
        <v>3922</v>
      </c>
      <c r="N119" s="32">
        <v>456</v>
      </c>
      <c r="O119" s="35">
        <v>2</v>
      </c>
      <c r="P119" s="31" t="s">
        <v>3307</v>
      </c>
      <c r="Q119" s="31" t="s">
        <v>3392</v>
      </c>
      <c r="R119" s="31" t="s">
        <v>3304</v>
      </c>
      <c r="S119" s="31" t="s">
        <v>3304</v>
      </c>
      <c r="T119" s="31" t="s">
        <v>3304</v>
      </c>
      <c r="U119" s="35">
        <v>1</v>
      </c>
      <c r="V119" s="34" t="s">
        <v>3304</v>
      </c>
      <c r="W119" s="34" t="s">
        <v>4084</v>
      </c>
    </row>
    <row r="120" s="26" customFormat="1" customHeight="1" spans="1:23">
      <c r="A120" s="30" t="s">
        <v>4085</v>
      </c>
      <c r="B120" s="31" t="s">
        <v>4086</v>
      </c>
      <c r="C120" s="32">
        <v>912</v>
      </c>
      <c r="D120" s="31" t="s">
        <v>53</v>
      </c>
      <c r="E120" s="33">
        <v>43619.7870486111</v>
      </c>
      <c r="F120" s="33">
        <v>43619.7892361111</v>
      </c>
      <c r="G120" s="31" t="s">
        <v>3300</v>
      </c>
      <c r="H120" s="31" t="s">
        <v>4087</v>
      </c>
      <c r="I120" s="34" t="s">
        <v>4088</v>
      </c>
      <c r="J120" s="31" t="s">
        <v>4089</v>
      </c>
      <c r="K120" s="31" t="s">
        <v>3304</v>
      </c>
      <c r="L120" s="31" t="s">
        <v>4090</v>
      </c>
      <c r="M120" s="34" t="s">
        <v>3938</v>
      </c>
      <c r="N120" s="32">
        <v>456</v>
      </c>
      <c r="O120" s="35">
        <v>2</v>
      </c>
      <c r="P120" s="31" t="s">
        <v>3307</v>
      </c>
      <c r="Q120" s="31" t="s">
        <v>3392</v>
      </c>
      <c r="R120" s="31" t="s">
        <v>3304</v>
      </c>
      <c r="S120" s="31" t="s">
        <v>3304</v>
      </c>
      <c r="T120" s="31" t="s">
        <v>3304</v>
      </c>
      <c r="U120" s="35">
        <v>1</v>
      </c>
      <c r="V120" s="34" t="s">
        <v>3304</v>
      </c>
      <c r="W120" s="34" t="s">
        <v>4091</v>
      </c>
    </row>
  </sheetData>
  <autoFilter ref="A5:W120">
    <filterColumn colId="2">
      <colorFilter dxfId="0"/>
    </filterColumn>
    <extLst/>
  </autoFilter>
  <mergeCells count="2">
    <mergeCell ref="A1:I1"/>
    <mergeCell ref="A2:A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
  <sheetViews>
    <sheetView workbookViewId="0">
      <selection activeCell="D10" sqref="D10"/>
    </sheetView>
  </sheetViews>
  <sheetFormatPr defaultColWidth="9" defaultRowHeight="13.5" outlineLevelRow="3"/>
  <cols>
    <col min="8" max="8" width="12.375" customWidth="1"/>
  </cols>
  <sheetData>
    <row r="1" s="1" customFormat="1" ht="34" customHeight="1" spans="1:13">
      <c r="A1" s="3" t="s">
        <v>17</v>
      </c>
      <c r="B1" s="4"/>
      <c r="C1" s="4"/>
      <c r="D1" s="4"/>
      <c r="E1" s="4"/>
      <c r="F1" s="4"/>
      <c r="G1" s="4"/>
      <c r="H1" s="4"/>
      <c r="I1" s="24"/>
      <c r="J1" s="25"/>
      <c r="K1" s="25"/>
      <c r="L1" s="25"/>
      <c r="M1" s="1" t="s">
        <v>18</v>
      </c>
    </row>
    <row r="2" s="1" customFormat="1" ht="21" customHeight="1" spans="1:12">
      <c r="A2" s="5" t="s">
        <v>19</v>
      </c>
      <c r="B2" s="6" t="s">
        <v>20</v>
      </c>
      <c r="C2" s="7">
        <v>0</v>
      </c>
      <c r="D2" s="8" t="s">
        <v>21</v>
      </c>
      <c r="E2" s="7">
        <v>0</v>
      </c>
      <c r="F2" s="9" t="s">
        <v>22</v>
      </c>
      <c r="G2" s="7">
        <v>0</v>
      </c>
      <c r="H2" s="10" t="s">
        <v>23</v>
      </c>
      <c r="I2" s="7">
        <v>0</v>
      </c>
      <c r="J2" s="25"/>
      <c r="K2" s="25"/>
      <c r="L2" s="25"/>
    </row>
    <row r="3" s="1" customFormat="1" ht="21" customHeight="1" spans="1:12">
      <c r="A3" s="11"/>
      <c r="B3" s="12" t="s">
        <v>24</v>
      </c>
      <c r="C3" s="13"/>
      <c r="D3" s="14"/>
      <c r="E3" s="15"/>
      <c r="F3" s="16"/>
      <c r="G3" s="15"/>
      <c r="H3" s="17"/>
      <c r="I3" s="15"/>
      <c r="K3" s="25"/>
      <c r="L3" s="25"/>
    </row>
    <row r="4" s="2" customFormat="1" ht="21" customHeight="1" spans="1:9">
      <c r="A4" s="18" t="s">
        <v>16</v>
      </c>
      <c r="B4" s="19" t="s">
        <v>4</v>
      </c>
      <c r="C4" s="20">
        <f t="shared" ref="C4:G4" si="0">C3+C2</f>
        <v>0</v>
      </c>
      <c r="D4" s="21" t="s">
        <v>5</v>
      </c>
      <c r="E4" s="20">
        <f t="shared" si="0"/>
        <v>0</v>
      </c>
      <c r="F4" s="22" t="s">
        <v>22</v>
      </c>
      <c r="G4" s="20">
        <f t="shared" si="0"/>
        <v>0</v>
      </c>
      <c r="H4" s="23" t="s">
        <v>23</v>
      </c>
      <c r="I4" s="20">
        <f>I3+I2</f>
        <v>0</v>
      </c>
    </row>
  </sheetData>
  <mergeCells count="2">
    <mergeCell ref="A1:I1"/>
    <mergeCell ref="A2:A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总汇</vt:lpstr>
      <vt:lpstr>天猫</vt:lpstr>
      <vt:lpstr>京东</vt:lpstr>
      <vt:lpstr>企业</vt:lpstr>
      <vt:lpstr>阿里</vt:lpstr>
      <vt:lpstr>线下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cp:lastModifiedBy>
  <dcterms:created xsi:type="dcterms:W3CDTF">2019-07-16T02:56:00Z</dcterms:created>
  <dcterms:modified xsi:type="dcterms:W3CDTF">2019-07-17T06:40:51Z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y fmtid="{D5CDD505-2E9C-101B-9397-08002B2CF9AE}" pid="3" name="KSOReadingLayout">
    <vt:bool>false</vt:bool>
  </property>
</Properties>
</file>