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01"/>
  <workbookPr defaultThemeVersion="166925"/>
  <mc:AlternateContent xmlns:mc="http://schemas.openxmlformats.org/markup-compatibility/2006">
    <mc:Choice Requires="x15">
      <x15ac:absPath xmlns:x15ac="http://schemas.microsoft.com/office/spreadsheetml/2010/11/ac" url="Z:\O-241-M\VHF Tracker Documentation\Power Calculator\"/>
    </mc:Choice>
  </mc:AlternateContent>
  <xr:revisionPtr revIDLastSave="0" documentId="13_ncr:1_{0D39A49F-5D64-4E90-A814-5FE0562403D5}" xr6:coauthVersionLast="43" xr6:coauthVersionMax="43" xr10:uidLastSave="{00000000-0000-0000-0000-000000000000}"/>
  <bookViews>
    <workbookView xWindow="-98" yWindow="-98" windowWidth="22695" windowHeight="14595" xr2:uid="{4D702497-0214-5A4F-AA8B-56552AC612FC}"/>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58" i="1" l="1"/>
  <c r="B56" i="1"/>
  <c r="B55" i="1"/>
  <c r="B61" i="1" l="1"/>
  <c r="B52" i="1"/>
  <c r="B50" i="1" l="1"/>
  <c r="B24" i="1"/>
  <c r="B10" i="1" l="1"/>
  <c r="B7" i="1"/>
  <c r="B8" i="1" s="1"/>
  <c r="B4" i="1"/>
  <c r="B13" i="1" l="1"/>
  <c r="B15" i="1"/>
  <c r="B17" i="1" s="1"/>
  <c r="B18" i="1" s="1"/>
  <c r="B44" i="1"/>
  <c r="B46" i="1" s="1"/>
  <c r="B38" i="1"/>
  <c r="B31" i="1"/>
  <c r="B32" i="1" s="1"/>
  <c r="H9" i="1"/>
  <c r="B33" i="1"/>
  <c r="B25" i="1" l="1"/>
  <c r="B26" i="1" s="1"/>
  <c r="B41" i="1"/>
  <c r="B40" i="1"/>
  <c r="B16" i="1"/>
  <c r="B34" i="1"/>
  <c r="I9" i="1"/>
  <c r="B53" i="1" l="1"/>
  <c r="B14" i="1" l="1"/>
  <c r="B47" i="1"/>
  <c r="B62" i="1" s="1"/>
  <c r="B19" i="1" l="1"/>
  <c r="B20" i="1" s="1"/>
  <c r="B64"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Tom Reese</author>
  </authors>
  <commentList>
    <comment ref="E2" authorId="0" shapeId="0" xr:uid="{355DEDE8-D5C4-4D70-8B06-DE140439118B}">
      <text>
        <r>
          <rPr>
            <b/>
            <sz val="9"/>
            <color indexed="81"/>
            <rFont val="Tahoma"/>
            <charset val="1"/>
          </rPr>
          <t>Tom Reese:</t>
        </r>
        <r>
          <rPr>
            <sz val="9"/>
            <color indexed="81"/>
            <rFont val="Tahoma"/>
            <charset val="1"/>
          </rPr>
          <t xml:space="preserve">
Vout = 5.0V when SHDN = H
Vout = 3.6V when SHDN = L
Vbatt = 3.6V</t>
        </r>
      </text>
    </comment>
    <comment ref="H2" authorId="0" shapeId="0" xr:uid="{A78D2729-BA57-4223-AA06-6303F3AE00B8}">
      <text>
        <r>
          <rPr>
            <b/>
            <sz val="9"/>
            <color indexed="81"/>
            <rFont val="Tahoma"/>
            <family val="2"/>
          </rPr>
          <t>Tom Reese:</t>
        </r>
        <r>
          <rPr>
            <sz val="9"/>
            <color indexed="81"/>
            <rFont val="Tahoma"/>
            <family val="2"/>
          </rPr>
          <t xml:space="preserve">
Each APRS message takes 640 msec to XMIT</t>
        </r>
      </text>
    </comment>
    <comment ref="I2" authorId="0" shapeId="0" xr:uid="{9EECB273-FFBA-479C-AB57-E78F1F750574}">
      <text>
        <r>
          <rPr>
            <b/>
            <sz val="9"/>
            <color indexed="81"/>
            <rFont val="Tahoma"/>
            <charset val="1"/>
          </rPr>
          <t xml:space="preserve">Tom Reese:
</t>
        </r>
        <r>
          <rPr>
            <sz val="9"/>
            <color indexed="81"/>
            <rFont val="Tahoma"/>
            <charset val="1"/>
          </rPr>
          <t xml:space="preserve">
75 msec 500 Hz Audio pin
103 msec Encoded ping
For simplicy, assume both pings are 100 msec</t>
        </r>
      </text>
    </comment>
    <comment ref="A3" authorId="0" shapeId="0" xr:uid="{0F19BCD2-EFB8-4B38-A557-0AEE293EF1BE}">
      <text>
        <r>
          <rPr>
            <b/>
            <sz val="9"/>
            <color indexed="81"/>
            <rFont val="Tahoma"/>
            <family val="2"/>
          </rPr>
          <t>Tom Reese:</t>
        </r>
        <r>
          <rPr>
            <sz val="9"/>
            <color indexed="81"/>
            <rFont val="Tahoma"/>
            <family val="2"/>
          </rPr>
          <t xml:space="preserve">
How often to send APRS position packets in PreFlight mode (units = minutes)</t>
        </r>
      </text>
    </comment>
    <comment ref="A5" authorId="0" shapeId="0" xr:uid="{CE1A5161-1E08-4C28-9D45-18EADDFC2B86}">
      <text>
        <r>
          <rPr>
            <b/>
            <sz val="9"/>
            <color indexed="81"/>
            <rFont val="Tahoma"/>
            <family val="2"/>
          </rPr>
          <t>Tom Reese:</t>
        </r>
        <r>
          <rPr>
            <sz val="9"/>
            <color indexed="81"/>
            <rFont val="Tahoma"/>
            <family val="2"/>
          </rPr>
          <t xml:space="preserve">
Total number of PreFlight APRS messsages to send while in PreFlight
A new GPS position is accquired for every APRS message sent.</t>
        </r>
      </text>
    </comment>
    <comment ref="D7" authorId="0" shapeId="0" xr:uid="{8C68EE4C-2470-49A0-85E3-C5F893E21CFB}">
      <text>
        <r>
          <rPr>
            <b/>
            <sz val="9"/>
            <color indexed="81"/>
            <rFont val="Tahoma"/>
            <charset val="1"/>
          </rPr>
          <t>Tom Reese:</t>
        </r>
        <r>
          <rPr>
            <sz val="9"/>
            <color indexed="81"/>
            <rFont val="Tahoma"/>
            <charset val="1"/>
          </rPr>
          <t xml:space="preserve">
LM321 Data sheet: Iq = 430 uA (typ @ 5V)</t>
        </r>
      </text>
    </comment>
    <comment ref="D8" authorId="0" shapeId="0" xr:uid="{FABBFB0C-63F8-4F31-97B5-638A5F1D13F2}">
      <text>
        <r>
          <rPr>
            <b/>
            <sz val="9"/>
            <color indexed="81"/>
            <rFont val="Tahoma"/>
            <charset val="1"/>
          </rPr>
          <t>Tom Reese:</t>
        </r>
        <r>
          <rPr>
            <sz val="9"/>
            <color indexed="81"/>
            <rFont val="Tahoma"/>
            <charset val="1"/>
          </rPr>
          <t xml:space="preserve">
1.3 mA when enabled</t>
        </r>
      </text>
    </comment>
    <comment ref="A9" authorId="0" shapeId="0" xr:uid="{A6E4D47F-A9DB-46CF-950B-421C138AA22C}">
      <text>
        <r>
          <rPr>
            <b/>
            <sz val="9"/>
            <color indexed="81"/>
            <rFont val="Tahoma"/>
            <charset val="1"/>
          </rPr>
          <t>Tom Reese:</t>
        </r>
        <r>
          <rPr>
            <sz val="9"/>
            <color indexed="81"/>
            <rFont val="Tahoma"/>
            <charset val="1"/>
          </rPr>
          <t xml:space="preserve">
Measured value from Oscope</t>
        </r>
      </text>
    </comment>
    <comment ref="A11" authorId="0" shapeId="0" xr:uid="{D149EB5E-A496-4D31-B885-261BE3DC7A8F}">
      <text>
        <r>
          <rPr>
            <b/>
            <sz val="9"/>
            <color indexed="81"/>
            <rFont val="Tahoma"/>
            <charset val="1"/>
          </rPr>
          <t>Tom Reese:</t>
        </r>
        <r>
          <rPr>
            <sz val="9"/>
            <color indexed="81"/>
            <rFont val="Tahoma"/>
            <charset val="1"/>
          </rPr>
          <t xml:space="preserve">
Set is SW:
getGPS(120,GPS_PWR_OFF);
</t>
        </r>
      </text>
    </comment>
    <comment ref="G11" authorId="0" shapeId="0" xr:uid="{C8E6C380-190A-4886-838B-BD980C0905D0}">
      <text>
        <r>
          <rPr>
            <b/>
            <sz val="9"/>
            <color indexed="81"/>
            <rFont val="Tahoma"/>
            <charset val="1"/>
          </rPr>
          <t>Tom Reese:</t>
        </r>
        <r>
          <rPr>
            <sz val="9"/>
            <color indexed="81"/>
            <rFont val="Tahoma"/>
            <charset val="1"/>
          </rPr>
          <t xml:space="preserve">
Measured 50 mA May 2019 (DC supply current)
Measured 53 mA May 2019 (Agilent U1273A DVM)
Using the 53 mA value for calculations
Tested by continuously looping "getGPS(120,GPS_PWR_ON)"</t>
        </r>
      </text>
    </comment>
    <comment ref="H11" authorId="0" shapeId="0" xr:uid="{78BA3851-5CD9-4B2F-8483-59E9A9070209}">
      <text>
        <r>
          <rPr>
            <b/>
            <sz val="9"/>
            <color indexed="81"/>
            <rFont val="Tahoma"/>
            <charset val="1"/>
          </rPr>
          <t>Tom Reese:</t>
        </r>
        <r>
          <rPr>
            <sz val="9"/>
            <color indexed="81"/>
            <rFont val="Tahoma"/>
            <charset val="1"/>
          </rPr>
          <t xml:space="preserve">
Measured 230 mA May 2019 (DC supply current)
Measured 220 mA May 2019 (Agilent U1273A DVM)
Using the 230 mA value for calculations
Transmitting a continuous 5 Vpp 900 Hz sine wave
</t>
        </r>
      </text>
    </comment>
    <comment ref="I11" authorId="0" shapeId="0" xr:uid="{27366E18-3ACA-4A4E-8B7B-8B0AD1B23988}">
      <text>
        <r>
          <rPr>
            <b/>
            <sz val="9"/>
            <color indexed="81"/>
            <rFont val="Tahoma"/>
            <charset val="1"/>
          </rPr>
          <t>Tom Reese:</t>
        </r>
        <r>
          <rPr>
            <sz val="9"/>
            <color indexed="81"/>
            <rFont val="Tahoma"/>
            <charset val="1"/>
          </rPr>
          <t xml:space="preserve">
Measured 230 mA May 2019 (DC supply current)
Measured 220 mA May 2019 (Agilent U1273A DVM)
Using the 230 mA value for calculations
Transmitting a continuous 5 Vpp 900 Hz sine wave
</t>
        </r>
      </text>
    </comment>
    <comment ref="J11" authorId="0" shapeId="0" xr:uid="{B6C0E12B-0859-4AE3-9703-8C577022004F}">
      <text>
        <r>
          <rPr>
            <b/>
            <sz val="9"/>
            <color indexed="81"/>
            <rFont val="Tahoma"/>
            <charset val="1"/>
          </rPr>
          <t>Tom Reese:</t>
        </r>
        <r>
          <rPr>
            <sz val="9"/>
            <color indexed="81"/>
            <rFont val="Tahoma"/>
            <charset val="1"/>
          </rPr>
          <t xml:space="preserve">
Mesured 480 uA on 28 May 2019</t>
        </r>
      </text>
    </comment>
    <comment ref="A12" authorId="0" shapeId="0" xr:uid="{A516368F-2570-446E-AA14-167916792C17}">
      <text>
        <r>
          <rPr>
            <b/>
            <sz val="9"/>
            <color indexed="81"/>
            <rFont val="Tahoma"/>
            <charset val="1"/>
          </rPr>
          <t>Tom Reese:</t>
        </r>
        <r>
          <rPr>
            <sz val="9"/>
            <color indexed="81"/>
            <rFont val="Tahoma"/>
            <charset val="1"/>
          </rPr>
          <t xml:space="preserve">
Estimated GPS accquisition time = 1 min (60 seconds)
</t>
        </r>
      </text>
    </comment>
    <comment ref="A25" authorId="0" shapeId="0" xr:uid="{2B8D8839-9E18-4C58-AD1B-1E81E2F175EB}">
      <text>
        <r>
          <rPr>
            <b/>
            <sz val="9"/>
            <color indexed="81"/>
            <rFont val="Tahoma"/>
            <family val="2"/>
          </rPr>
          <t>Tom Reese:</t>
        </r>
        <r>
          <rPr>
            <sz val="9"/>
            <color indexed="81"/>
            <rFont val="Tahoma"/>
            <family val="2"/>
          </rPr>
          <t xml:space="preserve">
In Flight mode, GPS 3.3V power is not turned off.
The GPS runs continuously to constant GPS position updates as often as possible. Want GPS position when gondola lands just in case never get another GPS position.</t>
        </r>
      </text>
    </comment>
    <comment ref="A31" authorId="0" shapeId="0" xr:uid="{508665E8-DA82-4D21-98E0-24DE036582D7}">
      <text>
        <r>
          <rPr>
            <b/>
            <sz val="9"/>
            <color indexed="81"/>
            <rFont val="Tahoma"/>
            <family val="2"/>
          </rPr>
          <t xml:space="preserve">Tom Reese:
</t>
        </r>
        <r>
          <rPr>
            <sz val="9"/>
            <color indexed="81"/>
            <rFont val="Tahoma"/>
            <family val="2"/>
          </rPr>
          <t xml:space="preserve">
Number days to Hibernate</t>
        </r>
      </text>
    </comment>
    <comment ref="A37" authorId="0" shapeId="0" xr:uid="{02A28328-09A2-4FC3-A68D-1E64FD645D90}">
      <text>
        <r>
          <rPr>
            <b/>
            <sz val="9"/>
            <color indexed="81"/>
            <rFont val="Tahoma"/>
            <family val="2"/>
          </rPr>
          <t>Tom Reese:</t>
        </r>
        <r>
          <rPr>
            <sz val="9"/>
            <color indexed="81"/>
            <rFont val="Tahoma"/>
            <family val="2"/>
          </rPr>
          <t xml:space="preserve">
Number of hours between GPS fixes</t>
        </r>
      </text>
    </comment>
    <comment ref="A39" authorId="0" shapeId="0" xr:uid="{2E31E3F5-5F20-4D65-90BF-1C63D593B20F}">
      <text>
        <r>
          <rPr>
            <b/>
            <sz val="9"/>
            <color indexed="81"/>
            <rFont val="Tahoma"/>
            <family val="2"/>
          </rPr>
          <t>Tom Reese:</t>
        </r>
        <r>
          <rPr>
            <sz val="9"/>
            <color indexed="81"/>
            <rFont val="Tahoma"/>
            <family val="2"/>
          </rPr>
          <t xml:space="preserve">
The max time allowed to accquire a GPS position.
Set to 180 seconds (3 minutes) while in track mode</t>
        </r>
      </text>
    </comment>
    <comment ref="A43" authorId="0" shapeId="0" xr:uid="{D3FA57C6-2F74-4969-8ECE-5C5499E3B358}">
      <text>
        <r>
          <rPr>
            <b/>
            <sz val="9"/>
            <color indexed="81"/>
            <rFont val="Tahoma"/>
            <family val="2"/>
          </rPr>
          <t xml:space="preserve">Tom Reese:
</t>
        </r>
        <r>
          <rPr>
            <sz val="9"/>
            <color indexed="81"/>
            <rFont val="Tahoma"/>
            <family val="2"/>
          </rPr>
          <t xml:space="preserve">
Number of minutes between each APRS message transmission.
GPS position sent
</t>
        </r>
      </text>
    </comment>
    <comment ref="A45" authorId="0" shapeId="0" xr:uid="{BD55226F-180E-4196-A103-214BF05526CA}">
      <text>
        <r>
          <rPr>
            <b/>
            <sz val="9"/>
            <color indexed="81"/>
            <rFont val="Tahoma"/>
            <charset val="1"/>
          </rPr>
          <t>Tom Reese:</t>
        </r>
        <r>
          <rPr>
            <sz val="9"/>
            <color indexed="81"/>
            <rFont val="Tahoma"/>
            <charset val="1"/>
          </rPr>
          <t xml:space="preserve">
640 msec (Measured value from Oscope)</t>
        </r>
      </text>
    </comment>
    <comment ref="A49" authorId="0" shapeId="0" xr:uid="{4CDC1FB8-AAD4-48FB-A1B1-373DB6908A93}">
      <text>
        <r>
          <rPr>
            <b/>
            <sz val="9"/>
            <color indexed="81"/>
            <rFont val="Tahoma"/>
            <family val="2"/>
          </rPr>
          <t xml:space="preserve">Tom Reese:
</t>
        </r>
        <r>
          <rPr>
            <sz val="9"/>
            <color indexed="81"/>
            <rFont val="Tahoma"/>
            <family val="2"/>
          </rPr>
          <t xml:space="preserve">
Number of seconds betweeen each ping</t>
        </r>
      </text>
    </comment>
    <comment ref="A51" authorId="0" shapeId="0" xr:uid="{B8388564-0002-4A7F-9C08-07D8760528A4}">
      <text>
        <r>
          <rPr>
            <b/>
            <sz val="9"/>
            <color indexed="81"/>
            <rFont val="Tahoma"/>
            <family val="2"/>
          </rPr>
          <t>Tom Reese:</t>
        </r>
        <r>
          <rPr>
            <sz val="9"/>
            <color indexed="81"/>
            <rFont val="Tahoma"/>
            <family val="2"/>
          </rPr>
          <t xml:space="preserve">
- Encoded data pings take 101 msec (measured value)
- 500 Hz Audio pings take 75 msec
- For simplicity assume all pings take 100 msec </t>
        </r>
      </text>
    </comment>
  </commentList>
</comments>
</file>

<file path=xl/sharedStrings.xml><?xml version="1.0" encoding="utf-8"?>
<sst xmlns="http://schemas.openxmlformats.org/spreadsheetml/2006/main" count="79" uniqueCount="70">
  <si>
    <t>Component</t>
  </si>
  <si>
    <t>Hibernate</t>
  </si>
  <si>
    <t>Battery Voltage (nom)</t>
  </si>
  <si>
    <t>mA</t>
  </si>
  <si>
    <t>Switched 
Regulated 
+5V</t>
  </si>
  <si>
    <t>Volts</t>
  </si>
  <si>
    <t>Switched 
Unregulated 
Battery</t>
  </si>
  <si>
    <t>GPS
Accquire</t>
  </si>
  <si>
    <t>HX1 XMTR</t>
  </si>
  <si>
    <t>Pressure Sensor</t>
  </si>
  <si>
    <t>GPS RCVR</t>
  </si>
  <si>
    <t>Teensy 3.6 uProc</t>
  </si>
  <si>
    <t>APRS
Message
XMIT</t>
  </si>
  <si>
    <t>Flight Mode</t>
  </si>
  <si>
    <t>Max GPS Accquire time (sec)</t>
  </si>
  <si>
    <t>APRS Message XMIT time (sec)</t>
  </si>
  <si>
    <t>Hibernate Mode</t>
  </si>
  <si>
    <t>Average Current for Hibernate period (mA)</t>
  </si>
  <si>
    <t>Battery: 3.6V, D-Cell, MODEL TL-5930</t>
  </si>
  <si>
    <t>Track Mode</t>
  </si>
  <si>
    <t>Number of days in Track Mode</t>
  </si>
  <si>
    <t>TRACK_GPS_PERIOD in seconds</t>
  </si>
  <si>
    <t>TRACK_APRS_TX_PERIOD in seconds</t>
  </si>
  <si>
    <t>HIBERNATE_PERIOD (hours)</t>
  </si>
  <si>
    <t>GPS Duty cycle (%)</t>
  </si>
  <si>
    <t>APRS Duty cycle (%)</t>
  </si>
  <si>
    <t>Ping Duty cycle (%)</t>
  </si>
  <si>
    <t>Total for Track Mode period (mAh)</t>
  </si>
  <si>
    <t>Total for the Hibernatet Mode period (mAh)</t>
  </si>
  <si>
    <r>
      <rPr>
        <b/>
        <sz val="10"/>
        <color theme="1"/>
        <rFont val="Arial"/>
        <family val="2"/>
      </rPr>
      <t>HIBERNATE_PERIOD</t>
    </r>
    <r>
      <rPr>
        <sz val="10"/>
        <color theme="1"/>
        <rFont val="Arial"/>
        <family val="2"/>
      </rPr>
      <t xml:space="preserve"> (days)</t>
    </r>
  </si>
  <si>
    <r>
      <rPr>
        <b/>
        <sz val="10"/>
        <color theme="1"/>
        <rFont val="Arial"/>
        <family val="2"/>
      </rPr>
      <t>TRACK_GPS_PERIOD</t>
    </r>
    <r>
      <rPr>
        <sz val="10"/>
        <color theme="1"/>
        <rFont val="Arial"/>
        <family val="2"/>
      </rPr>
      <t xml:space="preserve"> (Hrs)</t>
    </r>
  </si>
  <si>
    <r>
      <rPr>
        <b/>
        <sz val="10"/>
        <color theme="1"/>
        <rFont val="Arial"/>
        <family val="2"/>
      </rPr>
      <t>TRACK_APRS_TX_PERIOD</t>
    </r>
    <r>
      <rPr>
        <sz val="10"/>
        <color theme="1"/>
        <rFont val="Arial"/>
        <family val="2"/>
      </rPr>
      <t xml:space="preserve"> (minutes)</t>
    </r>
  </si>
  <si>
    <r>
      <rPr>
        <b/>
        <sz val="10"/>
        <color theme="1"/>
        <rFont val="Arial"/>
        <family val="2"/>
      </rPr>
      <t>TRACK_PING_TX_PERIOD</t>
    </r>
    <r>
      <rPr>
        <sz val="10"/>
        <color theme="1"/>
        <rFont val="Arial"/>
        <family val="2"/>
      </rPr>
      <t xml:space="preserve"> (sec)</t>
    </r>
  </si>
  <si>
    <t>Total for the Flight Mode period mAh</t>
  </si>
  <si>
    <t>PreFlight Mode</t>
  </si>
  <si>
    <t>Track
Mode
Ping</t>
  </si>
  <si>
    <r>
      <rPr>
        <b/>
        <sz val="12"/>
        <color theme="1"/>
        <rFont val="Calibri"/>
        <family val="2"/>
        <scheme val="minor"/>
      </rPr>
      <t>PREFLIGHT_APRS_TX_PERIOD</t>
    </r>
    <r>
      <rPr>
        <sz val="12"/>
        <color theme="1"/>
        <rFont val="Calibri"/>
        <family val="2"/>
        <scheme val="minor"/>
      </rPr>
      <t xml:space="preserve"> (min)</t>
    </r>
  </si>
  <si>
    <t>MAX_PREFLIGHT_PACKETS</t>
  </si>
  <si>
    <t>Total time in PreFlightmode (hours)</t>
  </si>
  <si>
    <t>Max Time to accquire each GPS position (sec)</t>
  </si>
  <si>
    <t>Max Time to accquire each GPS position (min)</t>
  </si>
  <si>
    <t>PREFLIGHT_APRS_TX_PERIOD (sec)</t>
  </si>
  <si>
    <t>Estimated Time to accquire each GPS position (sec)</t>
  </si>
  <si>
    <t>Launch Date: 25 May 2019 (Julian Day)</t>
  </si>
  <si>
    <t>Track Mode start Date: 1 Nov 2019 (Julian Day)</t>
  </si>
  <si>
    <t>Total Flight Mode average current (mA)</t>
  </si>
  <si>
    <t>FLIGHT_TIME (hours)</t>
  </si>
  <si>
    <t>Average Current for Flight mode period (mA)</t>
  </si>
  <si>
    <r>
      <rPr>
        <b/>
        <sz val="10"/>
        <color theme="1"/>
        <rFont val="Arial"/>
        <family val="2"/>
      </rPr>
      <t>FLIGHT_TIME</t>
    </r>
    <r>
      <rPr>
        <sz val="10"/>
        <color theme="1"/>
        <rFont val="Arial"/>
        <family val="2"/>
      </rPr>
      <t xml:space="preserve"> (minutes)</t>
    </r>
  </si>
  <si>
    <t>Total for the Flightt Mode period (mAh)</t>
  </si>
  <si>
    <t>PreFlight + Flight + Hibernate + Track Total (Ah)</t>
  </si>
  <si>
    <t>Number Pings sent per minute</t>
  </si>
  <si>
    <t>Average GPS accqisition current, Track period (mA)</t>
  </si>
  <si>
    <t>Total time in PreFlight mode (min)</t>
  </si>
  <si>
    <t>Total time in PreFlight mode (sec)</t>
  </si>
  <si>
    <t>Average APRS TX current (mA)</t>
  </si>
  <si>
    <t>Average PING current (mA)</t>
  </si>
  <si>
    <t>Track moded total average current (mA)</t>
  </si>
  <si>
    <t>Ping Pulse width  (msec)</t>
  </si>
  <si>
    <t>Number of hours in Track Mode</t>
  </si>
  <si>
    <t>APRS Message transmit time (sec)</t>
  </si>
  <si>
    <r>
      <t xml:space="preserve">Software constant values are in </t>
    </r>
    <r>
      <rPr>
        <b/>
        <sz val="12"/>
        <color theme="1"/>
        <rFont val="Calibri"/>
        <family val="2"/>
        <scheme val="minor"/>
      </rPr>
      <t>BOLD</t>
    </r>
  </si>
  <si>
    <t>LM321 Op Amp</t>
  </si>
  <si>
    <t>LT3426 DC-DC</t>
  </si>
  <si>
    <t>Measured Battery Current</t>
  </si>
  <si>
    <t>Calulated Battery Current</t>
  </si>
  <si>
    <t>Sleep\Hibernate Duty cycle (%)</t>
  </si>
  <si>
    <t>Average Sleep\Hibernate accqisition current (mA)</t>
  </si>
  <si>
    <t>Average GPS accqisition current (mA)</t>
  </si>
  <si>
    <t>Average APRS TX current, (mA)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</si>
</sst>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
  </numFmts>
  <fonts count="11" x14ac:knownFonts="1">
    <font>
      <sz val="12"/>
      <color theme="1"/>
      <name val="Calibri"/>
      <family val="2"/>
      <scheme val="minor"/>
    </font>
    <font>
      <sz val="10"/>
      <color theme="1"/>
      <name val="Arial"/>
      <family val="2"/>
    </font>
    <font>
      <sz val="9"/>
      <color indexed="81"/>
      <name val="Tahoma"/>
      <family val="2"/>
    </font>
    <font>
      <b/>
      <sz val="9"/>
      <color indexed="81"/>
      <name val="Tahoma"/>
      <family val="2"/>
    </font>
    <font>
      <b/>
      <sz val="12"/>
      <color theme="1"/>
      <name val="Calibri"/>
      <family val="2"/>
      <scheme val="minor"/>
    </font>
    <font>
      <i/>
      <sz val="10"/>
      <color theme="1"/>
      <name val="Arial"/>
      <family val="2"/>
    </font>
    <font>
      <i/>
      <sz val="12"/>
      <color theme="1"/>
      <name val="Calibri"/>
      <family val="2"/>
      <scheme val="minor"/>
    </font>
    <font>
      <b/>
      <sz val="10"/>
      <color theme="1"/>
      <name val="Arial"/>
      <family val="2"/>
    </font>
    <font>
      <sz val="14"/>
      <color theme="1"/>
      <name val="Calibri"/>
      <family val="2"/>
      <scheme val="minor"/>
    </font>
    <font>
      <sz val="9"/>
      <color indexed="81"/>
      <name val="Tahoma"/>
      <charset val="1"/>
    </font>
    <font>
      <b/>
      <sz val="9"/>
      <color indexed="81"/>
      <name val="Tahoma"/>
      <charset val="1"/>
    </font>
  </fonts>
  <fills count="6">
    <fill>
      <patternFill patternType="none"/>
    </fill>
    <fill>
      <patternFill patternType="gray125"/>
    </fill>
    <fill>
      <patternFill patternType="solid">
        <fgColor theme="0" tint="-0.14999847407452621"/>
        <bgColor indexed="64"/>
      </patternFill>
    </fill>
    <fill>
      <patternFill patternType="solid">
        <fgColor theme="4" tint="0.59999389629810485"/>
        <bgColor indexed="64"/>
      </patternFill>
    </fill>
    <fill>
      <patternFill patternType="solid">
        <fgColor rgb="FFFFC000"/>
        <bgColor indexed="64"/>
      </patternFill>
    </fill>
    <fill>
      <patternFill patternType="solid">
        <fgColor rgb="FFFFFF00"/>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64">
    <xf numFmtId="0" fontId="0" fillId="0" borderId="0" xfId="0"/>
    <xf numFmtId="0" fontId="0" fillId="0" borderId="0" xfId="0" applyAlignment="1">
      <alignment horizontal="center" vertical="center"/>
    </xf>
    <xf numFmtId="0" fontId="0" fillId="0" borderId="0" xfId="0" applyAlignment="1">
      <alignment horizontal="right"/>
    </xf>
    <xf numFmtId="0" fontId="0" fillId="0" borderId="0" xfId="0" applyAlignment="1">
      <alignment horizontal="left" vertical="center"/>
    </xf>
    <xf numFmtId="165" fontId="0" fillId="0" borderId="0" xfId="0" applyNumberFormat="1" applyAlignment="1">
      <alignment horizontal="center" vertical="center"/>
    </xf>
    <xf numFmtId="1" fontId="0" fillId="0" borderId="0" xfId="0" applyNumberFormat="1" applyAlignment="1">
      <alignment horizontal="center" vertical="center"/>
    </xf>
    <xf numFmtId="0" fontId="1" fillId="0" borderId="0" xfId="0" applyFont="1" applyAlignment="1">
      <alignment horizontal="right"/>
    </xf>
    <xf numFmtId="1" fontId="0" fillId="0" borderId="0" xfId="0" applyNumberFormat="1" applyBorder="1" applyAlignment="1">
      <alignment horizontal="center" vertical="center"/>
    </xf>
    <xf numFmtId="0" fontId="0" fillId="0" borderId="1" xfId="0" applyBorder="1" applyAlignment="1">
      <alignment horizontal="center" vertical="center"/>
    </xf>
    <xf numFmtId="1" fontId="0" fillId="0" borderId="1" xfId="0" applyNumberFormat="1"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1" fontId="0" fillId="0" borderId="3" xfId="0" applyNumberFormat="1" applyBorder="1" applyAlignment="1">
      <alignment horizontal="center" vertical="center"/>
    </xf>
    <xf numFmtId="0" fontId="0" fillId="3" borderId="6" xfId="0" applyFill="1" applyBorder="1" applyAlignment="1">
      <alignment horizontal="center" vertical="center" wrapText="1"/>
    </xf>
    <xf numFmtId="0" fontId="0" fillId="3" borderId="7" xfId="0" applyFill="1" applyBorder="1" applyAlignment="1">
      <alignment horizontal="center" vertical="center" wrapText="1"/>
    </xf>
    <xf numFmtId="0" fontId="0" fillId="3" borderId="8" xfId="0" applyFill="1" applyBorder="1" applyAlignment="1">
      <alignment horizontal="center" vertical="center"/>
    </xf>
    <xf numFmtId="0" fontId="0" fillId="0" borderId="9" xfId="0" applyBorder="1" applyAlignment="1">
      <alignment horizontal="center" vertical="center"/>
    </xf>
    <xf numFmtId="0" fontId="1" fillId="0" borderId="0" xfId="0" applyFont="1" applyAlignment="1">
      <alignment horizontal="left" vertical="center" indent="1"/>
    </xf>
    <xf numFmtId="165" fontId="0" fillId="0" borderId="4" xfId="0" applyNumberFormat="1" applyBorder="1" applyAlignment="1">
      <alignment horizontal="center" vertical="center"/>
    </xf>
    <xf numFmtId="0" fontId="1" fillId="0" borderId="0" xfId="0" applyFont="1" applyBorder="1" applyAlignment="1">
      <alignment horizontal="left" indent="1"/>
    </xf>
    <xf numFmtId="0" fontId="1" fillId="0" borderId="0" xfId="0" applyFont="1" applyAlignment="1">
      <alignment horizontal="right" vertical="center" indent="1"/>
    </xf>
    <xf numFmtId="0" fontId="0" fillId="0" borderId="0" xfId="0" applyAlignment="1">
      <alignment horizontal="left"/>
    </xf>
    <xf numFmtId="0" fontId="6" fillId="0" borderId="12" xfId="0" applyFont="1" applyBorder="1" applyAlignment="1">
      <alignment horizontal="left" vertical="center" indent="1"/>
    </xf>
    <xf numFmtId="0" fontId="7" fillId="0" borderId="12" xfId="0" applyFont="1" applyBorder="1" applyAlignment="1">
      <alignment horizontal="left" indent="1"/>
    </xf>
    <xf numFmtId="0" fontId="1" fillId="0" borderId="12" xfId="0" applyFont="1" applyBorder="1" applyAlignment="1">
      <alignment horizontal="left" indent="1"/>
    </xf>
    <xf numFmtId="0" fontId="1" fillId="0" borderId="12" xfId="0" applyFont="1" applyFill="1" applyBorder="1" applyAlignment="1">
      <alignment horizontal="left" indent="1"/>
    </xf>
    <xf numFmtId="0" fontId="0" fillId="0" borderId="2" xfId="0" applyFill="1" applyBorder="1" applyAlignment="1">
      <alignment horizontal="center" vertical="center"/>
    </xf>
    <xf numFmtId="0" fontId="1" fillId="0" borderId="12" xfId="0" applyFont="1" applyBorder="1" applyAlignment="1">
      <alignment horizontal="left" vertical="center" indent="1"/>
    </xf>
    <xf numFmtId="165" fontId="0" fillId="0" borderId="2" xfId="0" applyNumberFormat="1" applyBorder="1" applyAlignment="1">
      <alignment horizontal="center" vertical="center"/>
    </xf>
    <xf numFmtId="0" fontId="1" fillId="0" borderId="13" xfId="0" applyFont="1" applyBorder="1" applyAlignment="1">
      <alignment horizontal="left" indent="1"/>
    </xf>
    <xf numFmtId="1" fontId="0" fillId="0" borderId="2" xfId="0" applyNumberFormat="1" applyBorder="1" applyAlignment="1">
      <alignment horizontal="center" vertical="center"/>
    </xf>
    <xf numFmtId="1" fontId="0" fillId="0" borderId="4" xfId="0" applyNumberFormat="1" applyBorder="1" applyAlignment="1">
      <alignment horizontal="center" vertical="center"/>
    </xf>
    <xf numFmtId="0" fontId="5" fillId="0" borderId="12" xfId="0" applyFont="1" applyBorder="1" applyAlignment="1">
      <alignment horizontal="left" indent="1"/>
    </xf>
    <xf numFmtId="0" fontId="5" fillId="0" borderId="12" xfId="0" applyFont="1" applyBorder="1" applyAlignment="1">
      <alignment horizontal="left" vertical="center" indent="1"/>
    </xf>
    <xf numFmtId="0" fontId="1" fillId="0" borderId="12" xfId="0" applyFont="1" applyBorder="1" applyAlignment="1">
      <alignment horizontal="left" vertical="center" wrapText="1" indent="1"/>
    </xf>
    <xf numFmtId="0" fontId="1" fillId="0" borderId="13" xfId="0" applyFont="1" applyBorder="1" applyAlignment="1">
      <alignment horizontal="left" vertical="center" indent="1"/>
    </xf>
    <xf numFmtId="164" fontId="0" fillId="0" borderId="4" xfId="0" applyNumberFormat="1" applyBorder="1" applyAlignment="1">
      <alignment horizontal="center" vertical="center"/>
    </xf>
    <xf numFmtId="0" fontId="0" fillId="0" borderId="1" xfId="0" applyBorder="1"/>
    <xf numFmtId="0" fontId="0" fillId="0" borderId="12" xfId="0" applyBorder="1" applyAlignment="1">
      <alignment horizontal="center" vertical="center"/>
    </xf>
    <xf numFmtId="0" fontId="0" fillId="4" borderId="10" xfId="0" applyFill="1" applyBorder="1" applyAlignment="1">
      <alignment horizontal="center" vertical="center"/>
    </xf>
    <xf numFmtId="0" fontId="0" fillId="4" borderId="14" xfId="0" applyFill="1" applyBorder="1" applyAlignment="1">
      <alignment horizontal="center" vertical="center"/>
    </xf>
    <xf numFmtId="0" fontId="0" fillId="4" borderId="11" xfId="0" applyFill="1" applyBorder="1" applyAlignment="1">
      <alignment horizontal="center" vertical="center"/>
    </xf>
    <xf numFmtId="0" fontId="0" fillId="0" borderId="13" xfId="0" applyBorder="1" applyAlignment="1">
      <alignment horizontal="center" vertical="center"/>
    </xf>
    <xf numFmtId="0" fontId="0" fillId="0" borderId="2" xfId="0" applyBorder="1"/>
    <xf numFmtId="0" fontId="0" fillId="0" borderId="15" xfId="0" applyBorder="1" applyAlignment="1">
      <alignment horizontal="left" vertical="center" indent="1"/>
    </xf>
    <xf numFmtId="0" fontId="0" fillId="0" borderId="5" xfId="0" applyBorder="1" applyAlignment="1">
      <alignment horizontal="center" vertical="center"/>
    </xf>
    <xf numFmtId="0" fontId="0" fillId="0" borderId="16" xfId="0" applyBorder="1" applyAlignment="1">
      <alignment horizontal="center" vertical="center"/>
    </xf>
    <xf numFmtId="0" fontId="0" fillId="0" borderId="17" xfId="0" applyBorder="1" applyAlignment="1">
      <alignment horizontal="left" vertical="center" indent="1"/>
    </xf>
    <xf numFmtId="0" fontId="0" fillId="0" borderId="18" xfId="0" applyBorder="1" applyAlignment="1">
      <alignment horizontal="left" vertical="center" indent="1"/>
    </xf>
    <xf numFmtId="0" fontId="0" fillId="0" borderId="1" xfId="0" applyFill="1" applyBorder="1" applyAlignment="1">
      <alignment horizontal="center" vertical="center"/>
    </xf>
    <xf numFmtId="0" fontId="1" fillId="5" borderId="12" xfId="0" applyFont="1" applyFill="1" applyBorder="1" applyAlignment="1">
      <alignment horizontal="left" indent="1"/>
    </xf>
    <xf numFmtId="164" fontId="0" fillId="5" borderId="2" xfId="0" applyNumberFormat="1" applyFill="1" applyBorder="1" applyAlignment="1">
      <alignment horizontal="center" vertical="center"/>
    </xf>
    <xf numFmtId="165" fontId="0" fillId="5" borderId="2" xfId="0" applyNumberFormat="1" applyFill="1" applyBorder="1" applyAlignment="1">
      <alignment horizontal="center" vertical="center"/>
    </xf>
    <xf numFmtId="165" fontId="0" fillId="0" borderId="2" xfId="0" applyNumberFormat="1" applyFill="1" applyBorder="1" applyAlignment="1">
      <alignment horizontal="center" vertical="center"/>
    </xf>
    <xf numFmtId="0" fontId="1" fillId="0" borderId="15" xfId="0" applyFont="1" applyBorder="1" applyAlignment="1">
      <alignment horizontal="left" indent="1"/>
    </xf>
    <xf numFmtId="0" fontId="1" fillId="0" borderId="15" xfId="0" applyFont="1" applyBorder="1" applyAlignment="1">
      <alignment horizontal="left" vertical="center" indent="1"/>
    </xf>
    <xf numFmtId="1" fontId="0" fillId="0" borderId="5" xfId="0" applyNumberFormat="1" applyBorder="1" applyAlignment="1">
      <alignment horizontal="center" vertical="center"/>
    </xf>
    <xf numFmtId="0" fontId="0" fillId="0" borderId="0" xfId="0" applyAlignment="1">
      <alignment horizontal="left" vertical="center" indent="1"/>
    </xf>
    <xf numFmtId="0" fontId="1" fillId="5" borderId="12" xfId="0" applyFont="1" applyFill="1" applyBorder="1" applyAlignment="1">
      <alignment horizontal="left" vertical="center" indent="1"/>
    </xf>
    <xf numFmtId="0" fontId="8" fillId="2" borderId="19" xfId="0" applyFont="1" applyFill="1" applyBorder="1" applyAlignment="1">
      <alignment horizontal="center" vertical="center"/>
    </xf>
    <xf numFmtId="0" fontId="0" fillId="0" borderId="20" xfId="0" applyFont="1" applyBorder="1" applyAlignment="1">
      <alignment horizontal="center" vertical="center"/>
    </xf>
    <xf numFmtId="0" fontId="8" fillId="2" borderId="6" xfId="0" applyFont="1" applyFill="1" applyBorder="1" applyAlignment="1">
      <alignment horizontal="center" vertical="center"/>
    </xf>
    <xf numFmtId="0" fontId="0" fillId="0" borderId="8" xfId="0" applyFont="1" applyBorder="1" applyAlignment="1">
      <alignment horizontal="center" vertical="center"/>
    </xf>
    <xf numFmtId="1" fontId="0" fillId="5" borderId="2" xfId="0" applyNumberForma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Tom Reese" id="{3C0FEC1C-092F-49CD-A7F4-DD4D0C40CD11}" userId="33e44b4989ce58dd"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8FBB45-9B1F-954A-B6B3-9143B38ACA0E}">
  <dimension ref="A1:J65"/>
  <sheetViews>
    <sheetView tabSelected="1" topLeftCell="A13" zoomScale="70" zoomScaleNormal="70" workbookViewId="0">
      <selection activeCell="D22" sqref="D22"/>
    </sheetView>
  </sheetViews>
  <sheetFormatPr defaultColWidth="11" defaultRowHeight="15.75" x14ac:dyDescent="0.5"/>
  <cols>
    <col min="1" max="1" width="50.5" style="2" customWidth="1"/>
    <col min="2" max="2" width="11.8125" style="1" customWidth="1"/>
    <col min="3" max="3" width="13" style="1" customWidth="1"/>
    <col min="4" max="4" width="24.375" style="1" customWidth="1"/>
    <col min="5" max="5" width="11.0625" style="1" customWidth="1"/>
    <col min="6" max="6" width="13.75" style="1" customWidth="1"/>
    <col min="7" max="7" width="10.375" style="1" customWidth="1"/>
    <col min="8" max="8" width="12" customWidth="1"/>
    <col min="10" max="10" width="9.6875" customWidth="1"/>
    <col min="11" max="11" width="15.5" customWidth="1"/>
    <col min="12" max="12" width="15" customWidth="1"/>
    <col min="15" max="15" width="14" customWidth="1"/>
    <col min="16" max="16" width="14.5" customWidth="1"/>
  </cols>
  <sheetData>
    <row r="1" spans="1:10" ht="16.149999999999999" thickBot="1" x14ac:dyDescent="0.55000000000000004"/>
    <row r="2" spans="1:10" ht="60.4" customHeight="1" thickBot="1" x14ac:dyDescent="0.55000000000000004">
      <c r="A2" s="61" t="s">
        <v>34</v>
      </c>
      <c r="B2" s="62"/>
      <c r="D2" s="16" t="s">
        <v>0</v>
      </c>
      <c r="E2" s="13" t="s">
        <v>4</v>
      </c>
      <c r="F2" s="14" t="s">
        <v>6</v>
      </c>
      <c r="G2" s="14" t="s">
        <v>7</v>
      </c>
      <c r="H2" s="14" t="s">
        <v>12</v>
      </c>
      <c r="I2" s="14" t="s">
        <v>35</v>
      </c>
      <c r="J2" s="15" t="s">
        <v>1</v>
      </c>
    </row>
    <row r="3" spans="1:10" x14ac:dyDescent="0.5">
      <c r="A3" s="44" t="s">
        <v>36</v>
      </c>
      <c r="B3" s="45">
        <v>10</v>
      </c>
      <c r="D3" s="46"/>
      <c r="E3" s="39" t="s">
        <v>3</v>
      </c>
      <c r="F3" s="40" t="s">
        <v>3</v>
      </c>
      <c r="G3" s="40" t="s">
        <v>3</v>
      </c>
      <c r="H3" s="40" t="s">
        <v>3</v>
      </c>
      <c r="I3" s="40" t="s">
        <v>3</v>
      </c>
      <c r="J3" s="41" t="s">
        <v>3</v>
      </c>
    </row>
    <row r="4" spans="1:10" x14ac:dyDescent="0.5">
      <c r="A4" s="22" t="s">
        <v>41</v>
      </c>
      <c r="B4" s="10">
        <f>B3*60</f>
        <v>600</v>
      </c>
      <c r="D4" s="47" t="s">
        <v>11</v>
      </c>
      <c r="E4" s="38">
        <v>0</v>
      </c>
      <c r="F4" s="8">
        <v>0</v>
      </c>
      <c r="G4" s="8">
        <v>25</v>
      </c>
      <c r="H4" s="8">
        <v>25</v>
      </c>
      <c r="I4" s="8">
        <v>25</v>
      </c>
      <c r="J4" s="10">
        <v>0.115</v>
      </c>
    </row>
    <row r="5" spans="1:10" x14ac:dyDescent="0.5">
      <c r="A5" s="23" t="s">
        <v>37</v>
      </c>
      <c r="B5" s="10">
        <v>12</v>
      </c>
      <c r="D5" s="47" t="s">
        <v>10</v>
      </c>
      <c r="E5" s="38">
        <v>0</v>
      </c>
      <c r="F5" s="8">
        <v>30</v>
      </c>
      <c r="G5" s="8">
        <v>30</v>
      </c>
      <c r="H5" s="8">
        <v>0</v>
      </c>
      <c r="I5" s="8">
        <v>0</v>
      </c>
      <c r="J5" s="10">
        <v>0</v>
      </c>
    </row>
    <row r="6" spans="1:10" x14ac:dyDescent="0.5">
      <c r="A6" s="24" t="s">
        <v>38</v>
      </c>
      <c r="B6" s="10">
        <v>2</v>
      </c>
      <c r="D6" s="47" t="s">
        <v>9</v>
      </c>
      <c r="E6" s="38">
        <v>0</v>
      </c>
      <c r="F6" s="8">
        <v>2</v>
      </c>
      <c r="G6" s="8">
        <v>2</v>
      </c>
      <c r="H6" s="8">
        <v>0</v>
      </c>
      <c r="I6" s="8">
        <v>0</v>
      </c>
      <c r="J6" s="10">
        <v>0</v>
      </c>
    </row>
    <row r="7" spans="1:10" x14ac:dyDescent="0.5">
      <c r="A7" s="25" t="s">
        <v>53</v>
      </c>
      <c r="B7" s="26">
        <f>B3*B5</f>
        <v>120</v>
      </c>
      <c r="D7" s="47" t="s">
        <v>62</v>
      </c>
      <c r="E7" s="38"/>
      <c r="F7" s="8"/>
      <c r="G7" s="49">
        <v>0.43</v>
      </c>
      <c r="H7" s="49">
        <v>0.43</v>
      </c>
      <c r="I7" s="49">
        <v>0.43</v>
      </c>
      <c r="J7" s="26">
        <v>0.43</v>
      </c>
    </row>
    <row r="8" spans="1:10" x14ac:dyDescent="0.5">
      <c r="A8" s="24" t="s">
        <v>54</v>
      </c>
      <c r="B8" s="10">
        <f>B7*60</f>
        <v>7200</v>
      </c>
      <c r="D8" s="47" t="s">
        <v>63</v>
      </c>
      <c r="E8" s="38"/>
      <c r="F8" s="8"/>
      <c r="G8" s="8"/>
      <c r="H8" s="37"/>
      <c r="I8" s="37"/>
      <c r="J8" s="43"/>
    </row>
    <row r="9" spans="1:10" x14ac:dyDescent="0.5">
      <c r="A9" s="24" t="s">
        <v>15</v>
      </c>
      <c r="B9" s="10">
        <v>0.64</v>
      </c>
      <c r="D9" s="47" t="s">
        <v>8</v>
      </c>
      <c r="E9" s="38">
        <v>140</v>
      </c>
      <c r="F9" s="8">
        <v>0</v>
      </c>
      <c r="G9" s="8">
        <v>0</v>
      </c>
      <c r="H9" s="9">
        <f>(5/E14)*E9/0.9</f>
        <v>216.04938271604937</v>
      </c>
      <c r="I9" s="9">
        <f>H9</f>
        <v>216.04938271604937</v>
      </c>
      <c r="J9" s="10">
        <v>0</v>
      </c>
    </row>
    <row r="10" spans="1:10" x14ac:dyDescent="0.5">
      <c r="A10" s="24" t="s">
        <v>40</v>
      </c>
      <c r="B10" s="10">
        <f>B11/60</f>
        <v>2</v>
      </c>
      <c r="D10" s="47" t="s">
        <v>65</v>
      </c>
      <c r="E10" s="38"/>
      <c r="F10" s="8"/>
      <c r="G10" s="8"/>
      <c r="H10" s="37"/>
      <c r="I10" s="37"/>
      <c r="J10" s="43"/>
    </row>
    <row r="11" spans="1:10" ht="16.149999999999999" thickBot="1" x14ac:dyDescent="0.55000000000000004">
      <c r="A11" s="24" t="s">
        <v>39</v>
      </c>
      <c r="B11" s="10">
        <v>120</v>
      </c>
      <c r="D11" s="48" t="s">
        <v>64</v>
      </c>
      <c r="E11" s="42"/>
      <c r="F11" s="11"/>
      <c r="G11" s="12">
        <v>53</v>
      </c>
      <c r="H11" s="12">
        <v>230</v>
      </c>
      <c r="I11" s="12">
        <v>230</v>
      </c>
      <c r="J11" s="36">
        <v>0.48</v>
      </c>
    </row>
    <row r="12" spans="1:10" x14ac:dyDescent="0.5">
      <c r="A12" s="24" t="s">
        <v>42</v>
      </c>
      <c r="B12" s="10">
        <v>60</v>
      </c>
    </row>
    <row r="13" spans="1:10" x14ac:dyDescent="0.5">
      <c r="A13" s="27" t="s">
        <v>25</v>
      </c>
      <c r="B13" s="28">
        <f>100*B9/B4</f>
        <v>0.10666666666666667</v>
      </c>
      <c r="D13" s="21" t="s">
        <v>18</v>
      </c>
    </row>
    <row r="14" spans="1:10" x14ac:dyDescent="0.5">
      <c r="A14" s="50" t="s">
        <v>69</v>
      </c>
      <c r="B14" s="51">
        <f>H11*B9/B4</f>
        <v>0.24533333333333338</v>
      </c>
      <c r="D14" s="3" t="s">
        <v>2</v>
      </c>
      <c r="E14" s="1">
        <v>3.6</v>
      </c>
      <c r="F14" s="3" t="s">
        <v>5</v>
      </c>
    </row>
    <row r="15" spans="1:10" x14ac:dyDescent="0.5">
      <c r="A15" s="27" t="s">
        <v>24</v>
      </c>
      <c r="B15" s="28">
        <f>100*B12/B4</f>
        <v>10</v>
      </c>
    </row>
    <row r="16" spans="1:10" x14ac:dyDescent="0.5">
      <c r="A16" s="50" t="s">
        <v>68</v>
      </c>
      <c r="B16" s="52">
        <f>G11*B15/100</f>
        <v>5.3</v>
      </c>
    </row>
    <row r="17" spans="1:4" x14ac:dyDescent="0.5">
      <c r="A17" s="27" t="s">
        <v>66</v>
      </c>
      <c r="B17" s="53">
        <f>100-B15</f>
        <v>90</v>
      </c>
    </row>
    <row r="18" spans="1:4" x14ac:dyDescent="0.5">
      <c r="A18" s="50" t="s">
        <v>67</v>
      </c>
      <c r="B18" s="52">
        <f>J11*B17/100</f>
        <v>0.43199999999999994</v>
      </c>
    </row>
    <row r="19" spans="1:4" x14ac:dyDescent="0.5">
      <c r="A19" s="24" t="s">
        <v>45</v>
      </c>
      <c r="B19" s="28">
        <f>B14+B16+B18</f>
        <v>5.9773333333333323</v>
      </c>
    </row>
    <row r="20" spans="1:4" ht="16.149999999999999" thickBot="1" x14ac:dyDescent="0.55000000000000004">
      <c r="A20" s="29" t="s">
        <v>33</v>
      </c>
      <c r="B20" s="18">
        <f>B19*B6</f>
        <v>11.954666666666665</v>
      </c>
      <c r="D20" s="3" t="s">
        <v>61</v>
      </c>
    </row>
    <row r="21" spans="1:4" ht="16.149999999999999" thickBot="1" x14ac:dyDescent="0.55000000000000004">
      <c r="A21" s="19"/>
      <c r="B21" s="7"/>
    </row>
    <row r="22" spans="1:4" ht="18.399999999999999" thickBot="1" x14ac:dyDescent="0.55000000000000004">
      <c r="A22" s="61" t="s">
        <v>13</v>
      </c>
      <c r="B22" s="62"/>
    </row>
    <row r="23" spans="1:4" x14ac:dyDescent="0.5">
      <c r="A23" s="54" t="s">
        <v>48</v>
      </c>
      <c r="B23" s="45">
        <v>120</v>
      </c>
    </row>
    <row r="24" spans="1:4" x14ac:dyDescent="0.5">
      <c r="A24" s="24" t="s">
        <v>46</v>
      </c>
      <c r="B24" s="10">
        <f>B23/60</f>
        <v>2</v>
      </c>
    </row>
    <row r="25" spans="1:4" x14ac:dyDescent="0.5">
      <c r="A25" s="50" t="s">
        <v>47</v>
      </c>
      <c r="B25" s="63">
        <f>G11</f>
        <v>53</v>
      </c>
    </row>
    <row r="26" spans="1:4" ht="16.149999999999999" thickBot="1" x14ac:dyDescent="0.55000000000000004">
      <c r="A26" s="29" t="s">
        <v>49</v>
      </c>
      <c r="B26" s="31">
        <f>B25*B24</f>
        <v>106</v>
      </c>
    </row>
    <row r="27" spans="1:4" ht="16.149999999999999" thickBot="1" x14ac:dyDescent="0.55000000000000004">
      <c r="A27" s="19"/>
      <c r="B27" s="7"/>
    </row>
    <row r="28" spans="1:4" ht="18.399999999999999" thickBot="1" x14ac:dyDescent="0.55000000000000004">
      <c r="A28" s="61" t="s">
        <v>16</v>
      </c>
      <c r="B28" s="62"/>
    </row>
    <row r="29" spans="1:4" x14ac:dyDescent="0.5">
      <c r="A29" s="54" t="s">
        <v>43</v>
      </c>
      <c r="B29" s="45">
        <v>147</v>
      </c>
    </row>
    <row r="30" spans="1:4" x14ac:dyDescent="0.5">
      <c r="A30" s="24" t="s">
        <v>44</v>
      </c>
      <c r="B30" s="10">
        <v>305</v>
      </c>
    </row>
    <row r="31" spans="1:4" x14ac:dyDescent="0.5">
      <c r="A31" s="24" t="s">
        <v>29</v>
      </c>
      <c r="B31" s="10">
        <f>B30-B29</f>
        <v>158</v>
      </c>
    </row>
    <row r="32" spans="1:4" x14ac:dyDescent="0.5">
      <c r="A32" s="32" t="s">
        <v>23</v>
      </c>
      <c r="B32" s="10">
        <f>B31*24</f>
        <v>3792</v>
      </c>
    </row>
    <row r="33" spans="1:2" x14ac:dyDescent="0.5">
      <c r="A33" s="50" t="s">
        <v>17</v>
      </c>
      <c r="B33" s="51">
        <f>J11</f>
        <v>0.48</v>
      </c>
    </row>
    <row r="34" spans="1:2" ht="16.149999999999999" thickBot="1" x14ac:dyDescent="0.55000000000000004">
      <c r="A34" s="29" t="s">
        <v>28</v>
      </c>
      <c r="B34" s="31">
        <f>B33*B32</f>
        <v>1820.1599999999999</v>
      </c>
    </row>
    <row r="35" spans="1:2" ht="16.149999999999999" thickBot="1" x14ac:dyDescent="0.55000000000000004">
      <c r="A35" s="6"/>
      <c r="B35" s="5"/>
    </row>
    <row r="36" spans="1:2" ht="18.399999999999999" thickBot="1" x14ac:dyDescent="0.55000000000000004">
      <c r="A36" s="59" t="s">
        <v>19</v>
      </c>
      <c r="B36" s="60"/>
    </row>
    <row r="37" spans="1:2" s="57" customFormat="1" x14ac:dyDescent="0.5">
      <c r="A37" s="55" t="s">
        <v>30</v>
      </c>
      <c r="B37" s="56">
        <v>24</v>
      </c>
    </row>
    <row r="38" spans="1:2" s="57" customFormat="1" x14ac:dyDescent="0.5">
      <c r="A38" s="33" t="s">
        <v>21</v>
      </c>
      <c r="B38" s="30">
        <f>B37*60*60</f>
        <v>86400</v>
      </c>
    </row>
    <row r="39" spans="1:2" s="57" customFormat="1" x14ac:dyDescent="0.5">
      <c r="A39" s="27" t="s">
        <v>14</v>
      </c>
      <c r="B39" s="10">
        <v>180</v>
      </c>
    </row>
    <row r="40" spans="1:2" s="57" customFormat="1" x14ac:dyDescent="0.5">
      <c r="A40" s="27" t="s">
        <v>24</v>
      </c>
      <c r="B40" s="28">
        <f>100*(B39/B38)</f>
        <v>0.20833333333333334</v>
      </c>
    </row>
    <row r="41" spans="1:2" s="57" customFormat="1" x14ac:dyDescent="0.5">
      <c r="A41" s="58" t="s">
        <v>52</v>
      </c>
      <c r="B41" s="52">
        <f>G11*B39/B38</f>
        <v>0.11041666666666666</v>
      </c>
    </row>
    <row r="42" spans="1:2" s="57" customFormat="1" x14ac:dyDescent="0.5">
      <c r="A42" s="27"/>
      <c r="B42" s="28"/>
    </row>
    <row r="43" spans="1:2" s="57" customFormat="1" x14ac:dyDescent="0.5">
      <c r="A43" s="27" t="s">
        <v>31</v>
      </c>
      <c r="B43" s="30">
        <v>10</v>
      </c>
    </row>
    <row r="44" spans="1:2" s="57" customFormat="1" x14ac:dyDescent="0.5">
      <c r="A44" s="33" t="s">
        <v>22</v>
      </c>
      <c r="B44" s="30">
        <f>B43*60</f>
        <v>600</v>
      </c>
    </row>
    <row r="45" spans="1:2" s="57" customFormat="1" ht="16.5" customHeight="1" x14ac:dyDescent="0.5">
      <c r="A45" s="27" t="s">
        <v>60</v>
      </c>
      <c r="B45" s="10">
        <v>0.64</v>
      </c>
    </row>
    <row r="46" spans="1:2" s="57" customFormat="1" ht="18" customHeight="1" x14ac:dyDescent="0.5">
      <c r="A46" s="27" t="s">
        <v>25</v>
      </c>
      <c r="B46" s="28">
        <f>100*B45/B44</f>
        <v>0.10666666666666667</v>
      </c>
    </row>
    <row r="47" spans="1:2" s="57" customFormat="1" ht="18" customHeight="1" x14ac:dyDescent="0.5">
      <c r="A47" s="58" t="s">
        <v>55</v>
      </c>
      <c r="B47" s="52">
        <f>H11*B45/B44</f>
        <v>0.24533333333333338</v>
      </c>
    </row>
    <row r="48" spans="1:2" s="57" customFormat="1" ht="18" customHeight="1" x14ac:dyDescent="0.5">
      <c r="A48" s="27"/>
      <c r="B48" s="28"/>
    </row>
    <row r="49" spans="1:2" s="57" customFormat="1" x14ac:dyDescent="0.5">
      <c r="A49" s="27" t="s">
        <v>32</v>
      </c>
      <c r="B49" s="30">
        <v>15</v>
      </c>
    </row>
    <row r="50" spans="1:2" s="57" customFormat="1" x14ac:dyDescent="0.5">
      <c r="A50" s="34" t="s">
        <v>51</v>
      </c>
      <c r="B50" s="30">
        <f>60/B49</f>
        <v>4</v>
      </c>
    </row>
    <row r="51" spans="1:2" s="57" customFormat="1" x14ac:dyDescent="0.5">
      <c r="A51" s="27" t="s">
        <v>58</v>
      </c>
      <c r="B51" s="30">
        <v>100</v>
      </c>
    </row>
    <row r="52" spans="1:2" s="57" customFormat="1" ht="18" customHeight="1" x14ac:dyDescent="0.5">
      <c r="A52" s="27" t="s">
        <v>26</v>
      </c>
      <c r="B52" s="28">
        <f>100*(B51/1000)/B49</f>
        <v>0.66666666666666663</v>
      </c>
    </row>
    <row r="53" spans="1:2" s="57" customFormat="1" ht="18" customHeight="1" x14ac:dyDescent="0.5">
      <c r="A53" s="58" t="s">
        <v>56</v>
      </c>
      <c r="B53" s="52">
        <f>I11*(B51/1000)/B49</f>
        <v>1.5333333333333334</v>
      </c>
    </row>
    <row r="54" spans="1:2" s="57" customFormat="1" ht="18" customHeight="1" x14ac:dyDescent="0.5">
      <c r="A54" s="27"/>
      <c r="B54" s="28"/>
    </row>
    <row r="55" spans="1:2" s="57" customFormat="1" ht="18" customHeight="1" x14ac:dyDescent="0.5">
      <c r="A55" s="27" t="s">
        <v>66</v>
      </c>
      <c r="B55" s="53">
        <f>100-B46-B52</f>
        <v>99.226666666666659</v>
      </c>
    </row>
    <row r="56" spans="1:2" s="57" customFormat="1" ht="18" customHeight="1" x14ac:dyDescent="0.5">
      <c r="A56" s="58" t="s">
        <v>67</v>
      </c>
      <c r="B56" s="52">
        <f>J11*B55/100</f>
        <v>0.47628799999999999</v>
      </c>
    </row>
    <row r="57" spans="1:2" s="57" customFormat="1" ht="18" customHeight="1" x14ac:dyDescent="0.5">
      <c r="A57" s="27"/>
      <c r="B57" s="28"/>
    </row>
    <row r="58" spans="1:2" s="57" customFormat="1" ht="18" customHeight="1" x14ac:dyDescent="0.5">
      <c r="A58" s="27" t="s">
        <v>57</v>
      </c>
      <c r="B58" s="28">
        <f>B41+B47+B53+B56</f>
        <v>2.3653713333333335</v>
      </c>
    </row>
    <row r="59" spans="1:2" s="57" customFormat="1" ht="18" customHeight="1" x14ac:dyDescent="0.5">
      <c r="A59" s="27"/>
      <c r="B59" s="28"/>
    </row>
    <row r="60" spans="1:2" s="57" customFormat="1" x14ac:dyDescent="0.5">
      <c r="A60" s="27" t="s">
        <v>20</v>
      </c>
      <c r="B60" s="30">
        <v>90</v>
      </c>
    </row>
    <row r="61" spans="1:2" s="57" customFormat="1" x14ac:dyDescent="0.5">
      <c r="A61" s="27" t="s">
        <v>59</v>
      </c>
      <c r="B61" s="30">
        <f>B60*24</f>
        <v>2160</v>
      </c>
    </row>
    <row r="62" spans="1:2" s="57" customFormat="1" ht="16.149999999999999" thickBot="1" x14ac:dyDescent="0.55000000000000004">
      <c r="A62" s="35" t="s">
        <v>27</v>
      </c>
      <c r="B62" s="31">
        <f>B58*B61</f>
        <v>5109.20208</v>
      </c>
    </row>
    <row r="63" spans="1:2" x14ac:dyDescent="0.5">
      <c r="A63" s="17"/>
      <c r="B63" s="5"/>
    </row>
    <row r="64" spans="1:2" x14ac:dyDescent="0.5">
      <c r="A64" s="20" t="s">
        <v>50</v>
      </c>
      <c r="B64" s="4">
        <f>(B20+B34+B62)/1000</f>
        <v>6.9413167466666668</v>
      </c>
    </row>
    <row r="65" spans="1:2" x14ac:dyDescent="0.5">
      <c r="A65" s="6"/>
      <c r="B65" s="5"/>
    </row>
  </sheetData>
  <mergeCells count="4">
    <mergeCell ref="A36:B36"/>
    <mergeCell ref="A28:B28"/>
    <mergeCell ref="A2:B2"/>
    <mergeCell ref="A22:B22"/>
  </mergeCells>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Tom Reese</cp:lastModifiedBy>
  <dcterms:created xsi:type="dcterms:W3CDTF">2019-03-06T20:22:49Z</dcterms:created>
  <dcterms:modified xsi:type="dcterms:W3CDTF">2019-05-28T03:35:25Z</dcterms:modified>
</cp:coreProperties>
</file>