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x\Desktop\Max's works\כיתה יא\פיזיקה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5" i="1" l="1"/>
  <c r="F306" i="1"/>
  <c r="F307" i="1"/>
  <c r="F308" i="1"/>
  <c r="F304" i="1"/>
  <c r="I257" i="1"/>
  <c r="I256" i="1"/>
  <c r="I255" i="1"/>
  <c r="I254" i="1"/>
  <c r="I253" i="1"/>
  <c r="E189" i="1"/>
  <c r="F189" i="1" s="1"/>
  <c r="E188" i="1"/>
  <c r="F188" i="1" s="1"/>
  <c r="F187" i="1"/>
  <c r="E187" i="1"/>
  <c r="E186" i="1"/>
  <c r="F186" i="1" s="1"/>
  <c r="E185" i="1"/>
  <c r="F185" i="1" s="1"/>
  <c r="E184" i="1"/>
  <c r="F184" i="1" s="1"/>
  <c r="F183" i="1"/>
  <c r="E183" i="1"/>
  <c r="E182" i="1"/>
  <c r="F182" i="1" s="1"/>
  <c r="G176" i="1"/>
  <c r="F176" i="1"/>
  <c r="F175" i="1"/>
  <c r="G175" i="1" s="1"/>
  <c r="F174" i="1"/>
  <c r="G174" i="1" s="1"/>
  <c r="F173" i="1"/>
  <c r="G173" i="1" s="1"/>
  <c r="G172" i="1"/>
  <c r="F172" i="1"/>
  <c r="F171" i="1"/>
  <c r="G171" i="1" s="1"/>
  <c r="F170" i="1"/>
  <c r="G170" i="1" s="1"/>
  <c r="F169" i="1"/>
  <c r="G169" i="1" s="1"/>
  <c r="C176" i="1"/>
  <c r="B176" i="1"/>
  <c r="B175" i="1"/>
  <c r="C175" i="1" s="1"/>
  <c r="B174" i="1"/>
  <c r="C174" i="1" s="1"/>
  <c r="B173" i="1"/>
  <c r="C173" i="1" s="1"/>
  <c r="C172" i="1"/>
  <c r="B172" i="1"/>
  <c r="B171" i="1"/>
  <c r="C171" i="1" s="1"/>
  <c r="B170" i="1"/>
  <c r="C170" i="1" s="1"/>
  <c r="B169" i="1"/>
  <c r="C169" i="1" s="1"/>
  <c r="F163" i="1"/>
  <c r="G163" i="1" s="1"/>
  <c r="G162" i="1"/>
  <c r="F162" i="1"/>
  <c r="F161" i="1"/>
  <c r="G161" i="1" s="1"/>
  <c r="F160" i="1"/>
  <c r="G160" i="1" s="1"/>
  <c r="F159" i="1"/>
  <c r="G159" i="1" s="1"/>
  <c r="G158" i="1"/>
  <c r="F158" i="1"/>
  <c r="F157" i="1"/>
  <c r="G157" i="1" s="1"/>
  <c r="F156" i="1"/>
  <c r="G156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E109" i="1"/>
  <c r="E108" i="1"/>
  <c r="E107" i="1"/>
  <c r="E106" i="1"/>
  <c r="E105" i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B26" i="1"/>
  <c r="C26" i="1" s="1"/>
  <c r="B25" i="1"/>
  <c r="C25" i="1" s="1"/>
  <c r="B24" i="1"/>
  <c r="C24" i="1" s="1"/>
  <c r="B23" i="1"/>
  <c r="C23" i="1" s="1"/>
  <c r="C22" i="1"/>
  <c r="B22" i="1"/>
  <c r="B21" i="1"/>
  <c r="C21" i="1" s="1"/>
  <c r="B20" i="1"/>
  <c r="C20" i="1" s="1"/>
  <c r="B19" i="1"/>
  <c r="C19" i="1" s="1"/>
  <c r="H12" i="1"/>
  <c r="G12" i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C6" i="1"/>
  <c r="B6" i="1"/>
  <c r="A6" i="1"/>
  <c r="A7" i="1" s="1"/>
  <c r="A8" i="1" s="1"/>
  <c r="A9" i="1" s="1"/>
  <c r="A10" i="1" s="1"/>
  <c r="A11" i="1" s="1"/>
  <c r="A12" i="1" s="1"/>
  <c r="B5" i="1"/>
  <c r="C5" i="1" s="1"/>
</calcChain>
</file>

<file path=xl/sharedStrings.xml><?xml version="1.0" encoding="utf-8"?>
<sst xmlns="http://schemas.openxmlformats.org/spreadsheetml/2006/main" count="72" uniqueCount="40">
  <si>
    <t>שקול כוחות 1</t>
  </si>
  <si>
    <t>שקול כוחות 2</t>
  </si>
  <si>
    <t>שקול כוחות 3</t>
  </si>
  <si>
    <t>מסה של עגלה - 498.5 + 250</t>
  </si>
  <si>
    <t>מסה של סלסלה - 97.16 גרם</t>
  </si>
  <si>
    <t>מסה של סלסלה - + 50</t>
  </si>
  <si>
    <t>מסה של עגלה - 498.5 + 200</t>
  </si>
  <si>
    <t>מסה של עגלה - + 150</t>
  </si>
  <si>
    <t>מסה של סלסלה - + 100</t>
  </si>
  <si>
    <t>מסה של עגלה - + 100</t>
  </si>
  <si>
    <t>מסה של סלסלה - + 150</t>
  </si>
  <si>
    <t>מסה של עגלה - + 0</t>
  </si>
  <si>
    <t>מסה של סלסלה - + 250</t>
  </si>
  <si>
    <t>מסה 1</t>
  </si>
  <si>
    <t>מסה של סלסלה - 97.39 + 100</t>
  </si>
  <si>
    <t>מסה של עגלה - 498.5 + 150</t>
  </si>
  <si>
    <t>מסה 2</t>
  </si>
  <si>
    <t>מסה של עגלה - +250</t>
  </si>
  <si>
    <t>מסה 3</t>
  </si>
  <si>
    <t>מסה של עגלה - + 350</t>
  </si>
  <si>
    <t>מסה 4</t>
  </si>
  <si>
    <t>שקול כוחות 4</t>
  </si>
  <si>
    <t>מסה של עגלה - + 450</t>
  </si>
  <si>
    <t>שקול כוחות 5</t>
  </si>
  <si>
    <t>מסה 5</t>
  </si>
  <si>
    <t>מסה של עגלה - + 550</t>
  </si>
  <si>
    <t>∑F (N)</t>
  </si>
  <si>
    <t>מסה של עגלה</t>
  </si>
  <si>
    <t>מסה של סלסלה</t>
  </si>
  <si>
    <t>g (m/s^2)</t>
  </si>
  <si>
    <t>a(m/s²)</t>
  </si>
  <si>
    <t>1/m(1/kg)</t>
  </si>
  <si>
    <t>m total(kg)</t>
  </si>
  <si>
    <t>תאוצה (m/s²)</t>
  </si>
  <si>
    <t>מסה של סלסלה (g)</t>
  </si>
  <si>
    <t>מהירות (מ' לשניה)</t>
  </si>
  <si>
    <t>העתק (מ')</t>
  </si>
  <si>
    <t>זמן (שנ')</t>
  </si>
  <si>
    <t>מקס דגטמן</t>
  </si>
  <si>
    <t>יא1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</si>
</sst>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תאוצה כתלות במסה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184594898440511E-2"/>
                  <c:y val="6.747276961139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Sheet1!$I$253:$I$257</c:f>
              <c:numCache>
                <c:formatCode>General</c:formatCode>
                <c:ptCount val="5"/>
                <c:pt idx="0">
                  <c:v>0.84565999999999997</c:v>
                </c:pt>
                <c:pt idx="1">
                  <c:v>0.94565999999999995</c:v>
                </c:pt>
                <c:pt idx="2">
                  <c:v>1.04566</c:v>
                </c:pt>
                <c:pt idx="3">
                  <c:v>1.1456600000000001</c:v>
                </c:pt>
                <c:pt idx="4">
                  <c:v>1.24566</c:v>
                </c:pt>
              </c:numCache>
            </c:numRef>
          </c:xVal>
          <c:yVal>
            <c:numRef>
              <c:f>Sheet1!$H$253:$H$257</c:f>
              <c:numCache>
                <c:formatCode>General</c:formatCode>
                <c:ptCount val="5"/>
                <c:pt idx="0">
                  <c:v>2.2669999999999999</c:v>
                </c:pt>
                <c:pt idx="1">
                  <c:v>1.85</c:v>
                </c:pt>
                <c:pt idx="2">
                  <c:v>1.7390000000000001</c:v>
                </c:pt>
                <c:pt idx="3">
                  <c:v>1.7290000000000001</c:v>
                </c:pt>
                <c:pt idx="4">
                  <c:v>1.552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D-4CBB-93AF-401A919D6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77080"/>
        <c:axId val="484277408"/>
      </c:scatterChart>
      <c:valAx>
        <c:axId val="48427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7408"/>
        <c:crosses val="autoZero"/>
        <c:crossBetween val="midCat"/>
      </c:valAx>
      <c:valAx>
        <c:axId val="4842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(m/s²)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מהירות</a:t>
            </a:r>
            <a:r>
              <a:rPr lang="he-IL" baseline="0"/>
              <a:t> כתלות בזמן (שקול כוחות קבוע)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41455746523449"/>
                  <c:y val="3.541386594968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Sheet1!$A$156:$A$163</c:f>
              <c:numCache>
                <c:formatCode>General</c:formatCode>
                <c:ptCount val="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0.12000000000000001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0.19999999999999998</c:v>
                </c:pt>
              </c:numCache>
            </c:numRef>
          </c:xVal>
          <c:yVal>
            <c:numRef>
              <c:f>Sheet1!$C$156:$C$163</c:f>
              <c:numCache>
                <c:formatCode>General</c:formatCode>
                <c:ptCount val="8"/>
                <c:pt idx="0">
                  <c:v>0.5</c:v>
                </c:pt>
                <c:pt idx="1">
                  <c:v>0.54583333333333339</c:v>
                </c:pt>
                <c:pt idx="2">
                  <c:v>0.60000000000000009</c:v>
                </c:pt>
                <c:pt idx="3">
                  <c:v>0.64166666666666672</c:v>
                </c:pt>
                <c:pt idx="4">
                  <c:v>0.69166666666666676</c:v>
                </c:pt>
                <c:pt idx="5">
                  <c:v>0.74166666666666681</c:v>
                </c:pt>
                <c:pt idx="6">
                  <c:v>0.77500000000000013</c:v>
                </c:pt>
                <c:pt idx="7">
                  <c:v>0.81250000000000011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C-4C89-A054-95191BB2F8B2}"/>
            </c:ext>
          </c:extLst>
        </c:ser>
        <c:ser>
          <c:idx val="1"/>
          <c:order val="1"/>
          <c:tx>
            <c:v>Series2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748953095982453"/>
                  <c:y val="0.23859317585301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Sheet1!$E$156:$E$163</c:f>
              <c:numCache>
                <c:formatCode>General</c:formatCode>
                <c:ptCount val="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0.12000000000000001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0.19999999999999998</c:v>
                </c:pt>
              </c:numCache>
            </c:numRef>
          </c:xVal>
          <c:yVal>
            <c:numRef>
              <c:f>Sheet1!$G$156:$G$163</c:f>
              <c:numCache>
                <c:formatCode>General</c:formatCode>
                <c:ptCount val="8"/>
                <c:pt idx="0">
                  <c:v>0.56250000000000011</c:v>
                </c:pt>
                <c:pt idx="1">
                  <c:v>0.59583333333333344</c:v>
                </c:pt>
                <c:pt idx="2">
                  <c:v>0.625</c:v>
                </c:pt>
                <c:pt idx="3">
                  <c:v>0.66666666666666674</c:v>
                </c:pt>
                <c:pt idx="4">
                  <c:v>0.69166666666666676</c:v>
                </c:pt>
                <c:pt idx="5">
                  <c:v>0.74166666666666681</c:v>
                </c:pt>
                <c:pt idx="6">
                  <c:v>0.77500000000000013</c:v>
                </c:pt>
                <c:pt idx="7">
                  <c:v>0.82500000000000007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C-4C89-A054-95191BB2F8B2}"/>
            </c:ext>
          </c:extLst>
        </c:ser>
        <c:ser>
          <c:idx val="2"/>
          <c:order val="2"/>
          <c:tx>
            <c:v>Series3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640632912833467"/>
                  <c:y val="-1.503104794827475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Sheet1!$A$169:$A$176</c:f>
              <c:numCache>
                <c:formatCode>General</c:formatCode>
                <c:ptCount val="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0.12000000000000001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0.19999999999999998</c:v>
                </c:pt>
              </c:numCache>
            </c:numRef>
          </c:xVal>
          <c:yVal>
            <c:numRef>
              <c:f>Sheet1!$C$169:$C$176</c:f>
              <c:numCache>
                <c:formatCode>General</c:formatCode>
                <c:ptCount val="8"/>
                <c:pt idx="0">
                  <c:v>0.46666666666666662</c:v>
                </c:pt>
                <c:pt idx="1">
                  <c:v>0.4916666666666667</c:v>
                </c:pt>
                <c:pt idx="2">
                  <c:v>0.52083333333333337</c:v>
                </c:pt>
                <c:pt idx="3">
                  <c:v>0.5708333333333333</c:v>
                </c:pt>
                <c:pt idx="4">
                  <c:v>0.59166666666666667</c:v>
                </c:pt>
                <c:pt idx="5">
                  <c:v>0.64166666666666672</c:v>
                </c:pt>
                <c:pt idx="6">
                  <c:v>0.66666666666666674</c:v>
                </c:pt>
                <c:pt idx="7">
                  <c:v>0.70416666666666661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C-4C89-A054-95191BB2F8B2}"/>
            </c:ext>
          </c:extLst>
        </c:ser>
        <c:ser>
          <c:idx val="3"/>
          <c:order val="3"/>
          <c:tx>
            <c:v>Series4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44747081283381"/>
                  <c:y val="7.57882337878496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Sheet1!$E$169:$E$176</c:f>
              <c:numCache>
                <c:formatCode>General</c:formatCode>
                <c:ptCount val="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0.12000000000000001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0.19999999999999998</c:v>
                </c:pt>
              </c:numCache>
            </c:numRef>
          </c:xVal>
          <c:yVal>
            <c:numRef>
              <c:f>Sheet1!$G$169:$G$176</c:f>
              <c:numCache>
                <c:formatCode>General</c:formatCode>
                <c:ptCount val="8"/>
                <c:pt idx="0">
                  <c:v>0.42499999999999999</c:v>
                </c:pt>
                <c:pt idx="1">
                  <c:v>0.45833333333333337</c:v>
                </c:pt>
                <c:pt idx="2">
                  <c:v>0.5</c:v>
                </c:pt>
                <c:pt idx="3">
                  <c:v>0.54166666666666674</c:v>
                </c:pt>
                <c:pt idx="4">
                  <c:v>0.5708333333333333</c:v>
                </c:pt>
                <c:pt idx="5">
                  <c:v>0.59583333333333344</c:v>
                </c:pt>
                <c:pt idx="6">
                  <c:v>0.63750000000000007</c:v>
                </c:pt>
                <c:pt idx="7">
                  <c:v>0.66666666666666674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C-4C89-A054-95191BB2F8B2}"/>
            </c:ext>
          </c:extLst>
        </c:ser>
        <c:ser>
          <c:idx val="4"/>
          <c:order val="4"/>
          <c:tx>
            <c:v>Series5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35093493312044"/>
                  <c:y val="3.53444721848793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Sheet1!$D$182:$D$189</c:f>
              <c:numCache>
                <c:formatCode>General</c:formatCode>
                <c:ptCount val="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0.12000000000000001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0.19999999999999998</c:v>
                </c:pt>
              </c:numCache>
            </c:numRef>
          </c:xVal>
          <c:yVal>
            <c:numRef>
              <c:f>Sheet1!$F$182:$F$189</c:f>
              <c:numCache>
                <c:formatCode>General</c:formatCode>
                <c:ptCount val="8"/>
                <c:pt idx="0">
                  <c:v>0.64166666666666672</c:v>
                </c:pt>
                <c:pt idx="1">
                  <c:v>0.67500000000000004</c:v>
                </c:pt>
                <c:pt idx="2">
                  <c:v>0.70833333333333337</c:v>
                </c:pt>
                <c:pt idx="3">
                  <c:v>0.75</c:v>
                </c:pt>
                <c:pt idx="4">
                  <c:v>0.7583333333333333</c:v>
                </c:pt>
                <c:pt idx="5">
                  <c:v>0.79166666666666674</c:v>
                </c:pt>
                <c:pt idx="6">
                  <c:v>0.84166666666666667</c:v>
                </c:pt>
                <c:pt idx="7">
                  <c:v>0.85833333333333339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6C-4C89-A054-95191BB2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79304"/>
        <c:axId val="537572088"/>
      </c:scatterChart>
      <c:valAx>
        <c:axId val="53757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(</a:t>
                </a:r>
                <a:r>
                  <a:rPr lang="en-US"/>
                  <a:t>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72088"/>
        <c:crosses val="autoZero"/>
        <c:crossBetween val="midCat"/>
      </c:valAx>
      <c:valAx>
        <c:axId val="5375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מהירות (</a:t>
                </a:r>
                <a:r>
                  <a:rPr lang="en-US"/>
                  <a:t>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7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תאוצה כתלות ב1</a:t>
            </a:r>
            <a:r>
              <a:rPr lang="he-IL" baseline="0"/>
              <a:t> חלקי המסה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453505821344848E-2"/>
                  <c:y val="-6.8504569668390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Sheet1!$F$304:$F$308</c:f>
              <c:numCache>
                <c:formatCode>General</c:formatCode>
                <c:ptCount val="5"/>
                <c:pt idx="0">
                  <c:v>1.1825083366837736</c:v>
                </c:pt>
                <c:pt idx="1">
                  <c:v>1.0574625129539159</c:v>
                </c:pt>
                <c:pt idx="2">
                  <c:v>0.95633379874911539</c:v>
                </c:pt>
                <c:pt idx="3">
                  <c:v>0.87285931253600535</c:v>
                </c:pt>
                <c:pt idx="4">
                  <c:v>0.80278727742722733</c:v>
                </c:pt>
              </c:numCache>
            </c:numRef>
          </c:xVal>
          <c:yVal>
            <c:numRef>
              <c:f>Sheet1!$E$304:$E$308</c:f>
              <c:numCache>
                <c:formatCode>General</c:formatCode>
                <c:ptCount val="5"/>
                <c:pt idx="0">
                  <c:v>2.2669999999999999</c:v>
                </c:pt>
                <c:pt idx="1">
                  <c:v>1.85</c:v>
                </c:pt>
                <c:pt idx="2">
                  <c:v>1.7390000000000001</c:v>
                </c:pt>
                <c:pt idx="3">
                  <c:v>1.7290000000000001</c:v>
                </c:pt>
                <c:pt idx="4">
                  <c:v>1.552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E-4971-AE42-5C8CCED59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37440"/>
        <c:axId val="411240064"/>
      </c:scatterChart>
      <c:valAx>
        <c:axId val="4112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1/m</a:t>
                </a:r>
                <a:r>
                  <a:rPr lang="en-US" baseline="0"/>
                  <a:t> (1/kg)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40064"/>
        <c:crosses val="autoZero"/>
        <c:crossBetween val="midCat"/>
      </c:valAx>
      <c:valAx>
        <c:axId val="4112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a(m/s²)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מהירות כתלות בזמן (מסה כוללת קבועה)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981887786638898E-2"/>
                  <c:y val="0.102548577285901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Sheet1!$A$5:$A$12</c:f>
              <c:numCache>
                <c:formatCode>General</c:formatCode>
                <c:ptCount val="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0.12000000000000001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0.19999999999999998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0.4333333333333334</c:v>
                </c:pt>
                <c:pt idx="1">
                  <c:v>0.45833333333333337</c:v>
                </c:pt>
                <c:pt idx="2">
                  <c:v>0.48333333333333334</c:v>
                </c:pt>
                <c:pt idx="3">
                  <c:v>0.5</c:v>
                </c:pt>
                <c:pt idx="4">
                  <c:v>0.54166666666666674</c:v>
                </c:pt>
                <c:pt idx="5">
                  <c:v>0.57500000000000007</c:v>
                </c:pt>
                <c:pt idx="6">
                  <c:v>0.60000000000000009</c:v>
                </c:pt>
                <c:pt idx="7">
                  <c:v>0.60833333333333328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4-49CC-9464-A5B1D9F6F6D5}"/>
            </c:ext>
          </c:extLst>
        </c:ser>
        <c:ser>
          <c:idx val="1"/>
          <c:order val="1"/>
          <c:tx>
            <c:v>Series2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013787812919321"/>
                  <c:y val="2.5528112456339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Sheet1!$F$5:$F$12</c:f>
              <c:numCache>
                <c:formatCode>General</c:formatCode>
                <c:ptCount val="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0.12000000000000001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0.19999999999999998</c:v>
                </c:pt>
              </c:numCache>
            </c:numRef>
          </c:xVal>
          <c:yVal>
            <c:numRef>
              <c:f>Sheet1!$H$5:$H$12</c:f>
              <c:numCache>
                <c:formatCode>General</c:formatCode>
                <c:ptCount val="8"/>
                <c:pt idx="0">
                  <c:v>0.51666666666666683</c:v>
                </c:pt>
                <c:pt idx="1">
                  <c:v>0.54166666666666674</c:v>
                </c:pt>
                <c:pt idx="2">
                  <c:v>0.57500000000000018</c:v>
                </c:pt>
                <c:pt idx="3">
                  <c:v>0.60000000000000009</c:v>
                </c:pt>
                <c:pt idx="4">
                  <c:v>0.6333333333333333</c:v>
                </c:pt>
                <c:pt idx="5">
                  <c:v>0.65833333333333333</c:v>
                </c:pt>
                <c:pt idx="6">
                  <c:v>0.68333333333333324</c:v>
                </c:pt>
                <c:pt idx="7">
                  <c:v>0.7166666666666669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4-49CC-9464-A5B1D9F6F6D5}"/>
            </c:ext>
          </c:extLst>
        </c:ser>
        <c:ser>
          <c:idx val="2"/>
          <c:order val="2"/>
          <c:tx>
            <c:v>Series3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808852822199351"/>
                  <c:y val="0.14060062419817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Sheet1!$A$19:$A$26</c:f>
              <c:numCache>
                <c:formatCode>General</c:formatCode>
                <c:ptCount val="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0.12000000000000001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0.19999999999999998</c:v>
                </c:pt>
              </c:numCache>
            </c:numRef>
          </c:xVal>
          <c:yVal>
            <c:numRef>
              <c:f>Sheet1!$C$19:$C$26</c:f>
              <c:numCache>
                <c:formatCode>General</c:formatCode>
                <c:ptCount val="8"/>
                <c:pt idx="0">
                  <c:v>0.49166666666666653</c:v>
                </c:pt>
                <c:pt idx="1">
                  <c:v>0.53333333333333344</c:v>
                </c:pt>
                <c:pt idx="2">
                  <c:v>0.57500000000000007</c:v>
                </c:pt>
                <c:pt idx="3">
                  <c:v>0.60833333333333339</c:v>
                </c:pt>
                <c:pt idx="4">
                  <c:v>0.64166666666666683</c:v>
                </c:pt>
                <c:pt idx="5">
                  <c:v>0.68333333333333324</c:v>
                </c:pt>
                <c:pt idx="6">
                  <c:v>0.72499999999999998</c:v>
                </c:pt>
                <c:pt idx="7">
                  <c:v>0.7583333333333333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34-49CC-9464-A5B1D9F6F6D5}"/>
            </c:ext>
          </c:extLst>
        </c:ser>
        <c:ser>
          <c:idx val="3"/>
          <c:order val="3"/>
          <c:tx>
            <c:v>Series4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49391006196779"/>
                  <c:y val="6.70890164866839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Sheet1!$E$19:$E$26</c:f>
              <c:numCache>
                <c:formatCode>General</c:formatCode>
                <c:ptCount val="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0.12000000000000001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0.19999999999999998</c:v>
                </c:pt>
              </c:numCache>
            </c:numRef>
          </c:xVal>
          <c:yVal>
            <c:numRef>
              <c:f>Sheet1!$G$19:$G$26</c:f>
              <c:numCache>
                <c:formatCode>General</c:formatCode>
                <c:ptCount val="8"/>
                <c:pt idx="0">
                  <c:v>0.60833333333333328</c:v>
                </c:pt>
                <c:pt idx="1">
                  <c:v>0.65416666666666667</c:v>
                </c:pt>
                <c:pt idx="2">
                  <c:v>0.70833333333333337</c:v>
                </c:pt>
                <c:pt idx="3">
                  <c:v>0.76666666666666672</c:v>
                </c:pt>
                <c:pt idx="4">
                  <c:v>0.83333333333333337</c:v>
                </c:pt>
                <c:pt idx="5">
                  <c:v>0.8833333333333333</c:v>
                </c:pt>
                <c:pt idx="6">
                  <c:v>0.9458333333333333</c:v>
                </c:pt>
                <c:pt idx="7">
                  <c:v>0.99166666666666681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34-49CC-9464-A5B1D9F6F6D5}"/>
            </c:ext>
          </c:extLst>
        </c:ser>
        <c:ser>
          <c:idx val="4"/>
          <c:order val="4"/>
          <c:tx>
            <c:v>Series5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Sheet1!$C$32:$C$39</c:f>
              <c:numCache>
                <c:formatCode>General</c:formatCode>
                <c:ptCount val="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0.12000000000000001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0.19999999999999998</c:v>
                </c:pt>
              </c:numCache>
            </c:numRef>
          </c:xVal>
          <c:yVal>
            <c:numRef>
              <c:f>Sheet1!$E$32:$E$39</c:f>
              <c:numCache>
                <c:formatCode>General</c:formatCode>
                <c:ptCount val="8"/>
                <c:pt idx="0">
                  <c:v>0.84166666666666667</c:v>
                </c:pt>
                <c:pt idx="1">
                  <c:v>0.91666666666666674</c:v>
                </c:pt>
                <c:pt idx="2">
                  <c:v>1</c:v>
                </c:pt>
                <c:pt idx="3">
                  <c:v>1.0750000000000002</c:v>
                </c:pt>
                <c:pt idx="4">
                  <c:v>1.1250000000000002</c:v>
                </c:pt>
                <c:pt idx="5">
                  <c:v>1.2083333333333333</c:v>
                </c:pt>
                <c:pt idx="6">
                  <c:v>1.3</c:v>
                </c:pt>
                <c:pt idx="7">
                  <c:v>1.3833333333333335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34-49CC-9464-A5B1D9F6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16992"/>
        <c:axId val="489215680"/>
      </c:scatterChart>
      <c:valAx>
        <c:axId val="4892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</a:t>
                </a:r>
                <a:r>
                  <a:rPr lang="he-IL" baseline="0"/>
                  <a:t> </a:t>
                </a:r>
                <a:r>
                  <a:rPr lang="en-US" baseline="0"/>
                  <a:t>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15680"/>
        <c:crosses val="autoZero"/>
        <c:crossBetween val="midCat"/>
      </c:valAx>
      <c:valAx>
        <c:axId val="4892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מהירות (</a:t>
                </a:r>
                <a:r>
                  <a:rPr lang="en-US"/>
                  <a:t>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1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תאוצה כתלות בשקול הכוחות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29811898512687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Sheet1!$E$105:$E$109</c:f>
              <c:numCache>
                <c:formatCode>General</c:formatCode>
                <c:ptCount val="5"/>
                <c:pt idx="0">
                  <c:v>0.95216800000000001</c:v>
                </c:pt>
                <c:pt idx="1">
                  <c:v>1.4421680000000003</c:v>
                </c:pt>
                <c:pt idx="2">
                  <c:v>1.9321680000000001</c:v>
                </c:pt>
                <c:pt idx="3">
                  <c:v>2.4221680000000001</c:v>
                </c:pt>
                <c:pt idx="4">
                  <c:v>3.4021680000000005</c:v>
                </c:pt>
              </c:numCache>
            </c:numRef>
          </c:xVal>
          <c:yVal>
            <c:numRef>
              <c:f>Sheet1!$D$105:$D$109</c:f>
              <c:numCache>
                <c:formatCode>General</c:formatCode>
                <c:ptCount val="5"/>
                <c:pt idx="0">
                  <c:v>1.339</c:v>
                </c:pt>
                <c:pt idx="1">
                  <c:v>1.4239999999999999</c:v>
                </c:pt>
                <c:pt idx="2">
                  <c:v>1.895</c:v>
                </c:pt>
                <c:pt idx="3">
                  <c:v>2.8180000000000001</c:v>
                </c:pt>
                <c:pt idx="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F-40F0-9E97-2BFD74A70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22896"/>
        <c:axId val="489217976"/>
      </c:scatterChart>
      <c:valAx>
        <c:axId val="4892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∑F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17976"/>
        <c:crosses val="autoZero"/>
        <c:crossBetween val="midCat"/>
      </c:valAx>
      <c:valAx>
        <c:axId val="48921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a(m/s²)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261</xdr:row>
      <xdr:rowOff>151557</xdr:rowOff>
    </xdr:from>
    <xdr:to>
      <xdr:col>8</xdr:col>
      <xdr:colOff>593913</xdr:colOff>
      <xdr:row>299</xdr:row>
      <xdr:rowOff>179294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11206</xdr:colOff>
      <xdr:row>199</xdr:row>
      <xdr:rowOff>190498</xdr:rowOff>
    </xdr:from>
    <xdr:to>
      <xdr:col>9</xdr:col>
      <xdr:colOff>0</xdr:colOff>
      <xdr:row>241</xdr:row>
      <xdr:rowOff>11206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308</xdr:row>
      <xdr:rowOff>73956</xdr:rowOff>
    </xdr:from>
    <xdr:to>
      <xdr:col>8</xdr:col>
      <xdr:colOff>593912</xdr:colOff>
      <xdr:row>350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186016</xdr:rowOff>
    </xdr:from>
    <xdr:to>
      <xdr:col>8</xdr:col>
      <xdr:colOff>593912</xdr:colOff>
      <xdr:row>88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11206</xdr:colOff>
      <xdr:row>110</xdr:row>
      <xdr:rowOff>62753</xdr:rowOff>
    </xdr:from>
    <xdr:to>
      <xdr:col>9</xdr:col>
      <xdr:colOff>-1</xdr:colOff>
      <xdr:row>150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8"/>
  <sheetViews>
    <sheetView tabSelected="1" zoomScale="85" zoomScaleNormal="85" workbookViewId="0">
      <selection activeCell="K9" sqref="K9"/>
    </sheetView>
  </sheetViews>
  <sheetFormatPr defaultRowHeight="15" x14ac:dyDescent="0.25"/>
  <cols>
    <col min="1" max="1" width="13.85546875" customWidth="1"/>
    <col min="12" max="12" width="6.7109375" customWidth="1"/>
  </cols>
  <sheetData>
    <row r="1" spans="1:9" x14ac:dyDescent="0.25">
      <c r="A1" t="s">
        <v>0</v>
      </c>
      <c r="G1" t="s">
        <v>1</v>
      </c>
      <c r="I1" t="s">
        <v>38</v>
      </c>
    </row>
    <row r="2" spans="1:9" x14ac:dyDescent="0.25">
      <c r="A2" t="s">
        <v>3</v>
      </c>
      <c r="G2" t="s">
        <v>6</v>
      </c>
      <c r="I2" t="s">
        <v>39</v>
      </c>
    </row>
    <row r="3" spans="1:9" x14ac:dyDescent="0.25">
      <c r="A3" t="s">
        <v>4</v>
      </c>
      <c r="G3" t="s">
        <v>5</v>
      </c>
    </row>
    <row r="4" spans="1:9" x14ac:dyDescent="0.25">
      <c r="A4" t="s">
        <v>37</v>
      </c>
      <c r="B4" t="s">
        <v>36</v>
      </c>
      <c r="C4" t="s">
        <v>35</v>
      </c>
      <c r="F4" t="s">
        <v>37</v>
      </c>
      <c r="G4" t="s">
        <v>36</v>
      </c>
      <c r="H4" t="s">
        <v>35</v>
      </c>
    </row>
    <row r="5" spans="1:9" x14ac:dyDescent="0.25">
      <c r="A5">
        <v>0.06</v>
      </c>
      <c r="B5">
        <f>5.2/100</f>
        <v>5.2000000000000005E-2</v>
      </c>
      <c r="C5">
        <f>B5/0.12</f>
        <v>0.4333333333333334</v>
      </c>
      <c r="F5">
        <v>0.06</v>
      </c>
      <c r="G5">
        <f>(14.4-8.2)/100</f>
        <v>6.2000000000000013E-2</v>
      </c>
      <c r="H5">
        <f>G5/0.12</f>
        <v>0.51666666666666683</v>
      </c>
    </row>
    <row r="6" spans="1:9" x14ac:dyDescent="0.25">
      <c r="A6">
        <f>A5 +0.02</f>
        <v>0.08</v>
      </c>
      <c r="B6">
        <f>5.5/100</f>
        <v>5.5E-2</v>
      </c>
      <c r="C6">
        <f t="shared" ref="C6:C12" si="0">B6/0.12</f>
        <v>0.45833333333333337</v>
      </c>
      <c r="F6">
        <v>0.08</v>
      </c>
      <c r="G6">
        <f>(15.5-9)/100</f>
        <v>6.5000000000000002E-2</v>
      </c>
      <c r="H6">
        <f>G6/0.12</f>
        <v>0.54166666666666674</v>
      </c>
    </row>
    <row r="7" spans="1:9" x14ac:dyDescent="0.25">
      <c r="A7">
        <f t="shared" ref="A7:A12" si="1">A6 +0.02</f>
        <v>0.1</v>
      </c>
      <c r="B7">
        <f>5.8/100</f>
        <v>5.7999999999999996E-2</v>
      </c>
      <c r="C7">
        <f t="shared" si="0"/>
        <v>0.48333333333333334</v>
      </c>
      <c r="F7">
        <v>0.1</v>
      </c>
      <c r="G7">
        <f>(16.6-9.7)/100</f>
        <v>6.900000000000002E-2</v>
      </c>
      <c r="H7">
        <f t="shared" ref="H7:H12" si="2">G7/0.12</f>
        <v>0.57500000000000018</v>
      </c>
    </row>
    <row r="8" spans="1:9" x14ac:dyDescent="0.25">
      <c r="A8">
        <f t="shared" si="1"/>
        <v>0.12000000000000001</v>
      </c>
      <c r="B8">
        <f>6/100</f>
        <v>0.06</v>
      </c>
      <c r="C8">
        <f t="shared" si="0"/>
        <v>0.5</v>
      </c>
      <c r="F8">
        <v>0.12000000000000001</v>
      </c>
      <c r="G8">
        <f>(17.8-10.6)/100</f>
        <v>7.2000000000000008E-2</v>
      </c>
      <c r="H8">
        <f t="shared" si="2"/>
        <v>0.60000000000000009</v>
      </c>
    </row>
    <row r="9" spans="1:9" x14ac:dyDescent="0.25">
      <c r="A9">
        <f t="shared" si="1"/>
        <v>0.14000000000000001</v>
      </c>
      <c r="B9">
        <f>6.5/100</f>
        <v>6.5000000000000002E-2</v>
      </c>
      <c r="C9">
        <f t="shared" si="0"/>
        <v>0.54166666666666674</v>
      </c>
      <c r="F9">
        <v>0.14000000000000001</v>
      </c>
      <c r="G9">
        <f>(19-11.4)/100</f>
        <v>7.5999999999999998E-2</v>
      </c>
      <c r="H9">
        <f t="shared" si="2"/>
        <v>0.6333333333333333</v>
      </c>
    </row>
    <row r="10" spans="1:9" x14ac:dyDescent="0.25">
      <c r="A10">
        <f t="shared" si="1"/>
        <v>0.16</v>
      </c>
      <c r="B10">
        <f>6.9/100</f>
        <v>6.9000000000000006E-2</v>
      </c>
      <c r="C10">
        <f t="shared" si="0"/>
        <v>0.57500000000000007</v>
      </c>
      <c r="F10">
        <v>0.16</v>
      </c>
      <c r="G10">
        <f>(20.3-12.4)/100</f>
        <v>7.9000000000000001E-2</v>
      </c>
      <c r="H10">
        <f t="shared" si="2"/>
        <v>0.65833333333333333</v>
      </c>
    </row>
    <row r="11" spans="1:9" x14ac:dyDescent="0.25">
      <c r="A11">
        <f t="shared" si="1"/>
        <v>0.18</v>
      </c>
      <c r="B11">
        <f>7.2/100</f>
        <v>7.2000000000000008E-2</v>
      </c>
      <c r="C11">
        <f t="shared" si="0"/>
        <v>0.60000000000000009</v>
      </c>
      <c r="F11">
        <v>0.18</v>
      </c>
      <c r="G11">
        <f>(21.5-13.3)/100</f>
        <v>8.199999999999999E-2</v>
      </c>
      <c r="H11">
        <f t="shared" si="2"/>
        <v>0.68333333333333324</v>
      </c>
    </row>
    <row r="12" spans="1:9" x14ac:dyDescent="0.25">
      <c r="A12">
        <f t="shared" si="1"/>
        <v>0.19999999999999998</v>
      </c>
      <c r="B12">
        <f>7.3/100</f>
        <v>7.2999999999999995E-2</v>
      </c>
      <c r="C12">
        <f t="shared" si="0"/>
        <v>0.60833333333333328</v>
      </c>
      <c r="F12">
        <v>0.19999999999999998</v>
      </c>
      <c r="G12">
        <f>(22.6-14)/100</f>
        <v>8.6000000000000021E-2</v>
      </c>
      <c r="H12">
        <f t="shared" si="2"/>
        <v>0.7166666666666669</v>
      </c>
    </row>
    <row r="15" spans="1:9" x14ac:dyDescent="0.25">
      <c r="B15" t="s">
        <v>2</v>
      </c>
      <c r="F15" t="s">
        <v>21</v>
      </c>
    </row>
    <row r="16" spans="1:9" x14ac:dyDescent="0.25">
      <c r="B16" t="s">
        <v>7</v>
      </c>
      <c r="F16" t="s">
        <v>9</v>
      </c>
    </row>
    <row r="17" spans="1:7" x14ac:dyDescent="0.25">
      <c r="B17" t="s">
        <v>8</v>
      </c>
      <c r="F17" t="s">
        <v>10</v>
      </c>
    </row>
    <row r="18" spans="1:7" x14ac:dyDescent="0.25">
      <c r="A18" t="s">
        <v>37</v>
      </c>
      <c r="B18" t="s">
        <v>36</v>
      </c>
      <c r="C18" t="s">
        <v>35</v>
      </c>
      <c r="E18" t="s">
        <v>37</v>
      </c>
      <c r="F18" t="s">
        <v>36</v>
      </c>
      <c r="G18" t="s">
        <v>35</v>
      </c>
    </row>
    <row r="19" spans="1:7" x14ac:dyDescent="0.25">
      <c r="A19">
        <v>0.06</v>
      </c>
      <c r="B19">
        <f>(16.4-10.5)/100</f>
        <v>5.8999999999999983E-2</v>
      </c>
      <c r="C19">
        <f>B19/0.12</f>
        <v>0.49166666666666653</v>
      </c>
      <c r="E19">
        <v>0.06</v>
      </c>
      <c r="F19">
        <f>7.3/100</f>
        <v>7.2999999999999995E-2</v>
      </c>
      <c r="G19">
        <f>F19/0.12</f>
        <v>0.60833333333333328</v>
      </c>
    </row>
    <row r="20" spans="1:7" x14ac:dyDescent="0.25">
      <c r="A20">
        <v>0.08</v>
      </c>
      <c r="B20">
        <f>(17.6-11.2)/100</f>
        <v>6.4000000000000015E-2</v>
      </c>
      <c r="C20">
        <f>B20/0.12</f>
        <v>0.53333333333333344</v>
      </c>
      <c r="E20">
        <v>0.08</v>
      </c>
      <c r="F20">
        <f>7.85/100</f>
        <v>7.85E-2</v>
      </c>
      <c r="G20">
        <f t="shared" ref="G20:G26" si="3">F20/0.12</f>
        <v>0.65416666666666667</v>
      </c>
    </row>
    <row r="21" spans="1:7" x14ac:dyDescent="0.25">
      <c r="A21">
        <v>0.1</v>
      </c>
      <c r="B21">
        <f>(17.8-10.9)/100</f>
        <v>6.9000000000000006E-2</v>
      </c>
      <c r="C21">
        <f>B21/0.12</f>
        <v>0.57500000000000007</v>
      </c>
      <c r="E21">
        <v>0.1</v>
      </c>
      <c r="F21">
        <f>8.5/100</f>
        <v>8.5000000000000006E-2</v>
      </c>
      <c r="G21">
        <f t="shared" si="3"/>
        <v>0.70833333333333337</v>
      </c>
    </row>
    <row r="22" spans="1:7" x14ac:dyDescent="0.25">
      <c r="A22">
        <v>0.12000000000000001</v>
      </c>
      <c r="B22">
        <f>(19-11.7)/100</f>
        <v>7.3000000000000009E-2</v>
      </c>
      <c r="C22">
        <f>B22/0.12</f>
        <v>0.60833333333333339</v>
      </c>
      <c r="E22">
        <v>0.12000000000000001</v>
      </c>
      <c r="F22">
        <f>9.2/100</f>
        <v>9.1999999999999998E-2</v>
      </c>
      <c r="G22">
        <f t="shared" si="3"/>
        <v>0.76666666666666672</v>
      </c>
    </row>
    <row r="23" spans="1:7" x14ac:dyDescent="0.25">
      <c r="A23">
        <v>0.14000000000000001</v>
      </c>
      <c r="B23">
        <f>(20.1-12.4)/100</f>
        <v>7.7000000000000013E-2</v>
      </c>
      <c r="C23">
        <f>B23/0.12</f>
        <v>0.64166666666666683</v>
      </c>
      <c r="E23">
        <v>0.14000000000000001</v>
      </c>
      <c r="F23">
        <f>10/100</f>
        <v>0.1</v>
      </c>
      <c r="G23">
        <f t="shared" si="3"/>
        <v>0.83333333333333337</v>
      </c>
    </row>
    <row r="24" spans="1:7" x14ac:dyDescent="0.25">
      <c r="A24">
        <v>0.16</v>
      </c>
      <c r="B24">
        <f>(21.5-13.3)/100</f>
        <v>8.199999999999999E-2</v>
      </c>
      <c r="C24">
        <f>B24/0.12</f>
        <v>0.68333333333333324</v>
      </c>
      <c r="E24">
        <v>0.16</v>
      </c>
      <c r="F24">
        <f>10.6/100</f>
        <v>0.106</v>
      </c>
      <c r="G24">
        <f t="shared" si="3"/>
        <v>0.8833333333333333</v>
      </c>
    </row>
    <row r="25" spans="1:7" x14ac:dyDescent="0.25">
      <c r="A25">
        <v>0.18</v>
      </c>
      <c r="B25">
        <f>(22.7-14)/100</f>
        <v>8.6999999999999994E-2</v>
      </c>
      <c r="C25">
        <f>B25/0.12</f>
        <v>0.72499999999999998</v>
      </c>
      <c r="E25">
        <v>0.18</v>
      </c>
      <c r="F25">
        <f>11.35/100</f>
        <v>0.11349999999999999</v>
      </c>
      <c r="G25">
        <f t="shared" si="3"/>
        <v>0.9458333333333333</v>
      </c>
    </row>
    <row r="26" spans="1:7" x14ac:dyDescent="0.25">
      <c r="A26">
        <v>0.19999999999999998</v>
      </c>
      <c r="B26">
        <f>(24-14.9)/100</f>
        <v>9.0999999999999998E-2</v>
      </c>
      <c r="C26">
        <f>B26/0.12</f>
        <v>0.7583333333333333</v>
      </c>
      <c r="E26">
        <v>0.19999999999999998</v>
      </c>
      <c r="F26">
        <f>11.9/100</f>
        <v>0.11900000000000001</v>
      </c>
      <c r="G26">
        <f t="shared" si="3"/>
        <v>0.99166666666666681</v>
      </c>
    </row>
    <row r="28" spans="1:7" x14ac:dyDescent="0.25">
      <c r="D28" t="s">
        <v>23</v>
      </c>
    </row>
    <row r="29" spans="1:7" x14ac:dyDescent="0.25">
      <c r="D29" t="s">
        <v>11</v>
      </c>
    </row>
    <row r="30" spans="1:7" x14ac:dyDescent="0.25">
      <c r="D30" t="s">
        <v>12</v>
      </c>
    </row>
    <row r="31" spans="1:7" x14ac:dyDescent="0.25">
      <c r="C31" t="s">
        <v>37</v>
      </c>
      <c r="D31" t="s">
        <v>36</v>
      </c>
      <c r="E31" t="s">
        <v>35</v>
      </c>
    </row>
    <row r="32" spans="1:7" x14ac:dyDescent="0.25">
      <c r="C32">
        <v>0.06</v>
      </c>
      <c r="D32">
        <f>10.1/100</f>
        <v>0.10099999999999999</v>
      </c>
      <c r="E32">
        <f>D32/0.12</f>
        <v>0.84166666666666667</v>
      </c>
    </row>
    <row r="33" spans="3:5" x14ac:dyDescent="0.25">
      <c r="C33">
        <v>0.08</v>
      </c>
      <c r="D33">
        <f>11/100</f>
        <v>0.11</v>
      </c>
      <c r="E33">
        <f t="shared" ref="E33:E39" si="4">D33/0.12</f>
        <v>0.91666666666666674</v>
      </c>
    </row>
    <row r="34" spans="3:5" x14ac:dyDescent="0.25">
      <c r="C34">
        <v>0.1</v>
      </c>
      <c r="D34">
        <f>12/100</f>
        <v>0.12</v>
      </c>
      <c r="E34">
        <f t="shared" si="4"/>
        <v>1</v>
      </c>
    </row>
    <row r="35" spans="3:5" x14ac:dyDescent="0.25">
      <c r="C35">
        <v>0.12000000000000001</v>
      </c>
      <c r="D35">
        <f>12.9/100</f>
        <v>0.129</v>
      </c>
      <c r="E35">
        <f t="shared" si="4"/>
        <v>1.0750000000000002</v>
      </c>
    </row>
    <row r="36" spans="3:5" x14ac:dyDescent="0.25">
      <c r="C36">
        <v>0.14000000000000001</v>
      </c>
      <c r="D36">
        <f>13.5/100</f>
        <v>0.13500000000000001</v>
      </c>
      <c r="E36">
        <f t="shared" si="4"/>
        <v>1.1250000000000002</v>
      </c>
    </row>
    <row r="37" spans="3:5" x14ac:dyDescent="0.25">
      <c r="C37">
        <v>0.16</v>
      </c>
      <c r="D37">
        <f>14.5/100</f>
        <v>0.14499999999999999</v>
      </c>
      <c r="E37">
        <f t="shared" si="4"/>
        <v>1.2083333333333333</v>
      </c>
    </row>
    <row r="38" spans="3:5" x14ac:dyDescent="0.25">
      <c r="C38">
        <v>0.18</v>
      </c>
      <c r="D38">
        <f>15.6/100</f>
        <v>0.156</v>
      </c>
      <c r="E38">
        <f t="shared" si="4"/>
        <v>1.3</v>
      </c>
    </row>
    <row r="39" spans="3:5" x14ac:dyDescent="0.25">
      <c r="C39">
        <v>0.19999999999999998</v>
      </c>
      <c r="D39">
        <f>16.6/100</f>
        <v>0.16600000000000001</v>
      </c>
      <c r="E39">
        <f t="shared" si="4"/>
        <v>1.3833333333333335</v>
      </c>
    </row>
    <row r="104" spans="4:8" x14ac:dyDescent="0.25">
      <c r="D104" t="s">
        <v>33</v>
      </c>
      <c r="E104" t="s">
        <v>26</v>
      </c>
      <c r="G104" t="s">
        <v>29</v>
      </c>
      <c r="H104">
        <v>9.8000000000000007</v>
      </c>
    </row>
    <row r="105" spans="4:8" x14ac:dyDescent="0.25">
      <c r="D105">
        <v>1.339</v>
      </c>
      <c r="E105">
        <f>(H105/1000)*H104</f>
        <v>0.95216800000000001</v>
      </c>
      <c r="G105" t="s">
        <v>34</v>
      </c>
      <c r="H105">
        <v>97.16</v>
      </c>
    </row>
    <row r="106" spans="4:8" x14ac:dyDescent="0.25">
      <c r="D106">
        <v>1.4239999999999999</v>
      </c>
      <c r="E106">
        <f>(H105/1000+50/1000)*H104</f>
        <v>1.4421680000000003</v>
      </c>
    </row>
    <row r="107" spans="4:8" x14ac:dyDescent="0.25">
      <c r="D107">
        <v>1.895</v>
      </c>
      <c r="E107">
        <f>(H105/1000+100/1000)*H104</f>
        <v>1.9321680000000001</v>
      </c>
    </row>
    <row r="108" spans="4:8" x14ac:dyDescent="0.25">
      <c r="D108">
        <v>2.8180000000000001</v>
      </c>
      <c r="E108">
        <f>(H105/1000+150/1000)*H104</f>
        <v>2.4221680000000001</v>
      </c>
    </row>
    <row r="109" spans="4:8" x14ac:dyDescent="0.25">
      <c r="D109">
        <v>3.8</v>
      </c>
      <c r="E109">
        <f>(H105/1000+250/1000)*H104</f>
        <v>3.4021680000000005</v>
      </c>
    </row>
    <row r="152" spans="1:7" x14ac:dyDescent="0.25">
      <c r="C152" t="s">
        <v>13</v>
      </c>
      <c r="F152" t="s">
        <v>16</v>
      </c>
    </row>
    <row r="153" spans="1:7" x14ac:dyDescent="0.25">
      <c r="C153" t="s">
        <v>15</v>
      </c>
      <c r="F153" t="s">
        <v>17</v>
      </c>
    </row>
    <row r="154" spans="1:7" x14ac:dyDescent="0.25">
      <c r="C154" t="s">
        <v>14</v>
      </c>
      <c r="F154" t="s">
        <v>8</v>
      </c>
    </row>
    <row r="155" spans="1:7" x14ac:dyDescent="0.25">
      <c r="A155" t="s">
        <v>37</v>
      </c>
      <c r="B155" t="s">
        <v>36</v>
      </c>
      <c r="C155" t="s">
        <v>35</v>
      </c>
      <c r="E155" t="s">
        <v>37</v>
      </c>
      <c r="F155" t="s">
        <v>36</v>
      </c>
      <c r="G155" t="s">
        <v>35</v>
      </c>
    </row>
    <row r="156" spans="1:7" x14ac:dyDescent="0.25">
      <c r="A156">
        <v>0.06</v>
      </c>
      <c r="B156">
        <f>6/100</f>
        <v>0.06</v>
      </c>
      <c r="C156">
        <f>B156/0.12</f>
        <v>0.5</v>
      </c>
      <c r="E156">
        <v>0.06</v>
      </c>
      <c r="F156">
        <f>6.75/100</f>
        <v>6.7500000000000004E-2</v>
      </c>
      <c r="G156">
        <f>F156/0.12</f>
        <v>0.56250000000000011</v>
      </c>
    </row>
    <row r="157" spans="1:7" x14ac:dyDescent="0.25">
      <c r="A157">
        <v>0.08</v>
      </c>
      <c r="B157">
        <f>6.55/100</f>
        <v>6.5500000000000003E-2</v>
      </c>
      <c r="C157">
        <f t="shared" ref="C157:C163" si="5">B157/0.12</f>
        <v>0.54583333333333339</v>
      </c>
      <c r="E157">
        <v>0.08</v>
      </c>
      <c r="F157">
        <f>7.15/100</f>
        <v>7.1500000000000008E-2</v>
      </c>
      <c r="G157">
        <f t="shared" ref="G157:G163" si="6">F157/0.12</f>
        <v>0.59583333333333344</v>
      </c>
    </row>
    <row r="158" spans="1:7" x14ac:dyDescent="0.25">
      <c r="A158">
        <v>0.1</v>
      </c>
      <c r="B158">
        <f>7.2/100</f>
        <v>7.2000000000000008E-2</v>
      </c>
      <c r="C158">
        <f t="shared" si="5"/>
        <v>0.60000000000000009</v>
      </c>
      <c r="E158">
        <v>0.1</v>
      </c>
      <c r="F158">
        <f>7.5/100</f>
        <v>7.4999999999999997E-2</v>
      </c>
      <c r="G158">
        <f t="shared" si="6"/>
        <v>0.625</v>
      </c>
    </row>
    <row r="159" spans="1:7" x14ac:dyDescent="0.25">
      <c r="A159">
        <v>0.12000000000000001</v>
      </c>
      <c r="B159">
        <f>7.7/100</f>
        <v>7.6999999999999999E-2</v>
      </c>
      <c r="C159">
        <f t="shared" si="5"/>
        <v>0.64166666666666672</v>
      </c>
      <c r="E159">
        <v>0.12000000000000001</v>
      </c>
      <c r="F159">
        <f>8/100</f>
        <v>0.08</v>
      </c>
      <c r="G159">
        <f t="shared" si="6"/>
        <v>0.66666666666666674</v>
      </c>
    </row>
    <row r="160" spans="1:7" x14ac:dyDescent="0.25">
      <c r="A160">
        <v>0.14000000000000001</v>
      </c>
      <c r="B160">
        <f>8.3/100</f>
        <v>8.3000000000000004E-2</v>
      </c>
      <c r="C160">
        <f t="shared" si="5"/>
        <v>0.69166666666666676</v>
      </c>
      <c r="E160">
        <v>0.14000000000000001</v>
      </c>
      <c r="F160">
        <f>8.3/100</f>
        <v>8.3000000000000004E-2</v>
      </c>
      <c r="G160">
        <f t="shared" si="6"/>
        <v>0.69166666666666676</v>
      </c>
    </row>
    <row r="161" spans="1:7" x14ac:dyDescent="0.25">
      <c r="A161">
        <v>0.16</v>
      </c>
      <c r="B161">
        <f>8.9/100</f>
        <v>8.900000000000001E-2</v>
      </c>
      <c r="C161">
        <f t="shared" si="5"/>
        <v>0.74166666666666681</v>
      </c>
      <c r="E161">
        <v>0.16</v>
      </c>
      <c r="F161">
        <f>8.9/100</f>
        <v>8.900000000000001E-2</v>
      </c>
      <c r="G161">
        <f t="shared" si="6"/>
        <v>0.74166666666666681</v>
      </c>
    </row>
    <row r="162" spans="1:7" x14ac:dyDescent="0.25">
      <c r="A162">
        <v>0.18</v>
      </c>
      <c r="B162">
        <f>9.3/100</f>
        <v>9.3000000000000013E-2</v>
      </c>
      <c r="C162">
        <f t="shared" si="5"/>
        <v>0.77500000000000013</v>
      </c>
      <c r="E162">
        <v>0.18</v>
      </c>
      <c r="F162">
        <f>9.3/100</f>
        <v>9.3000000000000013E-2</v>
      </c>
      <c r="G162">
        <f t="shared" si="6"/>
        <v>0.77500000000000013</v>
      </c>
    </row>
    <row r="163" spans="1:7" x14ac:dyDescent="0.25">
      <c r="A163">
        <v>0.19999999999999998</v>
      </c>
      <c r="B163">
        <f>9.75/100</f>
        <v>9.7500000000000003E-2</v>
      </c>
      <c r="C163">
        <f t="shared" si="5"/>
        <v>0.81250000000000011</v>
      </c>
      <c r="E163">
        <v>0.19999999999999998</v>
      </c>
      <c r="F163">
        <f>9.9/100</f>
        <v>9.9000000000000005E-2</v>
      </c>
      <c r="G163">
        <f t="shared" si="6"/>
        <v>0.82500000000000007</v>
      </c>
    </row>
    <row r="165" spans="1:7" x14ac:dyDescent="0.25">
      <c r="B165" t="s">
        <v>18</v>
      </c>
      <c r="F165" t="s">
        <v>20</v>
      </c>
    </row>
    <row r="166" spans="1:7" x14ac:dyDescent="0.25">
      <c r="B166" t="s">
        <v>19</v>
      </c>
      <c r="F166" t="s">
        <v>22</v>
      </c>
    </row>
    <row r="167" spans="1:7" x14ac:dyDescent="0.25">
      <c r="B167" t="s">
        <v>8</v>
      </c>
      <c r="F167" t="s">
        <v>8</v>
      </c>
    </row>
    <row r="168" spans="1:7" x14ac:dyDescent="0.25">
      <c r="A168" t="s">
        <v>37</v>
      </c>
      <c r="B168" t="s">
        <v>36</v>
      </c>
      <c r="C168" t="s">
        <v>35</v>
      </c>
      <c r="E168" t="s">
        <v>37</v>
      </c>
      <c r="F168" t="s">
        <v>36</v>
      </c>
      <c r="G168" t="s">
        <v>35</v>
      </c>
    </row>
    <row r="169" spans="1:7" x14ac:dyDescent="0.25">
      <c r="A169">
        <v>0.06</v>
      </c>
      <c r="B169">
        <f>5.6/100</f>
        <v>5.5999999999999994E-2</v>
      </c>
      <c r="C169">
        <f>B169/0.12</f>
        <v>0.46666666666666662</v>
      </c>
      <c r="E169">
        <v>0.06</v>
      </c>
      <c r="F169">
        <f>5.1/100</f>
        <v>5.0999999999999997E-2</v>
      </c>
      <c r="G169">
        <f>F169/0.12</f>
        <v>0.42499999999999999</v>
      </c>
    </row>
    <row r="170" spans="1:7" x14ac:dyDescent="0.25">
      <c r="A170">
        <v>0.08</v>
      </c>
      <c r="B170">
        <f>5.9/100</f>
        <v>5.9000000000000004E-2</v>
      </c>
      <c r="C170">
        <f t="shared" ref="C170:C176" si="7">B170/0.12</f>
        <v>0.4916666666666667</v>
      </c>
      <c r="E170">
        <v>0.08</v>
      </c>
      <c r="F170">
        <f>5.5/100</f>
        <v>5.5E-2</v>
      </c>
      <c r="G170">
        <f t="shared" ref="G170:G176" si="8">F170/0.12</f>
        <v>0.45833333333333337</v>
      </c>
    </row>
    <row r="171" spans="1:7" x14ac:dyDescent="0.25">
      <c r="A171">
        <v>0.1</v>
      </c>
      <c r="B171">
        <f>6.25/100</f>
        <v>6.25E-2</v>
      </c>
      <c r="C171">
        <f t="shared" si="7"/>
        <v>0.52083333333333337</v>
      </c>
      <c r="E171">
        <v>0.1</v>
      </c>
      <c r="F171">
        <f>6/100</f>
        <v>0.06</v>
      </c>
      <c r="G171">
        <f t="shared" si="8"/>
        <v>0.5</v>
      </c>
    </row>
    <row r="172" spans="1:7" x14ac:dyDescent="0.25">
      <c r="A172">
        <v>0.12000000000000001</v>
      </c>
      <c r="B172">
        <f>6.85/100</f>
        <v>6.8499999999999991E-2</v>
      </c>
      <c r="C172">
        <f t="shared" si="7"/>
        <v>0.5708333333333333</v>
      </c>
      <c r="E172">
        <v>0.12000000000000001</v>
      </c>
      <c r="F172">
        <f>6.5/100</f>
        <v>6.5000000000000002E-2</v>
      </c>
      <c r="G172">
        <f t="shared" si="8"/>
        <v>0.54166666666666674</v>
      </c>
    </row>
    <row r="173" spans="1:7" x14ac:dyDescent="0.25">
      <c r="A173">
        <v>0.14000000000000001</v>
      </c>
      <c r="B173">
        <f>7.1/100</f>
        <v>7.0999999999999994E-2</v>
      </c>
      <c r="C173">
        <f t="shared" si="7"/>
        <v>0.59166666666666667</v>
      </c>
      <c r="E173">
        <v>0.14000000000000001</v>
      </c>
      <c r="F173">
        <f>6.85/100</f>
        <v>6.8499999999999991E-2</v>
      </c>
      <c r="G173">
        <f t="shared" si="8"/>
        <v>0.5708333333333333</v>
      </c>
    </row>
    <row r="174" spans="1:7" x14ac:dyDescent="0.25">
      <c r="A174">
        <v>0.16</v>
      </c>
      <c r="B174">
        <f>7.7/100</f>
        <v>7.6999999999999999E-2</v>
      </c>
      <c r="C174">
        <f t="shared" si="7"/>
        <v>0.64166666666666672</v>
      </c>
      <c r="E174">
        <v>0.16</v>
      </c>
      <c r="F174">
        <f>7.15/100</f>
        <v>7.1500000000000008E-2</v>
      </c>
      <c r="G174">
        <f t="shared" si="8"/>
        <v>0.59583333333333344</v>
      </c>
    </row>
    <row r="175" spans="1:7" x14ac:dyDescent="0.25">
      <c r="A175">
        <v>0.18</v>
      </c>
      <c r="B175">
        <f>8/100</f>
        <v>0.08</v>
      </c>
      <c r="C175">
        <f t="shared" si="7"/>
        <v>0.66666666666666674</v>
      </c>
      <c r="E175">
        <v>0.18</v>
      </c>
      <c r="F175">
        <f>7.65/100</f>
        <v>7.6499999999999999E-2</v>
      </c>
      <c r="G175">
        <f t="shared" si="8"/>
        <v>0.63750000000000007</v>
      </c>
    </row>
    <row r="176" spans="1:7" x14ac:dyDescent="0.25">
      <c r="A176">
        <v>0.19999999999999998</v>
      </c>
      <c r="B176">
        <f>8.45/100</f>
        <v>8.4499999999999992E-2</v>
      </c>
      <c r="C176">
        <f t="shared" si="7"/>
        <v>0.70416666666666661</v>
      </c>
      <c r="E176">
        <v>0.19999999999999998</v>
      </c>
      <c r="F176">
        <f>8/100</f>
        <v>0.08</v>
      </c>
      <c r="G176">
        <f t="shared" si="8"/>
        <v>0.66666666666666674</v>
      </c>
    </row>
    <row r="178" spans="4:6" x14ac:dyDescent="0.25">
      <c r="F178" t="s">
        <v>24</v>
      </c>
    </row>
    <row r="179" spans="4:6" x14ac:dyDescent="0.25">
      <c r="F179" t="s">
        <v>25</v>
      </c>
    </row>
    <row r="180" spans="4:6" x14ac:dyDescent="0.25">
      <c r="F180" t="s">
        <v>8</v>
      </c>
    </row>
    <row r="181" spans="4:6" x14ac:dyDescent="0.25">
      <c r="D181" t="s">
        <v>37</v>
      </c>
      <c r="E181" t="s">
        <v>36</v>
      </c>
      <c r="F181" t="s">
        <v>35</v>
      </c>
    </row>
    <row r="182" spans="4:6" x14ac:dyDescent="0.25">
      <c r="D182">
        <v>0.06</v>
      </c>
      <c r="E182">
        <f>7.7/100</f>
        <v>7.6999999999999999E-2</v>
      </c>
      <c r="F182">
        <f>E182/0.12</f>
        <v>0.64166666666666672</v>
      </c>
    </row>
    <row r="183" spans="4:6" x14ac:dyDescent="0.25">
      <c r="D183">
        <v>0.08</v>
      </c>
      <c r="E183">
        <f>8.1/100</f>
        <v>8.1000000000000003E-2</v>
      </c>
      <c r="F183">
        <f t="shared" ref="F183:F189" si="9">E183/0.12</f>
        <v>0.67500000000000004</v>
      </c>
    </row>
    <row r="184" spans="4:6" x14ac:dyDescent="0.25">
      <c r="D184">
        <v>0.1</v>
      </c>
      <c r="E184">
        <f>8.5/100</f>
        <v>8.5000000000000006E-2</v>
      </c>
      <c r="F184">
        <f t="shared" si="9"/>
        <v>0.70833333333333337</v>
      </c>
    </row>
    <row r="185" spans="4:6" x14ac:dyDescent="0.25">
      <c r="D185">
        <v>0.12000000000000001</v>
      </c>
      <c r="E185">
        <f>9/100</f>
        <v>0.09</v>
      </c>
      <c r="F185">
        <f t="shared" si="9"/>
        <v>0.75</v>
      </c>
    </row>
    <row r="186" spans="4:6" x14ac:dyDescent="0.25">
      <c r="D186">
        <v>0.14000000000000001</v>
      </c>
      <c r="E186">
        <f>9.1/100</f>
        <v>9.0999999999999998E-2</v>
      </c>
      <c r="F186">
        <f t="shared" si="9"/>
        <v>0.7583333333333333</v>
      </c>
    </row>
    <row r="187" spans="4:6" x14ac:dyDescent="0.25">
      <c r="D187">
        <v>0.16</v>
      </c>
      <c r="E187">
        <f>9.5/100</f>
        <v>9.5000000000000001E-2</v>
      </c>
      <c r="F187">
        <f t="shared" si="9"/>
        <v>0.79166666666666674</v>
      </c>
    </row>
    <row r="188" spans="4:6" x14ac:dyDescent="0.25">
      <c r="D188">
        <v>0.18</v>
      </c>
      <c r="E188">
        <f>10.1/100</f>
        <v>0.10099999999999999</v>
      </c>
      <c r="F188">
        <f t="shared" si="9"/>
        <v>0.84166666666666667</v>
      </c>
    </row>
    <row r="189" spans="4:6" x14ac:dyDescent="0.25">
      <c r="D189">
        <v>0.19999999999999998</v>
      </c>
      <c r="E189">
        <f>10.3/100</f>
        <v>0.10300000000000001</v>
      </c>
      <c r="F189">
        <f t="shared" si="9"/>
        <v>0.85833333333333339</v>
      </c>
    </row>
    <row r="252" spans="5:9" x14ac:dyDescent="0.25">
      <c r="H252" t="s">
        <v>33</v>
      </c>
      <c r="I252" t="s">
        <v>32</v>
      </c>
    </row>
    <row r="253" spans="5:9" x14ac:dyDescent="0.25">
      <c r="E253" t="s">
        <v>27</v>
      </c>
      <c r="F253">
        <v>498.5</v>
      </c>
      <c r="G253">
        <v>1</v>
      </c>
      <c r="H253">
        <v>2.2669999999999999</v>
      </c>
      <c r="I253">
        <f>(F253+150+197.16)/1000</f>
        <v>0.84565999999999997</v>
      </c>
    </row>
    <row r="254" spans="5:9" x14ac:dyDescent="0.25">
      <c r="E254" t="s">
        <v>28</v>
      </c>
      <c r="F254">
        <v>97.16</v>
      </c>
      <c r="G254">
        <v>2</v>
      </c>
      <c r="H254">
        <v>1.85</v>
      </c>
      <c r="I254">
        <f>(F253+250+197.16)/1000</f>
        <v>0.94565999999999995</v>
      </c>
    </row>
    <row r="255" spans="5:9" x14ac:dyDescent="0.25">
      <c r="G255">
        <v>3</v>
      </c>
      <c r="H255">
        <v>1.7390000000000001</v>
      </c>
      <c r="I255">
        <f>(F253+350+197.16)/1000</f>
        <v>1.04566</v>
      </c>
    </row>
    <row r="256" spans="5:9" x14ac:dyDescent="0.25">
      <c r="G256">
        <v>4</v>
      </c>
      <c r="H256">
        <v>1.7290000000000001</v>
      </c>
      <c r="I256">
        <f>(F253+450+197.16)/1000</f>
        <v>1.1456600000000001</v>
      </c>
    </row>
    <row r="257" spans="7:9" x14ac:dyDescent="0.25">
      <c r="G257">
        <v>5</v>
      </c>
      <c r="H257">
        <v>1.552</v>
      </c>
      <c r="I257">
        <f>(F253+550+197.16)/1000</f>
        <v>1.24566</v>
      </c>
    </row>
    <row r="303" spans="5:6" x14ac:dyDescent="0.25">
      <c r="E303" t="s">
        <v>30</v>
      </c>
      <c r="F303" t="s">
        <v>31</v>
      </c>
    </row>
    <row r="304" spans="5:6" x14ac:dyDescent="0.25">
      <c r="E304">
        <v>2.2669999999999999</v>
      </c>
      <c r="F304">
        <f>1/I253</f>
        <v>1.1825083366837736</v>
      </c>
    </row>
    <row r="305" spans="5:6" x14ac:dyDescent="0.25">
      <c r="E305">
        <v>1.85</v>
      </c>
      <c r="F305">
        <f t="shared" ref="F305:F308" si="10">1/I254</f>
        <v>1.0574625129539159</v>
      </c>
    </row>
    <row r="306" spans="5:6" x14ac:dyDescent="0.25">
      <c r="E306">
        <v>1.7390000000000001</v>
      </c>
      <c r="F306">
        <f t="shared" si="10"/>
        <v>0.95633379874911539</v>
      </c>
    </row>
    <row r="307" spans="5:6" x14ac:dyDescent="0.25">
      <c r="E307">
        <v>1.7290000000000001</v>
      </c>
      <c r="F307">
        <f t="shared" si="10"/>
        <v>0.87285931253600535</v>
      </c>
    </row>
    <row r="308" spans="5:6" x14ac:dyDescent="0.25">
      <c r="E308">
        <v>1.552</v>
      </c>
      <c r="F308">
        <f t="shared" si="10"/>
        <v>0.80278727742722733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Minha</dc:creator>
  <cp:lastModifiedBy>Max</cp:lastModifiedBy>
  <cp:lastPrinted>2022-02-16T18:47:51Z</cp:lastPrinted>
  <dcterms:created xsi:type="dcterms:W3CDTF">2022-02-03T07:14:59Z</dcterms:created>
  <dcterms:modified xsi:type="dcterms:W3CDTF">2022-02-16T18:51:47Z</dcterms:modified>
</cp:coreProperties>
</file>