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13E664E8-6DD8-4D51-8F9B-40D1C5C35C9C}" xr6:coauthVersionLast="47" xr6:coauthVersionMax="47" xr10:uidLastSave="{00000000-0000-0000-0000-000000000000}"/>
  <bookViews>
    <workbookView xWindow="-120" yWindow="-120" windowWidth="29040" windowHeight="15840" xr2:uid="{E6178247-95C5-4BE5-9980-5CAA8CAAD23B}"/>
  </bookViews>
  <sheets>
    <sheet name="Options Black-Scholes" sheetId="1" r:id="rId1"/>
  </sheets>
  <definedNames>
    <definedName name="PropBuild">_xlfn.LAMBDA(_xlpm.prop,_xlpm.value,_xlpm.prop &amp; " = " &amp; LEFT(SUBSTITUTE(_xlpm.value,",","."),8) &amp; "," &amp; CHAR(10))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T4" i="1" a="1"/>
  <c r="T4" i="1" s="1"/>
  <c r="T5" i="1" a="1"/>
  <c r="T5" i="1" s="1"/>
  <c r="T6" i="1" a="1"/>
  <c r="T6" i="1" s="1"/>
  <c r="T7" i="1" a="1"/>
  <c r="T7" i="1" s="1"/>
  <c r="R6" i="1"/>
  <c r="P4" i="1"/>
  <c r="Q4" i="1" s="1"/>
  <c r="O7" i="1"/>
  <c r="H3" i="1"/>
  <c r="O3" i="1" s="1"/>
  <c r="H4" i="1"/>
  <c r="R4" i="1" s="1"/>
  <c r="H5" i="1"/>
  <c r="R5" i="1" s="1"/>
  <c r="H6" i="1"/>
  <c r="S6" i="1" s="1"/>
  <c r="H7" i="1"/>
  <c r="R7" i="1" s="1"/>
  <c r="G3" i="1"/>
  <c r="M3" i="1" s="1"/>
  <c r="G4" i="1"/>
  <c r="J4" i="1" s="1"/>
  <c r="G5" i="1"/>
  <c r="J5" i="1" s="1"/>
  <c r="G6" i="1"/>
  <c r="L6" i="1" s="1"/>
  <c r="G7" i="1"/>
  <c r="P7" i="1" s="1"/>
  <c r="Q7" i="1" s="1"/>
  <c r="N6" i="1" l="1"/>
  <c r="S7" i="1"/>
  <c r="N4" i="1"/>
  <c r="P6" i="1"/>
  <c r="Q6" i="1" s="1"/>
  <c r="S5" i="1"/>
  <c r="N3" i="1"/>
  <c r="P5" i="1"/>
  <c r="Q5" i="1" s="1"/>
  <c r="S4" i="1"/>
  <c r="S3" i="1"/>
  <c r="K5" i="1"/>
  <c r="O6" i="1"/>
  <c r="P3" i="1"/>
  <c r="Q3" i="1" s="1"/>
  <c r="L5" i="1"/>
  <c r="O5" i="1"/>
  <c r="N7" i="1"/>
  <c r="O4" i="1"/>
  <c r="R3" i="1"/>
  <c r="N5" i="1"/>
  <c r="I7" i="1"/>
  <c r="I5" i="1"/>
  <c r="I6" i="1"/>
  <c r="J3" i="1"/>
  <c r="K7" i="1"/>
  <c r="L4" i="1"/>
  <c r="I4" i="1"/>
  <c r="K6" i="1"/>
  <c r="L3" i="1"/>
  <c r="I3" i="1"/>
  <c r="M7" i="1"/>
  <c r="J7" i="1"/>
  <c r="K4" i="1"/>
  <c r="M6" i="1"/>
  <c r="J6" i="1"/>
  <c r="K3" i="1"/>
  <c r="M5" i="1"/>
  <c r="L7" i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<sst xmlns="http://schemas.openxmlformats.org/spreadsheetml/2006/main" count="19" uniqueCount="19">
  <si>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dPlus</t>
  </si>
  <si>
    <t>dMinus</t>
  </si>
  <si>
    <t>CALL</t>
  </si>
  <si>
    <t>PUT</t>
  </si>
  <si>
    <t>Delta CALL</t>
  </si>
  <si>
    <t>Delta PUT</t>
  </si>
  <si>
    <t>Gamma</t>
  </si>
  <si>
    <t>Theta CALL</t>
  </si>
  <si>
    <t>Theta PUT</t>
  </si>
  <si>
    <t>Vega</t>
  </si>
  <si>
    <t>Rho CALL</t>
  </si>
  <si>
    <t>Rho PUT</t>
  </si>
  <si>
    <t>Vomma</t>
  </si>
  <si>
    <t>Underlying</t>
  </si>
  <si>
    <t>Strike</t>
  </si>
  <si>
    <t>TTE</t>
  </si>
  <si>
    <t>Sigma</t>
  </si>
  <si>
    <t>Rate</t>
  </si>
  <si>
    <t>Test case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</si>
</sst>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E8797-DE0C-4DC2-8E8D-323C398D2CE4}" name="Table1" displayName="Table1" ref="B2:T7" totalsRowShown="0">
  <autoFilter ref="B2:T7" xr:uid="{AA2E8797-DE0C-4DC2-8E8D-323C398D2CE4}"/>
  <tableColumns count="19">
    <tableColumn id="1" xr3:uid="{31FD3359-99C7-47D0-88BA-B58533A4BA55}" name="Underlying"/>
    <tableColumn id="2" xr3:uid="{5BD23C40-162E-4DEF-AFE4-C09BFEBC2B9A}" name="Strike"/>
    <tableColumn id="3" xr3:uid="{2EED1E35-B75C-4393-9DC5-8FEAEA58999D}" name="TTE"/>
    <tableColumn id="4" xr3:uid="{CCE75D62-1F1D-45CE-9551-0A8FAD1B98C7}" name="Sigma" dataDxfId="14"/>
    <tableColumn id="5" xr3:uid="{B26FE4BF-2971-4A0C-9453-225518F5F493}" name="Rate"/>
    <tableColumn id="6" xr3:uid="{BAE6BDD7-3149-4014-8FCF-F99DEE0BF85E}" name="dPlus" dataDxfId="13">
      <calculatedColumnFormula>(LN(Table1[[#This Row],[Underlying]]/Table1[[#This Row],[Strike]]) + (Table1[[#This Row],[Rate]] + Table1[[#This Row],[Sigma]]^2/2) * Table1[[#This Row],[TTE]]) / (Table1[[#This Row],[Sigma]] * SQRT(Table1[[#This Row],[TTE]]))</calculatedColumnFormula>
    </tableColumn>
    <tableColumn id="7" xr3:uid="{EF99C5AA-A720-4118-A887-53A6A4314E1E}" name="dMinus" dataDxfId="12">
      <calculatedColumnFormula>(LN(Table1[[#This Row],[Underlying]]/Table1[[#This Row],[Strike]]) + (Table1[[#This Row],[Rate]] - Table1[[#This Row],[Sigma]]^2/2) * Table1[[#This Row],[TTE]]) / (Table1[[#This Row],[Sigma]] * SQRT(Table1[[#This Row],[TTE]]))</calculatedColumnFormula>
    </tableColumn>
    <tableColumn id="8" xr3:uid="{DFB25651-0481-45C7-A402-213ACDD3AC42}" name="CALL" dataDxfId="11">
      <calculatedColumnFormula>Table1[[#This Row],[Underlying]] * _xlfn.NORM.S.DIST(Table1[[#This Row],[dPlus]],TRUE) - Table1[[#This Row],[Strike]] * EXP(-Table1[[#This Row],[Rate]] * Table1[[#This Row],[TTE]]) * _xlfn.NORM.S.DIST(Table1[[#This Row],[dMinus]],TRUE)</calculatedColumnFormula>
    </tableColumn>
    <tableColumn id="9" xr3:uid="{45EC8536-CEBE-45E2-B1CE-3186727575E7}" name="PUT" dataDxfId="10">
      <calculatedColumnFormula>-Table1[[#This Row],[Underlying]] * _xlfn.NORM.S.DIST(-Table1[[#This Row],[dPlus]],TRUE) + Table1[[#This Row],[Strike]] * EXP(-Table1[[#This Row],[Rate]] * Table1[[#This Row],[TTE]]) * _xlfn.NORM.S.DIST(-Table1[[#This Row],[dMinus]],TRUE)</calculatedColumnFormula>
    </tableColumn>
    <tableColumn id="10" xr3:uid="{5041E993-F935-49DB-B01B-E554F293B5F6}" name="Delta CALL" dataDxfId="9">
      <calculatedColumnFormula>_xlfn.NORM.S.DIST(Table1[[#This Row],[dPlus]],TRUE)</calculatedColumnFormula>
    </tableColumn>
    <tableColumn id="11" xr3:uid="{3C47FB2A-3817-4020-8D57-3387ACC1E6C4}" name="Delta PUT" dataDxfId="8">
      <calculatedColumnFormula>-_xlfn.NORM.S.DIST(-Table1[[#This Row],[dPlus]],TRUE)</calculatedColumnFormula>
    </tableColumn>
    <tableColumn id="12" xr3:uid="{975F6A73-1C48-4CF7-838B-0166F12FDBE3}" name="Gamma" dataDxfId="7">
      <calculatedColumnFormula>_xlfn.NORM.S.DIST(Table1[[#This Row],[dPlus]],FALSE) / (Table1[[#This Row],[Underlying]] * Table1[[#This Row],[Sigma]] * SQRT(Table1[[#This Row],[TTE]]))</calculatedColumnFormula>
    </tableColumn>
    <tableColumn id="13" xr3:uid="{091EE3BC-052D-41CE-BCAA-34164BC60B3C}" name="Theta CALL" dataDxfId="6">
      <calculatedColumnFormula>-Table1[[#This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_xlfn.NORM.S.DIST(Table1[[#This Row],[dMinus]],TRUE)</calculatedColumnFormula>
    </tableColumn>
    <tableColumn id="14" xr3:uid="{7F6D6F6B-8B45-4E71-93C9-0696DD761532}" name="Theta PUT" dataDxfId="5">
      <calculatedColumnFormula>-Table1[[#This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_xlfn.NORM.S.DIST(-Table1[[#This Row],[dMinus]],TRUE)</calculatedColumnFormula>
    </tableColumn>
    <tableColumn id="15" xr3:uid="{B77019EB-BA05-480F-AAD3-2146850DF83E}" name="Vega" dataDxfId="4">
      <calculatedColumnFormula>Table1[[#This Row],[Underlying]] * _xlfn.NORM.S.DIST(Table1[[#This Row],[dPlus]],FALSE) * SQRT(Table1[[#This Row],[TTE]])</calculatedColumnFormula>
    </tableColumn>
    <tableColumn id="16" xr3:uid="{1A817639-FC4A-4F91-A692-E1278565DCEA}" name="Vomma" dataDxfId="3">
      <calculatedColumnFormula>Table1[[#This Row],[Vega]] * Table1[[#This Row],[dPlus]] * Table1[[#This Row],[dMinus]] / Table1[[#This Row],[Sigma]]</calculatedColumnFormula>
    </tableColumn>
    <tableColumn id="17" xr3:uid="{81A2143B-84B9-4350-87EB-2F8966CEE164}" name="Rho CALL" dataDxfId="2">
      <calculatedColumnFormula>Table1[[#This Row],[Strike]] * Table1[[#This Row],[TTE]] * EXP(-Table1[[#This Row],[Rate]] * Table1[[#This Row],[TTE]]) * _xlfn.NORM.S.DIST(Table1[[#This Row],[dMinus]],TRUE)</calculatedColumnFormula>
    </tableColumn>
    <tableColumn id="18" xr3:uid="{D92B5C9A-D9B3-47EB-9D9D-0FDA8A58DECD}" name="Rho PUT" dataDxfId="1">
      <calculatedColumnFormula>-Table1[[#This Row],[Strike]] * Table1[[#This Row],[TTE]] * EXP(-Table1[[#This Row],[Rate]] * Table1[[#This Row],[TTE]]) * _xlfn.NORM.S.DIST(-Table1[[#This Row],[dMinus]],TRUE)</calculatedColumnFormula>
    </tableColumn>
    <tableColumn id="19" xr3:uid="{06954A86-7A31-4C0C-AA30-E4E8B24F8FE5}" name="Test case values" dataDxfId="0">
      <calculatedColumnFormula array="1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9A53-6E8C-44D2-9B9E-860BFEA53D87}">
  <dimension ref="B2:T7"/>
  <sheetViews>
    <sheetView tabSelected="1" workbookViewId="0">
      <selection activeCell="M3" sqref="M3"/>
    </sheetView>
  </sheetViews>
  <sheetFormatPr defaultRowHeight="15" x14ac:dyDescent="0.25"/>
  <cols>
    <col min="1" max="1" width="3.5703125" customWidth="1"/>
    <col min="2" max="2" width="13.140625" bestFit="1" customWidth="1"/>
    <col min="3" max="3" width="8.42578125" bestFit="1" customWidth="1"/>
    <col min="4" max="4" width="6.28515625" bestFit="1" customWidth="1"/>
    <col min="5" max="5" width="8.5703125" bestFit="1" customWidth="1"/>
    <col min="6" max="6" width="7.28515625" bestFit="1" customWidth="1"/>
    <col min="7" max="8" width="12.7109375" bestFit="1" customWidth="1"/>
    <col min="9" max="10" width="12" bestFit="1" customWidth="1"/>
    <col min="11" max="11" width="12.5703125" bestFit="1" customWidth="1"/>
    <col min="12" max="12" width="12.7109375" bestFit="1" customWidth="1"/>
    <col min="13" max="13" width="12" bestFit="1" customWidth="1"/>
    <col min="14" max="14" width="12.8554687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" bestFit="1" customWidth="1"/>
    <col min="19" max="19" width="12.7109375" bestFit="1" customWidth="1"/>
  </cols>
  <sheetData>
    <row r="2" spans="2:20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12</v>
      </c>
      <c r="R2" t="s">
        <v>10</v>
      </c>
      <c r="S2" t="s">
        <v>11</v>
      </c>
      <c r="T2" t="s">
        <v>18</v>
      </c>
    </row>
    <row r="3" spans="2:20" x14ac:dyDescent="0.25">
      <c r="B3">
        <v>65000</v>
      </c>
      <c r="C3">
        <v>64000</v>
      </c>
      <c r="D3">
        <v>0.5</v>
      </c>
      <c r="E3" s="1">
        <v>0.6</v>
      </c>
      <c r="F3" s="1">
        <v>0.05</v>
      </c>
      <c r="G3">
        <f>(LN(Table1[[#This Row],[Underlying]]/Table1[[#This Row],[Strike]]) + (Table1[[#This Row],[Rate]] + Table1[[#This Row],[Sigma]]^2/2) * Table1[[#This Row],[TTE]]) / (Table1[[#This Row],[Sigma]] * SQRT(Table1[[#This Row],[TTE]]))</f>
        <v>0.30760131757605053</v>
      </c>
      <c r="H3">
        <f>(LN(Table1[[#This Row],[Underlying]]/Table1[[#This Row],[Strike]]) + (Table1[[#This Row],[Rate]] - Table1[[#This Row],[Sigma]]^2/2) * Table1[[#This Row],[TTE]]) / (Table1[[#This Row],[Sigma]] * SQRT(Table1[[#This Row],[TTE]]))</f>
        <v>-0.11666275113587797</v>
      </c>
      <c r="I3">
        <f>Table1[[#This Row],[Underlying]] * _xlfn.NORM.S.DIST(Table1[[#This Row],[dPlus]],TRUE) - Table1[[#This Row],[Strike]] * EXP(-Table1[[#This Row],[Rate]] * Table1[[#This Row],[TTE]]) * _xlfn.NORM.S.DIST(Table1[[#This Row],[dMinus]],TRUE)</f>
        <v>12041.095992664123</v>
      </c>
      <c r="J3">
        <f>-Table1[[#This Row],[Underlying]] * _xlfn.NORM.S.DIST(-Table1[[#This Row],[dPlus]],TRUE) + Table1[[#This Row],[Strike]] * EXP(-Table1[[#This Row],[Rate]] * Table1[[#This Row],[TTE]]) * _xlfn.NORM.S.DIST(-Table1[[#This Row],[dMinus]],TRUE)</f>
        <v>9460.9303624774111</v>
      </c>
      <c r="K3">
        <f>_xlfn.NORM.S.DIST(Table1[[#This Row],[dPlus]],TRUE)</f>
        <v>0.62080714124531211</v>
      </c>
      <c r="L3">
        <f>-_xlfn.NORM.S.DIST(-Table1[[#This Row],[dPlus]],TRUE)</f>
        <v>-0.37919285875468789</v>
      </c>
      <c r="M3">
        <f>_xlfn.NORM.S.DIST(Table1[[#This Row],[dPlus]],FALSE) / (Table1[[#This Row],[Underlying]] * Table1[[#This Row],[Sigma]] * SQRT(Table1[[#This Row],[TTE]]))</f>
        <v>1.37979413657528E-5</v>
      </c>
      <c r="N3">
        <f>-Table1[[#This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_xlfn.NORM.S.DIST(Table1[[#This Row],[dMinus]],TRUE)</f>
        <v>-11908.902818069062</v>
      </c>
      <c r="O3">
        <f>-Table1[[#This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_xlfn.NORM.S.DIST(-Table1[[#This Row],[dMinus]],TRUE)</f>
        <v>-8787.9110995783976</v>
      </c>
      <c r="P3">
        <f>Table1[[#This Row],[Underlying]] * _xlfn.NORM.S.DIST(Table1[[#This Row],[dPlus]],FALSE) * SQRT(Table1[[#This Row],[TTE]])</f>
        <v>17488.890681091678</v>
      </c>
      <c r="Q3">
        <f>Table1[[#This Row],[Vega]] * Table1[[#This Row],[dPlus]] * Table1[[#This Row],[dMinus]] / Table1[[#This Row],[Sigma]]</f>
        <v>-1045.9993576221905</v>
      </c>
      <c r="R3">
        <f>Table1[[#This Row],[Strike]] * Table1[[#This Row],[TTE]] * EXP(-Table1[[#This Row],[Rate]] * Table1[[#This Row],[TTE]]) * _xlfn.NORM.S.DIST(Table1[[#This Row],[dMinus]],TRUE)</f>
        <v>14155.684094140583</v>
      </c>
      <c r="S3">
        <f>-Table1[[#This Row],[Strike]] * Table1[[#This Row],[TTE]] * EXP(-Table1[[#This Row],[Rate]] * Table1[[#This Row],[TTE]]) * _xlfn.NORM.S.DIST(-Table1[[#This Row],[dMinus]],TRUE)</f>
        <v>-17054.233090766062</v>
      </c>
      <c r="T3" s="3" t="str" cm="1">
        <f t="array" ref="T3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12041.09,
Put = 9460.930,
CallDelta = 0.620807,
PutDelta = -0.37919,
Gamma = 1.379794,
CallTheta = -11908.9,
PutTheta = -8787.91,
Vega = 17488.89,
Vomma = -1045.99,
CallRho = 14155.68,
PutRho = -17054.2,
</v>
      </c>
    </row>
    <row r="4" spans="2:20" x14ac:dyDescent="0.25">
      <c r="B4">
        <v>60</v>
      </c>
      <c r="C4">
        <v>60</v>
      </c>
      <c r="D4">
        <v>1</v>
      </c>
      <c r="E4" s="1">
        <v>0.4</v>
      </c>
      <c r="F4" s="2">
        <v>1.34E-2</v>
      </c>
      <c r="G4">
        <f>(LN(Table1[[#This Row],[Underlying]]/Table1[[#This Row],[Strike]]) + (Table1[[#This Row],[Rate]] + Table1[[#This Row],[Sigma]]^2/2) * Table1[[#This Row],[TTE]]) / (Table1[[#This Row],[Sigma]] * SQRT(Table1[[#This Row],[TTE]]))</f>
        <v>0.23350000000000001</v>
      </c>
      <c r="H4">
        <f>(LN(Table1[[#This Row],[Underlying]]/Table1[[#This Row],[Strike]]) + (Table1[[#This Row],[Rate]] - Table1[[#This Row],[Sigma]]^2/2) * Table1[[#This Row],[TTE]]) / (Table1[[#This Row],[Sigma]] * SQRT(Table1[[#This Row],[TTE]]))</f>
        <v>-0.16650000000000004</v>
      </c>
      <c r="I4">
        <f>Table1[[#This Row],[Underlying]] * _xlfn.NORM.S.DIST(Table1[[#This Row],[dPlus]],TRUE) - Table1[[#This Row],[Strike]] * EXP(-Table1[[#This Row],[Rate]] * Table1[[#This Row],[TTE]]) * _xlfn.NORM.S.DIST(Table1[[#This Row],[dMinus]],TRUE)</f>
        <v>9.8524145090899786</v>
      </c>
      <c r="J4">
        <f>-Table1[[#This Row],[Underlying]] * _xlfn.NORM.S.DIST(-Table1[[#This Row],[dPlus]],TRUE) + Table1[[#This Row],[Strike]] * EXP(-Table1[[#This Row],[Rate]] * Table1[[#This Row],[TTE]]) * _xlfn.NORM.S.DIST(-Table1[[#This Row],[dMinus]],TRUE)</f>
        <v>9.0537773284389296</v>
      </c>
      <c r="K4">
        <f>_xlfn.NORM.S.DIST(Table1[[#This Row],[dPlus]],TRUE)</f>
        <v>0.59231341522312697</v>
      </c>
      <c r="L4">
        <f>-_xlfn.NORM.S.DIST(-Table1[[#This Row],[dPlus]],TRUE)</f>
        <v>-0.40768658477687303</v>
      </c>
      <c r="M4">
        <f>_xlfn.NORM.S.DIST(Table1[[#This Row],[dPlus]],FALSE) / (Table1[[#This Row],[Underlying]] * Table1[[#This Row],[Sigma]] * SQRT(Table1[[#This Row],[TTE]]))</f>
        <v>1.6175565326817357E-2</v>
      </c>
      <c r="N4">
        <f>-Table1[[#This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_xlfn.NORM.S.DIST(Table1[[#This Row],[dMinus]],TRUE)</f>
        <v>-5.0027604455409875</v>
      </c>
      <c r="O4">
        <f>-Table1[[#This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_xlfn.NORM.S.DIST(-Table1[[#This Row],[dMinus]],TRUE)</f>
        <v>-4.209462183761711</v>
      </c>
      <c r="P4">
        <f>Table1[[#This Row],[Underlying]] * _xlfn.NORM.S.DIST(Table1[[#This Row],[dPlus]],FALSE) * SQRT(Table1[[#This Row],[TTE]])</f>
        <v>23.292814070616995</v>
      </c>
      <c r="Q4">
        <f>Table1[[#This Row],[Vega]] * Table1[[#This Row],[dPlus]] * Table1[[#This Row],[dMinus]] / Table1[[#This Row],[Sigma]]</f>
        <v>-2.2639305055848249</v>
      </c>
      <c r="R4">
        <f>Table1[[#This Row],[Strike]] * Table1[[#This Row],[TTE]] * EXP(-Table1[[#This Row],[Rate]] * Table1[[#This Row],[TTE]]) * _xlfn.NORM.S.DIST(Table1[[#This Row],[dMinus]],TRUE)</f>
        <v>25.686390404297637</v>
      </c>
      <c r="S4">
        <f>-Table1[[#This Row],[Strike]] * Table1[[#This Row],[TTE]] * EXP(-Table1[[#This Row],[Rate]] * Table1[[#This Row],[TTE]]) * _xlfn.NORM.S.DIST(-Table1[[#This Row],[dMinus]],TRUE)</f>
        <v>-33.514972415051311</v>
      </c>
      <c r="T4" s="3" t="str" cm="1">
        <f t="array" ref="T4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9.852414,
Put = 9.053777,
CallDelta = 0.592313,
PutDelta = -0.40768,
Gamma = 0.016175,
CallTheta = -5.00276,
PutTheta = -4.20946,
Vega = 23.29281,
Vomma = -2.26393,
CallRho = 25.68639,
PutRho = -33.5149,
</v>
      </c>
    </row>
    <row r="5" spans="2:20" x14ac:dyDescent="0.25">
      <c r="B5">
        <v>4400</v>
      </c>
      <c r="C5">
        <v>2300</v>
      </c>
      <c r="D5">
        <v>0.25</v>
      </c>
      <c r="E5" s="1">
        <v>0.8</v>
      </c>
      <c r="F5" s="1">
        <v>0.02</v>
      </c>
      <c r="G5">
        <f>(LN(Table1[[#This Row],[Underlying]]/Table1[[#This Row],[Strike]]) + (Table1[[#This Row],[Rate]] + Table1[[#This Row],[Sigma]]^2/2) * Table1[[#This Row],[TTE]]) / (Table1[[#This Row],[Sigma]] * SQRT(Table1[[#This Row],[TTE]]))</f>
        <v>1.8342385449727787</v>
      </c>
      <c r="H5">
        <f>(LN(Table1[[#This Row],[Underlying]]/Table1[[#This Row],[Strike]]) + (Table1[[#This Row],[Rate]] - Table1[[#This Row],[Sigma]]^2/2) * Table1[[#This Row],[TTE]]) / (Table1[[#This Row],[Sigma]] * SQRT(Table1[[#This Row],[TTE]]))</f>
        <v>1.4342385449727784</v>
      </c>
      <c r="I5">
        <f>Table1[[#This Row],[Underlying]] * _xlfn.NORM.S.DIST(Table1[[#This Row],[dPlus]],TRUE) - Table1[[#This Row],[Strike]] * EXP(-Table1[[#This Row],[Rate]] * Table1[[#This Row],[TTE]]) * _xlfn.NORM.S.DIST(Table1[[#This Row],[dMinus]],TRUE)</f>
        <v>2138.2712514319214</v>
      </c>
      <c r="J5">
        <f>-Table1[[#This Row],[Underlying]] * _xlfn.NORM.S.DIST(-Table1[[#This Row],[dPlus]],TRUE) + Table1[[#This Row],[Strike]] * EXP(-Table1[[#This Row],[Rate]] * Table1[[#This Row],[TTE]]) * _xlfn.NORM.S.DIST(-Table1[[#This Row],[dMinus]],TRUE)</f>
        <v>26.799953575090683</v>
      </c>
      <c r="K5">
        <f>_xlfn.NORM.S.DIST(Table1[[#This Row],[dPlus]],TRUE)</f>
        <v>0.96669070395016021</v>
      </c>
      <c r="L5">
        <f>-_xlfn.NORM.S.DIST(-Table1[[#This Row],[dPlus]],TRUE)</f>
        <v>-3.3309296049839843E-2</v>
      </c>
      <c r="M5">
        <f>_xlfn.NORM.S.DIST(Table1[[#This Row],[dPlus]],FALSE) / (Table1[[#This Row],[Underlying]] * Table1[[#This Row],[Sigma]] * SQRT(Table1[[#This Row],[TTE]]))</f>
        <v>4.2152222727056103E-5</v>
      </c>
      <c r="N5">
        <f>-Table1[[#This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_xlfn.NORM.S.DIST(Table1[[#This Row],[dMinus]],TRUE)</f>
        <v>-303.4448071576337</v>
      </c>
      <c r="O5">
        <f>-Table1[[#This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_xlfn.NORM.S.DIST(-Table1[[#This Row],[dMinus]],TRUE)</f>
        <v>-257.67423311477029</v>
      </c>
      <c r="P5">
        <f>Table1[[#This Row],[Underlying]] * _xlfn.NORM.S.DIST(Table1[[#This Row],[dPlus]],FALSE) * SQRT(Table1[[#This Row],[TTE]])</f>
        <v>163.21340639916124</v>
      </c>
      <c r="Q5">
        <f>Table1[[#This Row],[Vega]] * Table1[[#This Row],[dPlus]] * Table1[[#This Row],[dMinus]] / Table1[[#This Row],[Sigma]]</f>
        <v>536.71415272724096</v>
      </c>
      <c r="R5">
        <f>Table1[[#This Row],[Strike]] * Table1[[#This Row],[TTE]] * EXP(-Table1[[#This Row],[Rate]] * Table1[[#This Row],[TTE]]) * _xlfn.NORM.S.DIST(Table1[[#This Row],[dMinus]],TRUE)</f>
        <v>528.79196148719586</v>
      </c>
      <c r="S5">
        <f>-Table1[[#This Row],[Strike]] * Table1[[#This Row],[TTE]] * EXP(-Table1[[#This Row],[Rate]] * Table1[[#This Row],[TTE]]) * _xlfn.NORM.S.DIST(-Table1[[#This Row],[dMinus]],TRUE)</f>
        <v>-43.340214048596501</v>
      </c>
      <c r="T5" s="3" t="str" cm="1">
        <f t="array" ref="T5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2138.271,
Put = 26.79995,
CallDelta = 0.966690,
PutDelta = -0.03330,
Gamma = 4.215222,
CallTheta = -303.444,
PutTheta = -257.674,
Vega = 163.2134,
Vomma = 536.7141,
CallRho = 528.7919,
PutRho = -43.3402,
</v>
      </c>
    </row>
    <row r="6" spans="2:20" x14ac:dyDescent="0.25">
      <c r="B6">
        <v>370</v>
      </c>
      <c r="C6">
        <v>500</v>
      </c>
      <c r="D6">
        <v>0.25</v>
      </c>
      <c r="E6" s="1">
        <v>0.3</v>
      </c>
      <c r="F6" s="1">
        <v>0.01</v>
      </c>
      <c r="G6">
        <f>(LN(Table1[[#This Row],[Underlying]]/Table1[[#This Row],[Strike]]) + (Table1[[#This Row],[Rate]] + Table1[[#This Row],[Sigma]]^2/2) * Table1[[#This Row],[TTE]]) / (Table1[[#This Row],[Sigma]] * SQRT(Table1[[#This Row],[TTE]]))</f>
        <v>-1.9157006185594776</v>
      </c>
      <c r="H6">
        <f>(LN(Table1[[#This Row],[Underlying]]/Table1[[#This Row],[Strike]]) + (Table1[[#This Row],[Rate]] - Table1[[#This Row],[Sigma]]^2/2) * Table1[[#This Row],[TTE]]) / (Table1[[#This Row],[Sigma]] * SQRT(Table1[[#This Row],[TTE]]))</f>
        <v>-2.0657006185594775</v>
      </c>
      <c r="I6">
        <f>Table1[[#This Row],[Underlying]] * _xlfn.NORM.S.DIST(Table1[[#This Row],[dPlus]],TRUE) - Table1[[#This Row],[Strike]] * EXP(-Table1[[#This Row],[Rate]] * Table1[[#This Row],[TTE]]) * _xlfn.NORM.S.DIST(Table1[[#This Row],[dMinus]],TRUE)</f>
        <v>0.55966045451910063</v>
      </c>
      <c r="J6">
        <f>-Table1[[#This Row],[Underlying]] * _xlfn.NORM.S.DIST(-Table1[[#This Row],[dPlus]],TRUE) + Table1[[#This Row],[Strike]] * EXP(-Table1[[#This Row],[Rate]] * Table1[[#This Row],[TTE]]) * _xlfn.NORM.S.DIST(-Table1[[#This Row],[dMinus]],TRUE)</f>
        <v>129.31122165324916</v>
      </c>
      <c r="K6">
        <f>_xlfn.NORM.S.DIST(Table1[[#This Row],[dPlus]],TRUE)</f>
        <v>2.7701606832093887E-2</v>
      </c>
      <c r="L6">
        <f>-_xlfn.NORM.S.DIST(-Table1[[#This Row],[dPlus]],TRUE)</f>
        <v>-0.97229839316790612</v>
      </c>
      <c r="M6">
        <f>_xlfn.NORM.S.DIST(Table1[[#This Row],[dPlus]],FALSE) / (Table1[[#This Row],[Underlying]] * Table1[[#This Row],[Sigma]] * SQRT(Table1[[#This Row],[TTE]]))</f>
        <v>1.1473779493236266E-3</v>
      </c>
      <c r="N6">
        <f>-Table1[[#This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_xlfn.NORM.S.DIST(Table1[[#This Row],[dMinus]],TRUE)</f>
        <v>-7.1653211975417586</v>
      </c>
      <c r="O6">
        <f>-Table1[[#This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_xlfn.NORM.S.DIST(-Table1[[#This Row],[dMinus]],TRUE)</f>
        <v>-2.1778055855544585</v>
      </c>
      <c r="P6">
        <f>Table1[[#This Row],[Underlying]] * _xlfn.NORM.S.DIST(Table1[[#This Row],[dPlus]],FALSE) * SQRT(Table1[[#This Row],[TTE]])</f>
        <v>11.780703094680337</v>
      </c>
      <c r="Q6">
        <f>Table1[[#This Row],[Vega]] * Table1[[#This Row],[dPlus]] * Table1[[#This Row],[dMinus]] / Table1[[#This Row],[Sigma]]</f>
        <v>155.39783898143207</v>
      </c>
      <c r="R6">
        <f>Table1[[#This Row],[Strike]] * Table1[[#This Row],[TTE]] * EXP(-Table1[[#This Row],[Rate]] * Table1[[#This Row],[TTE]]) * _xlfn.NORM.S.DIST(Table1[[#This Row],[dMinus]],TRUE)</f>
        <v>2.4224835183389093</v>
      </c>
      <c r="S6">
        <f>-Table1[[#This Row],[Strike]] * Table1[[#This Row],[TTE]] * EXP(-Table1[[#This Row],[Rate]] * Table1[[#This Row],[TTE]]) * _xlfn.NORM.S.DIST(-Table1[[#This Row],[dMinus]],TRUE)</f>
        <v>-122.2654067813436</v>
      </c>
      <c r="T6" s="3" t="str" cm="1">
        <f t="array" ref="T6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0.559660,
Put = 129.3112,
CallDelta = 0.027701,
PutDelta = -0.97229,
Gamma = 0.001147,
CallTheta = -7.16532,
PutTheta = -2.17780,
Vega = 11.78070,
Vomma = 155.3978,
CallRho = 2.422483,
PutRho = -122.265,
</v>
      </c>
    </row>
    <row r="7" spans="2:20" x14ac:dyDescent="0.25">
      <c r="B7">
        <v>103</v>
      </c>
      <c r="C7">
        <v>100</v>
      </c>
      <c r="D7">
        <v>0.5</v>
      </c>
      <c r="E7" s="1">
        <v>0.15</v>
      </c>
      <c r="F7" s="1">
        <v>0.24</v>
      </c>
      <c r="G7">
        <f>(LN(Table1[[#This Row],[Underlying]]/Table1[[#This Row],[Strike]]) + (Table1[[#This Row],[Rate]] + Table1[[#This Row],[Sigma]]^2/2) * Table1[[#This Row],[TTE]]) / (Table1[[#This Row],[Sigma]] * SQRT(Table1[[#This Row],[TTE]]))</f>
        <v>1.4630869186041093</v>
      </c>
      <c r="H7">
        <f>(LN(Table1[[#This Row],[Underlying]]/Table1[[#This Row],[Strike]]) + (Table1[[#This Row],[Rate]] - Table1[[#This Row],[Sigma]]^2/2) * Table1[[#This Row],[TTE]]) / (Table1[[#This Row],[Sigma]] * SQRT(Table1[[#This Row],[TTE]]))</f>
        <v>1.3570209014261274</v>
      </c>
      <c r="I7">
        <f>Table1[[#This Row],[Underlying]] * _xlfn.NORM.S.DIST(Table1[[#This Row],[dPlus]],TRUE) - Table1[[#This Row],[Strike]] * EXP(-Table1[[#This Row],[Rate]] * Table1[[#This Row],[TTE]]) * _xlfn.NORM.S.DIST(Table1[[#This Row],[dMinus]],TRUE)</f>
        <v>14.671167958722961</v>
      </c>
      <c r="J7">
        <f>-Table1[[#This Row],[Underlying]] * _xlfn.NORM.S.DIST(-Table1[[#This Row],[dPlus]],TRUE) + Table1[[#This Row],[Strike]] * EXP(-Table1[[#This Row],[Rate]] * Table1[[#This Row],[TTE]]) * _xlfn.NORM.S.DIST(-Table1[[#This Row],[dMinus]],TRUE)</f>
        <v>0.36321163043871341</v>
      </c>
      <c r="K7">
        <f>_xlfn.NORM.S.DIST(Table1[[#This Row],[dPlus]],TRUE)</f>
        <v>0.92827820156926399</v>
      </c>
      <c r="L7">
        <f>-_xlfn.NORM.S.DIST(-Table1[[#This Row],[dPlus]],TRUE)</f>
        <v>-7.1721798430736047E-2</v>
      </c>
      <c r="M7">
        <f>_xlfn.NORM.S.DIST(Table1[[#This Row],[dPlus]],FALSE) / (Table1[[#This Row],[Underlying]] * Table1[[#This Row],[Sigma]] * SQRT(Table1[[#This Row],[TTE]]))</f>
        <v>1.25217817396271E-2</v>
      </c>
      <c r="N7">
        <f>-Table1[[#This Row],[Underlying]] * _xlfn.NORM.S.DIST(Table1[[#This Row],[dPlus]],FALSE) * Table1[[#This Row],[Sigma]] / 2 / SQRT(Table1[[#This Row],[TTE]]) - Table1[[#This Row],[Rate]] * Table1[[#This Row],[Strike]] * EXP(-Table1[[#This Row],[Rate]] * Table1[[#This Row],[TTE]]) * _xlfn.NORM.S.DIST(Table1[[#This Row],[dMinus]],TRUE)</f>
        <v>-20.920447135550365</v>
      </c>
      <c r="O7">
        <f>-Table1[[#This Row],[Underlying]] * _xlfn.NORM.S.DIST(Table1[[#This Row],[dPlus]],FALSE) * Table1[[#This Row],[Sigma]] / 2 / SQRT(Table1[[#This Row],[TTE]]) + Table1[[#This Row],[Rate]] * Table1[[#This Row],[Strike]] * EXP(-Table1[[#This Row],[Rate]] * Table1[[#This Row],[TTE]]) * _xlfn.NORM.S.DIST(-Table1[[#This Row],[dMinus]],TRUE)</f>
        <v>0.36564334566141765</v>
      </c>
      <c r="P7">
        <f>Table1[[#This Row],[Underlying]] * _xlfn.NORM.S.DIST(Table1[[#This Row],[dPlus]],FALSE) * SQRT(Table1[[#This Row],[TTE]])</f>
        <v>9.963268685677793</v>
      </c>
      <c r="Q7">
        <f>Table1[[#This Row],[Vega]] * Table1[[#This Row],[dPlus]] * Table1[[#This Row],[dMinus]] / Table1[[#This Row],[Sigma]]</f>
        <v>131.87644992050889</v>
      </c>
      <c r="R7">
        <f>Table1[[#This Row],[Strike]] * Table1[[#This Row],[TTE]] * EXP(-Table1[[#This Row],[Rate]] * Table1[[#This Row],[TTE]]) * _xlfn.NORM.S.DIST(Table1[[#This Row],[dMinus]],TRUE)</f>
        <v>40.470743401455614</v>
      </c>
      <c r="S7">
        <f>-Table1[[#This Row],[Strike]] * Table1[[#This Row],[TTE]] * EXP(-Table1[[#This Row],[Rate]] * Table1[[#This Row],[TTE]]) * _xlfn.NORM.S.DIST(-Table1[[#This Row],[dMinus]],TRUE)</f>
        <v>-3.8752784344022633</v>
      </c>
      <c r="T7" s="3" t="str" cm="1">
        <f t="array" ref="T7" xml:space="preserve">
PropBuild("Call",Table1[[#This Row],[CALL]]) &amp;
PropBuild("Put",Table1[[#This Row],[PUT]]) &amp;
PropBuild("CallDelta",Table1[[#This Row],[Delta CALL]]) &amp;
PropBuild("PutDelta",Table1[[#This Row],[Delta PUT]]) &amp;
PropBuild("Gamma",Table1[[#This Row],[Gamma]]) &amp;
PropBuild("CallTheta",Table1[[#This Row],[Theta CALL]]) &amp;
PropBuild("PutTheta",Table1[[#This Row],[Theta PUT]]) &amp;
PropBuild("Vega",Table1[[#This Row],[Vega]]) &amp;
PropBuild("Vomma",Table1[[#This Row],[Vomma]]) &amp;
PropBuild("CallRho",Table1[[#This Row],[Rho CALL]]) &amp;
PropBuild("PutRho",Table1[[#This Row],[Rho PUT]])</f>
        <v xml:space="preserve">Call = 14.67116,
Put = 0.363211,
CallDelta = 0.928278,
PutDelta = -0.07172,
Gamma = 0.012521,
CallTheta = -20.9204,
PutTheta = 0.365643,
Vega = 9.963268,
Vomma = 131.8764,
CallRho = 40.47074,
PutRho = -3.87527,
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Black-Scholes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2022-01-27T20:25:28Z</dcterms:created>
  <dcterms:modified xsi:type="dcterms:W3CDTF">2022-01-27T20:25:49Z</dcterms:modified>
</cp:coreProperties>
</file>