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mitalibadkul/Downloads/"/>
    </mc:Choice>
  </mc:AlternateContent>
  <xr:revisionPtr revIDLastSave="0" documentId="13_ncr:1_{33834219-EFA1-1B40-A843-BFF482153B8D}" xr6:coauthVersionLast="47" xr6:coauthVersionMax="47" xr10:uidLastSave="{00000000-0000-0000-0000-000000000000}"/>
  <bookViews>
    <workbookView xWindow="4440" yWindow="740" windowWidth="24960" windowHeight="16540" xr2:uid="{00000000-000D-0000-FFFF-FFFF00000000}"/>
  </bookViews>
  <sheets>
    <sheet name="READ ME" sheetId="1" r:id="rId1"/>
    <sheet name="Assumptions &amp; Analysis" sheetId="2" r:id="rId2"/>
    <sheet name="Income Statement Forecasts" sheetId="3" r:id="rId3"/>
    <sheet name="Calculations" sheetId="4" state="hidden" r:id="rId4"/>
    <sheet name="Cash Flow Forecasts" sheetId="5" r:id="rId5"/>
    <sheet name="Projected Balance Sheet" sheetId="6" r:id="rId6"/>
    <sheet name="Consolidated Cash Flow" sheetId="7" r:id="rId7"/>
    <sheet name="Part 2 - Impact of Standard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3" l="1"/>
  <c r="E3" i="2"/>
  <c r="E21" i="7"/>
  <c r="D20" i="7"/>
  <c r="D19" i="7"/>
  <c r="H25" i="6"/>
  <c r="G25" i="6"/>
  <c r="F25" i="6"/>
  <c r="E25" i="6"/>
  <c r="D25" i="6"/>
  <c r="C25" i="6"/>
  <c r="C27" i="6" s="1"/>
  <c r="C28" i="6" s="1"/>
  <c r="H19" i="6"/>
  <c r="D13" i="7" s="1"/>
  <c r="G19" i="6"/>
  <c r="F19" i="6"/>
  <c r="E19" i="6"/>
  <c r="D19" i="6"/>
  <c r="H12" i="6"/>
  <c r="D12" i="7" s="1"/>
  <c r="G12" i="6"/>
  <c r="F12" i="6"/>
  <c r="E12" i="6"/>
  <c r="D12" i="6"/>
  <c r="H11" i="6"/>
  <c r="D10" i="7" s="1"/>
  <c r="G11" i="6"/>
  <c r="F11" i="6"/>
  <c r="E11" i="6"/>
  <c r="D11" i="6"/>
  <c r="C11" i="6"/>
  <c r="C9" i="6"/>
  <c r="C7" i="6"/>
  <c r="C6" i="6"/>
  <c r="C5" i="6"/>
  <c r="C27" i="5"/>
  <c r="D26" i="5" s="1"/>
  <c r="C26" i="5"/>
  <c r="C22" i="5"/>
  <c r="C21" i="5"/>
  <c r="D19" i="5"/>
  <c r="H18" i="5"/>
  <c r="G18" i="5"/>
  <c r="F18" i="5"/>
  <c r="E18" i="5"/>
  <c r="D18" i="5"/>
  <c r="C12" i="5"/>
  <c r="C23" i="5" s="1"/>
  <c r="C6" i="5"/>
  <c r="C9" i="5" s="1"/>
  <c r="G19" i="3"/>
  <c r="F19" i="3"/>
  <c r="E19" i="3"/>
  <c r="D19" i="3"/>
  <c r="C19" i="3"/>
  <c r="H19" i="3" s="1"/>
  <c r="G18" i="3"/>
  <c r="F18" i="3"/>
  <c r="E18" i="3"/>
  <c r="D18" i="3"/>
  <c r="C18" i="3"/>
  <c r="G17" i="3"/>
  <c r="F17" i="3"/>
  <c r="E17" i="3"/>
  <c r="D17" i="3"/>
  <c r="C17" i="3"/>
  <c r="C16" i="3"/>
  <c r="D16" i="5" s="1"/>
  <c r="D15" i="3"/>
  <c r="C15" i="3"/>
  <c r="G10" i="3"/>
  <c r="F10" i="3"/>
  <c r="E10" i="3"/>
  <c r="C10" i="3"/>
  <c r="D9" i="3"/>
  <c r="E14" i="5" s="1"/>
  <c r="C9" i="3"/>
  <c r="D14" i="5" s="1"/>
  <c r="D8" i="3"/>
  <c r="E13" i="5" s="1"/>
  <c r="C8" i="3"/>
  <c r="C7" i="3"/>
  <c r="D12" i="5" s="1"/>
  <c r="C5" i="3"/>
  <c r="F3" i="4" s="1"/>
  <c r="B36" i="2"/>
  <c r="D10" i="6" s="1"/>
  <c r="G31" i="2"/>
  <c r="F31" i="2"/>
  <c r="E31" i="2"/>
  <c r="D21" i="2"/>
  <c r="E17" i="5" s="1"/>
  <c r="C21" i="2"/>
  <c r="D17" i="5" s="1"/>
  <c r="D18" i="2"/>
  <c r="D16" i="3" s="1"/>
  <c r="E16" i="5" s="1"/>
  <c r="G17" i="2"/>
  <c r="F17" i="2"/>
  <c r="E17" i="2"/>
  <c r="D17" i="2"/>
  <c r="C17" i="2"/>
  <c r="D6" i="6" s="1"/>
  <c r="E6" i="6" s="1"/>
  <c r="F6" i="6" s="1"/>
  <c r="G6" i="6" s="1"/>
  <c r="H6" i="6" s="1"/>
  <c r="G16" i="2"/>
  <c r="F16" i="2"/>
  <c r="E16" i="2"/>
  <c r="D16" i="2"/>
  <c r="C16" i="2"/>
  <c r="D5" i="6" s="1"/>
  <c r="D14" i="2"/>
  <c r="E14" i="2" s="1"/>
  <c r="M5" i="2"/>
  <c r="AA4" i="2"/>
  <c r="Z4" i="2"/>
  <c r="N4" i="2"/>
  <c r="M4" i="2"/>
  <c r="AA3" i="2"/>
  <c r="Z3" i="2"/>
  <c r="D3" i="2"/>
  <c r="D5" i="3" s="1"/>
  <c r="AA2" i="2"/>
  <c r="Z2" i="2"/>
  <c r="Z5" i="2" l="1"/>
  <c r="T5" i="2" s="1"/>
  <c r="AA5" i="2"/>
  <c r="C13" i="6"/>
  <c r="C20" i="3"/>
  <c r="H17" i="3"/>
  <c r="H18" i="3"/>
  <c r="H10" i="3"/>
  <c r="D6" i="7" s="1"/>
  <c r="E7" i="5"/>
  <c r="F4" i="4"/>
  <c r="F14" i="2"/>
  <c r="E15" i="3"/>
  <c r="D7" i="6"/>
  <c r="E5" i="6"/>
  <c r="C14" i="6"/>
  <c r="C30" i="6" s="1"/>
  <c r="D20" i="3"/>
  <c r="C25" i="5"/>
  <c r="E18" i="2"/>
  <c r="E4" i="4"/>
  <c r="E8" i="5"/>
  <c r="D13" i="5"/>
  <c r="E10" i="6"/>
  <c r="D18" i="6"/>
  <c r="C11" i="3"/>
  <c r="C12" i="3" s="1"/>
  <c r="C21" i="3" s="1"/>
  <c r="D3" i="4"/>
  <c r="B3" i="4" s="1"/>
  <c r="D7" i="5"/>
  <c r="D15" i="5"/>
  <c r="T4" i="2"/>
  <c r="N5" i="2"/>
  <c r="D7" i="3"/>
  <c r="E3" i="4"/>
  <c r="C3" i="4" s="1"/>
  <c r="E15" i="5"/>
  <c r="E21" i="2"/>
  <c r="D8" i="5"/>
  <c r="U5" i="2" l="1"/>
  <c r="D23" i="5"/>
  <c r="D4" i="4"/>
  <c r="B4" i="4" s="1"/>
  <c r="E12" i="5"/>
  <c r="D11" i="3"/>
  <c r="D12" i="3" s="1"/>
  <c r="D21" i="3" s="1"/>
  <c r="E18" i="6"/>
  <c r="G14" i="2"/>
  <c r="G15" i="3" s="1"/>
  <c r="F15" i="3"/>
  <c r="F17" i="5"/>
  <c r="F21" i="2"/>
  <c r="O4" i="2"/>
  <c r="E7" i="3"/>
  <c r="O5" i="2"/>
  <c r="F3" i="2"/>
  <c r="AB2" i="2"/>
  <c r="E8" i="3"/>
  <c r="AB4" i="2"/>
  <c r="E9" i="3"/>
  <c r="AB3" i="2"/>
  <c r="E5" i="3"/>
  <c r="C4" i="4"/>
  <c r="U4" i="2"/>
  <c r="E5" i="4"/>
  <c r="F15" i="5"/>
  <c r="E20" i="3"/>
  <c r="D9" i="5"/>
  <c r="D25" i="5" s="1"/>
  <c r="D27" i="5" s="1"/>
  <c r="F18" i="2"/>
  <c r="E16" i="3"/>
  <c r="E9" i="5"/>
  <c r="E7" i="6"/>
  <c r="F5" i="6"/>
  <c r="AB5" i="2" l="1"/>
  <c r="F7" i="6"/>
  <c r="G5" i="6"/>
  <c r="F7" i="3"/>
  <c r="P5" i="2"/>
  <c r="G3" i="2"/>
  <c r="P4" i="2"/>
  <c r="F8" i="3"/>
  <c r="G13" i="5" s="1"/>
  <c r="F9" i="3"/>
  <c r="G14" i="5" s="1"/>
  <c r="AC3" i="2"/>
  <c r="AC4" i="2"/>
  <c r="AC2" i="2"/>
  <c r="AC5" i="2" s="1"/>
  <c r="F5" i="3"/>
  <c r="G8" i="5" s="1"/>
  <c r="V5" i="2"/>
  <c r="G18" i="2"/>
  <c r="G16" i="3" s="1"/>
  <c r="H16" i="5" s="1"/>
  <c r="F16" i="3"/>
  <c r="G16" i="5" s="1"/>
  <c r="H15" i="5"/>
  <c r="F16" i="5"/>
  <c r="F5" i="4"/>
  <c r="F7" i="5"/>
  <c r="V4" i="2"/>
  <c r="F8" i="5"/>
  <c r="F10" i="6"/>
  <c r="F12" i="5"/>
  <c r="E11" i="3"/>
  <c r="E12" i="3" s="1"/>
  <c r="E21" i="3" s="1"/>
  <c r="D5" i="4"/>
  <c r="F18" i="6"/>
  <c r="F14" i="5"/>
  <c r="G17" i="5"/>
  <c r="G21" i="2"/>
  <c r="H17" i="5" s="1"/>
  <c r="C5" i="4"/>
  <c r="E26" i="5"/>
  <c r="D17" i="6"/>
  <c r="D9" i="6"/>
  <c r="D13" i="6" s="1"/>
  <c r="D14" i="6" s="1"/>
  <c r="F13" i="5"/>
  <c r="G15" i="5"/>
  <c r="H15" i="3"/>
  <c r="W5" i="2" l="1"/>
  <c r="B5" i="4"/>
  <c r="E6" i="4"/>
  <c r="F9" i="5"/>
  <c r="E7" i="4"/>
  <c r="G8" i="3"/>
  <c r="G7" i="3"/>
  <c r="H7" i="3" s="1"/>
  <c r="Q5" i="2"/>
  <c r="Q4" i="2"/>
  <c r="G9" i="3"/>
  <c r="H14" i="5" s="1"/>
  <c r="AD3" i="2"/>
  <c r="AD4" i="2"/>
  <c r="AD2" i="2"/>
  <c r="G5" i="3"/>
  <c r="H8" i="5" s="1"/>
  <c r="H16" i="3"/>
  <c r="H20" i="3" s="1"/>
  <c r="G7" i="5"/>
  <c r="G9" i="5" s="1"/>
  <c r="F6" i="4"/>
  <c r="W4" i="2"/>
  <c r="G10" i="6"/>
  <c r="G12" i="5"/>
  <c r="F11" i="3"/>
  <c r="F12" i="3" s="1"/>
  <c r="G18" i="6"/>
  <c r="D6" i="4"/>
  <c r="D20" i="6"/>
  <c r="E19" i="5" s="1"/>
  <c r="E23" i="5" s="1"/>
  <c r="E25" i="5" s="1"/>
  <c r="E27" i="5" s="1"/>
  <c r="C23" i="3"/>
  <c r="G20" i="3"/>
  <c r="G7" i="6"/>
  <c r="H5" i="6"/>
  <c r="H7" i="6" s="1"/>
  <c r="F20" i="3"/>
  <c r="C6" i="4" l="1"/>
  <c r="F21" i="3"/>
  <c r="AD5" i="2"/>
  <c r="X5" i="2" s="1"/>
  <c r="H5" i="3"/>
  <c r="C24" i="3"/>
  <c r="H12" i="5"/>
  <c r="D7" i="4"/>
  <c r="H18" i="6"/>
  <c r="D11" i="7" s="1"/>
  <c r="G11" i="3"/>
  <c r="G12" i="3" s="1"/>
  <c r="G21" i="3" s="1"/>
  <c r="H7" i="5"/>
  <c r="H9" i="5" s="1"/>
  <c r="X4" i="2"/>
  <c r="F7" i="4"/>
  <c r="C7" i="4" s="1"/>
  <c r="H10" i="6"/>
  <c r="D9" i="7" s="1"/>
  <c r="H13" i="5"/>
  <c r="H8" i="3"/>
  <c r="H9" i="3"/>
  <c r="B6" i="4"/>
  <c r="F26" i="5"/>
  <c r="E17" i="6"/>
  <c r="E9" i="6"/>
  <c r="E13" i="6" s="1"/>
  <c r="E14" i="6" s="1"/>
  <c r="H11" i="3" l="1"/>
  <c r="H12" i="3"/>
  <c r="H21" i="3" s="1"/>
  <c r="E14" i="7"/>
  <c r="B7" i="4"/>
  <c r="E20" i="6"/>
  <c r="F19" i="5" s="1"/>
  <c r="F23" i="5" s="1"/>
  <c r="F25" i="5" s="1"/>
  <c r="F27" i="5" s="1"/>
  <c r="D23" i="3"/>
  <c r="D5" i="7"/>
  <c r="E7" i="7" s="1"/>
  <c r="C26" i="3"/>
  <c r="D21" i="6" l="1"/>
  <c r="D22" i="6" s="1"/>
  <c r="D24" i="3"/>
  <c r="G26" i="5"/>
  <c r="F17" i="6"/>
  <c r="F9" i="6"/>
  <c r="F13" i="6" s="1"/>
  <c r="F14" i="6" s="1"/>
  <c r="C27" i="3"/>
  <c r="D26" i="6" s="1"/>
  <c r="D27" i="6" s="1"/>
  <c r="F20" i="6" l="1"/>
  <c r="G19" i="5" s="1"/>
  <c r="E23" i="3"/>
  <c r="D26" i="3"/>
  <c r="D27" i="3" s="1"/>
  <c r="E26" i="6" s="1"/>
  <c r="E27" i="6" s="1"/>
  <c r="D28" i="6"/>
  <c r="D30" i="6" s="1"/>
  <c r="E21" i="6" l="1"/>
  <c r="E22" i="6" s="1"/>
  <c r="E28" i="6" s="1"/>
  <c r="E30" i="6" s="1"/>
  <c r="E24" i="3"/>
  <c r="G20" i="5" l="1"/>
  <c r="G23" i="5" s="1"/>
  <c r="G25" i="5" s="1"/>
  <c r="G27" i="5" s="1"/>
  <c r="E26" i="3"/>
  <c r="F21" i="6" l="1"/>
  <c r="F22" i="6" s="1"/>
  <c r="G17" i="6"/>
  <c r="G9" i="6"/>
  <c r="G13" i="6" s="1"/>
  <c r="G14" i="6" s="1"/>
  <c r="H26" i="5"/>
  <c r="E27" i="3"/>
  <c r="F26" i="6" s="1"/>
  <c r="F27" i="6" s="1"/>
  <c r="G20" i="6" l="1"/>
  <c r="H19" i="5" s="1"/>
  <c r="F23" i="3"/>
  <c r="F28" i="6"/>
  <c r="F30" i="6" s="1"/>
  <c r="F24" i="3" l="1"/>
  <c r="H20" i="5" l="1"/>
  <c r="H23" i="5" s="1"/>
  <c r="H25" i="5" s="1"/>
  <c r="H27" i="5" s="1"/>
  <c r="F26" i="3"/>
  <c r="G21" i="6" l="1"/>
  <c r="G22" i="6" s="1"/>
  <c r="H17" i="6"/>
  <c r="H9" i="6"/>
  <c r="H13" i="6" s="1"/>
  <c r="H14" i="6" s="1"/>
  <c r="F27" i="3"/>
  <c r="G26" i="6" s="1"/>
  <c r="G27" i="6" s="1"/>
  <c r="H20" i="6" l="1"/>
  <c r="G23" i="3"/>
  <c r="D24" i="7"/>
  <c r="G28" i="6"/>
  <c r="G30" i="6" s="1"/>
  <c r="G24" i="3" l="1"/>
  <c r="H23" i="3"/>
  <c r="D25" i="7" l="1"/>
  <c r="E26" i="7" s="1"/>
  <c r="H24" i="3"/>
  <c r="G26" i="3"/>
  <c r="G27" i="3" s="1"/>
  <c r="H26" i="6" s="1"/>
  <c r="H27" i="6" s="1"/>
  <c r="H21" i="6" l="1"/>
  <c r="H22" i="6" s="1"/>
  <c r="H28" i="6" s="1"/>
  <c r="H30" i="6" s="1"/>
  <c r="H26" i="3"/>
  <c r="D15" i="7" s="1"/>
  <c r="E16" i="7" s="1"/>
  <c r="E28" i="7" s="1"/>
  <c r="H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000-000001000000}">
      <text>
        <r>
          <rPr>
            <sz val="10"/>
            <color rgb="FF000000"/>
            <rFont val="Arial"/>
            <family val="2"/>
            <scheme val="minor"/>
          </rPr>
          <t>Conditions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500-000001000000}">
      <text>
        <r>
          <rPr>
            <sz val="10"/>
            <color rgb="FF000000"/>
            <rFont val="Arial"/>
            <family val="2"/>
            <scheme val="minor"/>
          </rPr>
          <t>If Cumulative Balance &lt; 0 then Cash = 0 else = Cumulative Balance</t>
        </r>
      </text>
    </comment>
    <comment ref="B17" authorId="0" shapeId="0" xr:uid="{00000000-0006-0000-0500-000002000000}">
      <text>
        <r>
          <rPr>
            <sz val="10"/>
            <color rgb="FF000000"/>
            <rFont val="Arial"/>
            <family val="2"/>
            <scheme val="minor"/>
          </rPr>
          <t xml:space="preserve">Bank Debt (short term) = Negative Cumulative Balance
</t>
        </r>
      </text>
    </comment>
  </commentList>
</comments>
</file>

<file path=xl/sharedStrings.xml><?xml version="1.0" encoding="utf-8"?>
<sst xmlns="http://schemas.openxmlformats.org/spreadsheetml/2006/main" count="218" uniqueCount="157">
  <si>
    <t>FINANCIAL MODEL - TRINITY MEDICAL DEVICES</t>
  </si>
  <si>
    <t>#</t>
  </si>
  <si>
    <t>Tab</t>
  </si>
  <si>
    <t>Purpose</t>
  </si>
  <si>
    <t>Cell Key</t>
  </si>
  <si>
    <t>Assumptions &amp; Analysis</t>
  </si>
  <si>
    <t>Contains key assumptions for the financial model, including unit sales, pricing, cost factors, and a basic sensitivity analysis. This tab drives calculations across the model.</t>
  </si>
  <si>
    <t>Input allowed</t>
  </si>
  <si>
    <t>Income Statement Forecasts</t>
  </si>
  <si>
    <t>Projects the income statement for each of the five years, detailing revenue, cost of goods sold (COGS), operating expenses, and net profit based on the model’s assumptions. 
It also includes graphical representation of year wise revenue, gross and operating profits as well as variable and fixed cost as a % of revenue.</t>
  </si>
  <si>
    <t>Locked cells, autopopulated</t>
  </si>
  <si>
    <t>Cash Flow Forecasts</t>
  </si>
  <si>
    <t>Outlines projected cash inflows and outflows for each year, along with Net cash, opening balance and cumulative balance.</t>
  </si>
  <si>
    <t>Negative numbers</t>
  </si>
  <si>
    <t>Projected Balance Sheet</t>
  </si>
  <si>
    <t xml:space="preserve">Provides a forecast of the business’s assets, liabilities, and equity over the five-year period, giving a snapshot of financial position at year-end. </t>
  </si>
  <si>
    <t>Cells with Note</t>
  </si>
  <si>
    <t>Formulas with conditions are mentioned as notes to the cell</t>
  </si>
  <si>
    <t>Consolidated Cash Flow</t>
  </si>
  <si>
    <t>Consolidated cash flow from operating, investing, and financing activities in IFRS format, reflecting the liquidity impact of business activities.</t>
  </si>
  <si>
    <t>Part 2 : Impact of Standards</t>
  </si>
  <si>
    <t>Provides insights into the financial modeling process which I followed and the impact of accounting standards on the financial statements produced.</t>
  </si>
  <si>
    <t>Budget Assumptions</t>
  </si>
  <si>
    <t>Year 1</t>
  </si>
  <si>
    <t>Year 2</t>
  </si>
  <si>
    <t>Year 3</t>
  </si>
  <si>
    <t>Year 4</t>
  </si>
  <si>
    <t>Year 5</t>
  </si>
  <si>
    <t>Sensitivity Analysis Assumptions</t>
  </si>
  <si>
    <t>Impact of Volume and Price Changes on Revenue</t>
  </si>
  <si>
    <t>Impact of Variable Costs on Gross Profit</t>
  </si>
  <si>
    <t>Operating Budget:</t>
  </si>
  <si>
    <t>% Change from base</t>
  </si>
  <si>
    <t>Revenue (€)</t>
  </si>
  <si>
    <t>Unit Sales</t>
  </si>
  <si>
    <t>Units Sales</t>
  </si>
  <si>
    <t>Yearly Increase in Unit Sales</t>
  </si>
  <si>
    <t>Selling Price (€)</t>
  </si>
  <si>
    <t>Base</t>
  </si>
  <si>
    <t>Updated</t>
  </si>
  <si>
    <t>Variable Costs:</t>
  </si>
  <si>
    <t>Variable Costs</t>
  </si>
  <si>
    <t>Materials required per unit (Kg)</t>
  </si>
  <si>
    <t>Material cost per Kg (€)</t>
  </si>
  <si>
    <t>Labour Cost per Unit (€)</t>
  </si>
  <si>
    <t>Fixed Costs:</t>
  </si>
  <si>
    <t>Admin Salaries</t>
  </si>
  <si>
    <t>Yealy Increase in Salaries</t>
  </si>
  <si>
    <t xml:space="preserve">                               IT &amp; Office Equipment</t>
  </si>
  <si>
    <t>Selling Costs</t>
  </si>
  <si>
    <t>Annual Increase in Selling Costs</t>
  </si>
  <si>
    <t>Telephone and broadband Costs</t>
  </si>
  <si>
    <t>Telephone and broadband Costs Paid Quarterly</t>
  </si>
  <si>
    <t>Capital Budget:</t>
  </si>
  <si>
    <t>Capital Contributed</t>
  </si>
  <si>
    <t>Plant &amp; Machinary Purchases</t>
  </si>
  <si>
    <t>IT &amp; Office Equipment Purchase</t>
  </si>
  <si>
    <t>Financial Assumptions :</t>
  </si>
  <si>
    <t>Corporation Tax, will apply from Year 3 but will not be paid until the following year</t>
  </si>
  <si>
    <t>Working Capital Assumptions:</t>
  </si>
  <si>
    <t>Initial Stock</t>
  </si>
  <si>
    <t>Sales on cash</t>
  </si>
  <si>
    <t>All other Sales</t>
  </si>
  <si>
    <t>Credit terms on Sales (in months)</t>
  </si>
  <si>
    <t>Credit terms on Materials Purchased (in months)</t>
  </si>
  <si>
    <t>Opening Cash balance</t>
  </si>
  <si>
    <t>INCOME STATEMENT FORECASTS</t>
  </si>
  <si>
    <t>Total</t>
  </si>
  <si>
    <t>Sales</t>
  </si>
  <si>
    <t>Cost of Sales:</t>
  </si>
  <si>
    <t>Materials</t>
  </si>
  <si>
    <t>Labour</t>
  </si>
  <si>
    <t>Production Expenses</t>
  </si>
  <si>
    <t>Depreciation</t>
  </si>
  <si>
    <t>Total COGS:</t>
  </si>
  <si>
    <t>Gross profit</t>
  </si>
  <si>
    <t>S , G &amp; A Expenses:</t>
  </si>
  <si>
    <t>Rent</t>
  </si>
  <si>
    <t>Telephone &amp; Broadband Costs</t>
  </si>
  <si>
    <t>Total SG&amp;A:</t>
  </si>
  <si>
    <t>Operating Profit</t>
  </si>
  <si>
    <t>Interest Expense</t>
  </si>
  <si>
    <t>Profit Before Tax</t>
  </si>
  <si>
    <t>Tax expense (Corporation Tax)</t>
  </si>
  <si>
    <t>Profit After Tax/Net Income</t>
  </si>
  <si>
    <t>Year</t>
  </si>
  <si>
    <t>COGS as % of Revenue</t>
  </si>
  <si>
    <t>SG&amp;A as a % of Revenue</t>
  </si>
  <si>
    <t>Variable Cost</t>
  </si>
  <si>
    <t>Fixed Cost</t>
  </si>
  <si>
    <t>Revenue</t>
  </si>
  <si>
    <t>CASH FLOW FORECASTS</t>
  </si>
  <si>
    <t>Cash Inflows</t>
  </si>
  <si>
    <t>Capital</t>
  </si>
  <si>
    <t>Cash Sales</t>
  </si>
  <si>
    <t>Receipts from Debtors</t>
  </si>
  <si>
    <t>Total Cash Inflows</t>
  </si>
  <si>
    <t>Cash Outflows</t>
  </si>
  <si>
    <t>Payment for Material Purchases</t>
  </si>
  <si>
    <t>Interest</t>
  </si>
  <si>
    <t>Corporation Tax</t>
  </si>
  <si>
    <t>Plant &amp; Machinery</t>
  </si>
  <si>
    <t>Office Equipment</t>
  </si>
  <si>
    <t>Total Cash Outflows</t>
  </si>
  <si>
    <t>Net Cash Flow</t>
  </si>
  <si>
    <t>Opening Balance</t>
  </si>
  <si>
    <t>Cumulative Balance</t>
  </si>
  <si>
    <t>PROJECTED BALANCE SHEET</t>
  </si>
  <si>
    <t>Opening</t>
  </si>
  <si>
    <t>Total Fixed Assets</t>
  </si>
  <si>
    <t>Cash</t>
  </si>
  <si>
    <t>Debtors/Receivables</t>
  </si>
  <si>
    <t>Stock</t>
  </si>
  <si>
    <t>Prepayments</t>
  </si>
  <si>
    <t>Total Current Assets</t>
  </si>
  <si>
    <t>Total Assets</t>
  </si>
  <si>
    <t>Liabilities:</t>
  </si>
  <si>
    <t>Bank Debt</t>
  </si>
  <si>
    <t>Creditors/Payables</t>
  </si>
  <si>
    <t>Accruals</t>
  </si>
  <si>
    <t>Interest Accured</t>
  </si>
  <si>
    <t>Tax Payable</t>
  </si>
  <si>
    <t>Total Current Liabilities</t>
  </si>
  <si>
    <t>Shareholders Funds:</t>
  </si>
  <si>
    <t>Share Capital</t>
  </si>
  <si>
    <t>Retained Earnings</t>
  </si>
  <si>
    <t xml:space="preserve">Total Shareholders Funds </t>
  </si>
  <si>
    <t>Total Shareholders Funds &amp; Liabilities</t>
  </si>
  <si>
    <t>Total Assets - Total Stakeholder funds &amp; Liabilities</t>
  </si>
  <si>
    <t>CONSOLIDATED CASH FLOW</t>
  </si>
  <si>
    <t>Operating Activities</t>
  </si>
  <si>
    <t>Add back</t>
  </si>
  <si>
    <t>Gross Cash from Operations</t>
  </si>
  <si>
    <t>(Inc)/Dec Working Capital</t>
  </si>
  <si>
    <t>Debtors</t>
  </si>
  <si>
    <t>Creditors</t>
  </si>
  <si>
    <t>Prepayment</t>
  </si>
  <si>
    <t>Net Movement in Working Capital</t>
  </si>
  <si>
    <t>Tax</t>
  </si>
  <si>
    <t>Net Cash from Operations</t>
  </si>
  <si>
    <t>Investing Activities</t>
  </si>
  <si>
    <t>Net Cash from Investing</t>
  </si>
  <si>
    <t>Financing Activities</t>
  </si>
  <si>
    <t>Inc in Bank Debt</t>
  </si>
  <si>
    <t>Net Cash from Financing</t>
  </si>
  <si>
    <t>Inc/Dec Cash</t>
  </si>
  <si>
    <t>IMPACT OF ACCOUNTING STANDARDS</t>
  </si>
  <si>
    <r>
      <rPr>
        <sz val="16"/>
        <color rgb="FF434343"/>
        <rFont val="Calibri"/>
        <family val="2"/>
      </rPr>
      <t>This financial model has been developed for the assignment in the course</t>
    </r>
    <r>
      <rPr>
        <i/>
        <sz val="16"/>
        <color rgb="FF0000FF"/>
        <rFont val="Calibri"/>
        <family val="2"/>
      </rPr>
      <t xml:space="preserve"> ‘Financial Reporting for Managers’ (Course ID: BU7048)</t>
    </r>
    <r>
      <rPr>
        <sz val="16"/>
        <rFont val="Calibri"/>
        <family val="2"/>
      </rPr>
      <t xml:space="preserve"> by </t>
    </r>
    <r>
      <rPr>
        <b/>
        <sz val="16"/>
        <color rgb="FF0000FF"/>
        <rFont val="Calibri"/>
        <family val="2"/>
      </rPr>
      <t>Mitali Badkul (#23347001)</t>
    </r>
    <r>
      <rPr>
        <sz val="16"/>
        <rFont val="Calibri"/>
        <family val="2"/>
      </rPr>
      <t xml:space="preserve">, </t>
    </r>
    <r>
      <rPr>
        <sz val="16"/>
        <color rgb="FF434343"/>
        <rFont val="Calibri"/>
        <family val="2"/>
      </rPr>
      <t xml:space="preserve">a full-time MBA student for the academic year 2024-25 at Trinity Business School, Dublin. 
</t>
    </r>
    <r>
      <rPr>
        <sz val="16"/>
        <rFont val="Calibri"/>
        <family val="2"/>
      </rPr>
      <t xml:space="preserve">
</t>
    </r>
    <r>
      <rPr>
        <i/>
        <u/>
        <sz val="16"/>
        <rFont val="Calibri"/>
        <family val="2"/>
      </rPr>
      <t>The model will be evaluated by</t>
    </r>
    <r>
      <rPr>
        <i/>
        <u/>
        <sz val="16"/>
        <color rgb="FF0000FF"/>
        <rFont val="Calibri"/>
        <family val="2"/>
      </rPr>
      <t xml:space="preserve"> </t>
    </r>
    <r>
      <rPr>
        <b/>
        <i/>
        <u/>
        <sz val="16"/>
        <color rgb="FF0000FF"/>
        <rFont val="Calibri"/>
        <family val="2"/>
      </rPr>
      <t>Prof. Henry Hough</t>
    </r>
    <r>
      <rPr>
        <b/>
        <sz val="16"/>
        <color rgb="FF0000FF"/>
        <rFont val="Calibri"/>
        <family val="2"/>
      </rPr>
      <t xml:space="preserve">.
</t>
    </r>
    <r>
      <rPr>
        <sz val="16"/>
        <color rgb="FF434343"/>
        <rFont val="Calibri"/>
        <family val="2"/>
      </rPr>
      <t xml:space="preserve">
</t>
    </r>
    <r>
      <rPr>
        <b/>
        <sz val="16"/>
        <color rgb="FF434343"/>
        <rFont val="Calibri"/>
        <family val="2"/>
      </rPr>
      <t xml:space="preserve">Based on predefined assumptions </t>
    </r>
    <r>
      <rPr>
        <sz val="16"/>
        <color rgb="FF434343"/>
        <rFont val="Calibri"/>
        <family val="2"/>
      </rPr>
      <t xml:space="preserve">(as stated in </t>
    </r>
    <r>
      <rPr>
        <b/>
        <u/>
        <sz val="16"/>
        <color rgb="FF0B5394"/>
        <rFont val="Calibri"/>
        <family val="2"/>
      </rPr>
      <t>this</t>
    </r>
    <r>
      <rPr>
        <sz val="16"/>
        <color rgb="FF434343"/>
        <rFont val="Calibri"/>
        <family val="2"/>
      </rPr>
      <t xml:space="preserve"> document), this model will present:
• Income Statements for the budget periods from Year 1 to Year 5
• Cash Flow forecasts for each year
• Balance Sheets at the end of each year
• Cash Flow Statements in IFRS format for the period from Year 1 to Year 5
• Additionally, the model is capable of performing simple sensitivity analysis on volumes, prices, and costs.
Follow the links below to access the respective tabs, where the purpose of each is described. </t>
    </r>
  </si>
  <si>
    <r>
      <rPr>
        <b/>
        <sz val="16"/>
        <color rgb="FF434343"/>
        <rFont val="Calibri"/>
        <family val="2"/>
      </rPr>
      <t>Instructions &amp; Notes
Rounding:</t>
    </r>
    <r>
      <rPr>
        <sz val="16"/>
        <color rgb="FF434343"/>
        <rFont val="Calibri"/>
        <family val="2"/>
      </rPr>
      <t xml:space="preserve"> All numbers have been rounded to the nearest whole number.
</t>
    </r>
    <r>
      <rPr>
        <b/>
        <sz val="16"/>
        <color rgb="FF434343"/>
        <rFont val="Calibri"/>
        <family val="2"/>
      </rPr>
      <t xml:space="preserve">Currency: </t>
    </r>
    <r>
      <rPr>
        <sz val="16"/>
        <color rgb="FF434343"/>
        <rFont val="Calibri"/>
        <family val="2"/>
      </rPr>
      <t xml:space="preserve">All amounts are in Euros (€). For other values, the unit of measurement is specified in parentheses within the title.
</t>
    </r>
    <r>
      <rPr>
        <b/>
        <sz val="16"/>
        <color rgb="FF434343"/>
        <rFont val="Calibri"/>
        <family val="2"/>
      </rPr>
      <t>Tab Protection:</t>
    </r>
    <r>
      <rPr>
        <sz val="16"/>
        <color rgb="FF434343"/>
        <rFont val="Calibri"/>
        <family val="2"/>
      </rPr>
      <t xml:space="preserve"> All tabs are protected, with only the input cells only in the assumptions tab are unprotected to prevent accidental edits.
</t>
    </r>
    <r>
      <rPr>
        <b/>
        <sz val="16"/>
        <color rgb="FF434343"/>
        <rFont val="Calibri"/>
        <family val="2"/>
      </rPr>
      <t xml:space="preserve">Data Formatting: </t>
    </r>
    <r>
      <rPr>
        <sz val="16"/>
        <color rgb="FF434343"/>
        <rFont val="Calibri"/>
        <family val="2"/>
      </rPr>
      <t xml:space="preserve">All numerical cells are formatted as the finance data type for clarity.
</t>
    </r>
    <r>
      <rPr>
        <b/>
        <sz val="16"/>
        <color rgb="FF434343"/>
        <rFont val="Calibri"/>
        <family val="2"/>
      </rPr>
      <t xml:space="preserve">Sensitivity Analysis: </t>
    </r>
    <r>
      <rPr>
        <sz val="16"/>
        <color rgb="FF434343"/>
        <rFont val="Calibri"/>
        <family val="2"/>
      </rPr>
      <t>Basic sensitivity analysis can be conducted by inputting the % change from the base values (as defined in the assumptions table) for each of the five years. This feature enhances the model's dynamism.</t>
    </r>
  </si>
  <si>
    <r>
      <t>Gross Profit (€)</t>
    </r>
    <r>
      <rPr>
        <i/>
        <sz val="14"/>
        <color rgb="FFFFFFFF"/>
        <rFont val="Calibri"/>
        <family val="2"/>
      </rPr>
      <t xml:space="preserve"> [excluding P&amp;M depreciation]</t>
    </r>
  </si>
  <si>
    <r>
      <t xml:space="preserve">Production Expenses per unit (€) </t>
    </r>
    <r>
      <rPr>
        <i/>
        <sz val="14"/>
        <color rgb="FF434343"/>
        <rFont val="Calibri"/>
        <family val="2"/>
      </rPr>
      <t>(Excluding Depreciation)</t>
    </r>
  </si>
  <si>
    <r>
      <t xml:space="preserve">Production Expenses per unit (€) </t>
    </r>
    <r>
      <rPr>
        <i/>
        <sz val="14"/>
        <color theme="1"/>
        <rFont val="Calibri"/>
        <family val="2"/>
      </rPr>
      <t>(Excluding Depreciation)</t>
    </r>
  </si>
  <si>
    <r>
      <rPr>
        <b/>
        <i/>
        <sz val="14"/>
        <color rgb="FF434343"/>
        <rFont val="Calibri"/>
        <family val="2"/>
      </rPr>
      <t xml:space="preserve">Input Cells: </t>
    </r>
    <r>
      <rPr>
        <i/>
        <sz val="14"/>
        <color rgb="FF434343"/>
        <rFont val="Calibri"/>
        <family val="2"/>
      </rPr>
      <t>Enter the % change in the designated cells above (blue in color) to adjust the analysis.
- The model will automatically calculate changes in revenue and gross profit based on your inputs.
- Changes in revenue and gross profit will be reflected in the visualizations for better insights.
- The impact of variable costs is calculated using the updated revenue data.
- Depreciation of plant and machinery is excluded from this analysis, as it is classified under Cost of Goods Sold (COGS) in the income statement.</t>
    </r>
  </si>
  <si>
    <r>
      <rPr>
        <i/>
        <sz val="14"/>
        <color rgb="FF434343"/>
        <rFont val="Calibri"/>
        <family val="2"/>
      </rPr>
      <t xml:space="preserve">Depreciation(Years): </t>
    </r>
    <r>
      <rPr>
        <sz val="14"/>
        <color rgb="FF434343"/>
        <rFont val="Calibri"/>
        <family val="2"/>
      </rPr>
      <t>Plant &amp; Machinery</t>
    </r>
  </si>
  <si>
    <r>
      <t xml:space="preserve">Rent </t>
    </r>
    <r>
      <rPr>
        <i/>
        <sz val="14"/>
        <color rgb="FF434343"/>
        <rFont val="Calibri"/>
        <family val="2"/>
      </rPr>
      <t>(paid in cash before the start of the following year except the first year’s rent which is paid in Year 1 together with the rent for the following year)</t>
    </r>
  </si>
  <si>
    <r>
      <t xml:space="preserve">Interest Rate
</t>
    </r>
    <r>
      <rPr>
        <i/>
        <sz val="14"/>
        <color rgb="FF434343"/>
        <rFont val="Calibri"/>
        <family val="2"/>
      </rPr>
      <t>(calculated on the level of debt at the end of each year and paid in cash in the following year)</t>
    </r>
  </si>
  <si>
    <r>
      <t xml:space="preserve">While preparing the financial statements, accounting standards and core concepts like </t>
    </r>
    <r>
      <rPr>
        <b/>
        <i/>
        <sz val="16"/>
        <color theme="1"/>
        <rFont val="Calibri"/>
        <family val="2"/>
      </rPr>
      <t xml:space="preserve">accruals, recognition, realization, going concern, and comparability </t>
    </r>
    <r>
      <rPr>
        <sz val="16"/>
        <color theme="1"/>
        <rFont val="Calibri"/>
        <family val="2"/>
      </rPr>
      <t xml:space="preserve">were essential, guiding me through each step. However, applying these standards also presented </t>
    </r>
    <r>
      <rPr>
        <b/>
        <u/>
        <sz val="16"/>
        <color theme="1"/>
        <rFont val="Calibri"/>
        <family val="2"/>
      </rPr>
      <t>subjective</t>
    </r>
    <r>
      <rPr>
        <sz val="16"/>
        <color theme="1"/>
        <rFont val="Calibri"/>
        <family val="2"/>
      </rPr>
      <t xml:space="preserve"> interpretation challenges and complexities throughout the process.
</t>
    </r>
    <r>
      <rPr>
        <b/>
        <sz val="16"/>
        <color theme="1"/>
        <rFont val="Calibri"/>
        <family val="2"/>
      </rPr>
      <t xml:space="preserve">Accrual and Recognition (IFRS 15): </t>
    </r>
    <r>
      <rPr>
        <sz val="16"/>
        <color theme="1"/>
        <rFont val="Calibri"/>
        <family val="2"/>
      </rPr>
      <t xml:space="preserve">The accrual principle required revenue and expense recognition based on timing rather than cash flow. This approach underscored the need for careful timing in recognizing income, which I initially found intricate to navigate, but ultimately led to more accurate financial representation.
</t>
    </r>
    <r>
      <rPr>
        <b/>
        <sz val="16"/>
        <color theme="1"/>
        <rFont val="Calibri"/>
        <family val="2"/>
      </rPr>
      <t xml:space="preserve">Expense Timing and Subjectivity: </t>
    </r>
    <r>
      <rPr>
        <sz val="16"/>
        <color theme="1"/>
        <rFont val="Calibri"/>
        <family val="2"/>
      </rPr>
      <t xml:space="preserve">Accurately accounting for quarterly utility bills was another challenge. The accrual basis required expenses to reflect their period of occurrence, even if payment was deferred. This complexity underscored the importance of standard adherence but also introduced subjective decisions regarding expense timing.
</t>
    </r>
    <r>
      <rPr>
        <b/>
        <sz val="16"/>
        <color theme="1"/>
        <rFont val="Calibri"/>
        <family val="2"/>
      </rPr>
      <t xml:space="preserve">
Depreciation Calculation (IAS 16):</t>
    </r>
    <r>
      <rPr>
        <sz val="16"/>
        <color theme="1"/>
        <rFont val="Calibri"/>
        <family val="2"/>
      </rPr>
      <t xml:space="preserve"> IAS 16’s guidance on asset depreciation, such as for IT equipment and office furniture, encouraged me to allocate costs over their useful lives using straight-line depreciation. This improved asset valuation accuracy but introduced subjectivity, as useful life estimation can vary and directly influence depreciation values in the financial statements.
</t>
    </r>
    <r>
      <rPr>
        <b/>
        <sz val="16"/>
        <color theme="1"/>
        <rFont val="Calibri"/>
        <family val="2"/>
      </rPr>
      <t xml:space="preserve">Handling Negative Cash Flow and Bank Loans: </t>
    </r>
    <r>
      <rPr>
        <sz val="16"/>
        <color theme="1"/>
        <rFont val="Calibri"/>
        <family val="2"/>
      </rPr>
      <t xml:space="preserve">Tracking and accounting for a negative cash flow required taking out a bank loan, which added layers of complexity. I struggled with how to consistently account for loan repayments and interest across the income statement, balance sheet, and cash flow statement. Choosing whether to categorize interest under operating or financing activities added to the confusion, particularly because the standards allow some flexibility here. Eventually, aligning interest in the financing section clarified the impact of loan-related expenses across statements.
</t>
    </r>
    <r>
      <rPr>
        <b/>
        <sz val="16"/>
        <color theme="1"/>
        <rFont val="Calibri"/>
        <family val="2"/>
      </rPr>
      <t xml:space="preserve">Cash Flow Statement Construction (IAS 7): </t>
    </r>
    <r>
      <rPr>
        <sz val="16"/>
        <color theme="1"/>
        <rFont val="Calibri"/>
        <family val="2"/>
      </rPr>
      <t xml:space="preserve">Constructing the cash flow statement presented additional challenges, especially regarding where to begin. While I initially considered starting with Net Income, referencing </t>
    </r>
    <r>
      <rPr>
        <b/>
        <u/>
        <sz val="16"/>
        <color theme="1"/>
        <rFont val="Calibri"/>
        <family val="2"/>
      </rPr>
      <t>CRH’s</t>
    </r>
    <r>
      <rPr>
        <sz val="16"/>
        <color theme="1"/>
        <rFont val="Calibri"/>
        <family val="2"/>
      </rPr>
      <t xml:space="preserve"> approach led me to start with Operating Profit. However, this choice created some initial confusion, especially regarding where bank loan repayment should appear. Given that the cumulative cash position would ultimately balance out, including the loan in the cash flow statement at all was debatable. Nonetheless, constructing the cash flow statement highlighted the importance of aligning reporting practices with standard guidelines for transparency.
</t>
    </r>
    <r>
      <rPr>
        <b/>
        <sz val="16"/>
        <color theme="1"/>
        <rFont val="Calibri"/>
        <family val="2"/>
      </rPr>
      <t>Balance Sheet Adjustments</t>
    </r>
    <r>
      <rPr>
        <sz val="16"/>
        <color theme="1"/>
        <rFont val="Calibri"/>
        <family val="2"/>
      </rPr>
      <t xml:space="preserve">: Initially setting the cash balance to zero, without accounting for the €53,000 opening balance, skewed the balance sheet. Correcting this error emphasized the need for accuracy in financial reporting and demonstrated how small adjustments can impact the overall statement accuracy.
</t>
    </r>
    <r>
      <rPr>
        <b/>
        <sz val="16"/>
        <color theme="1"/>
        <rFont val="Calibri"/>
        <family val="2"/>
      </rPr>
      <t xml:space="preserve">Reconciliation Across Statements: </t>
    </r>
    <r>
      <rPr>
        <sz val="16"/>
        <color theme="1"/>
        <rFont val="Calibri"/>
        <family val="2"/>
      </rPr>
      <t xml:space="preserve">Gaining consistency across the income statement, balance sheet, and cash flow statement required careful application of standards. The process highlighted the importance of maintaining accurate and consistent figures across statements but also revealed subjectivity in applying concepts like accruals, especially with elements like interest and loan repayments.
</t>
    </r>
    <r>
      <rPr>
        <b/>
        <sz val="16"/>
        <color theme="1"/>
        <rFont val="Calibri"/>
        <family val="2"/>
      </rPr>
      <t xml:space="preserve">Value in Reporting Standards: </t>
    </r>
    <r>
      <rPr>
        <sz val="16"/>
        <color theme="1"/>
        <rFont val="Calibri"/>
        <family val="2"/>
      </rPr>
      <t>Ultimately, despite these challenges, the standards reinforced the need for transparency. IFRS 15’s revenue recognition guidelines ensured accurate income reporting, while IAS 7 clarified the importance of classifying cash flows. However, subjectivity in interpreting these standards added ambiguity, highlighting how complex and nuanced financial reporting can be.
Despite the various obstacles in understanding and applying these accounting standards, they enabled a more accurate financial representation based on my interpretations. This experience has deepened my appreciation for the role these standards play in promoting reliable reporting, even though the subjective decisions they require can introduce ambiguity.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</si>
</sst>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_-;\-* #,##0_-;_-* &quot;-&quot;??_-;_-@"/>
  </numFmts>
  <fonts count="46" x14ac:knownFonts="1">
    <font>
      <sz val="10"/>
      <color rgb="FF000000"/>
      <name val="Arial"/>
      <scheme val="minor"/>
    </font>
    <font>
      <sz val="11"/>
      <color theme="1"/>
      <name val="Calibri"/>
      <family val="2"/>
    </font>
    <font>
      <b/>
      <sz val="14"/>
      <color rgb="FFFFFFFF"/>
      <name val="Calibri"/>
      <family val="2"/>
    </font>
    <font>
      <sz val="10"/>
      <color theme="1"/>
      <name val="Arial"/>
      <family val="2"/>
      <scheme val="minor"/>
    </font>
    <font>
      <sz val="16"/>
      <color rgb="FF000000"/>
      <name val="Calibri"/>
      <family val="2"/>
    </font>
    <font>
      <u/>
      <sz val="16"/>
      <color rgb="FF0000FF"/>
      <name val="Calibri"/>
      <family val="2"/>
    </font>
    <font>
      <sz val="16"/>
      <color rgb="FF434343"/>
      <name val="Calibri"/>
      <family val="2"/>
    </font>
    <font>
      <i/>
      <sz val="16"/>
      <color rgb="FF0000FF"/>
      <name val="Calibri"/>
      <family val="2"/>
    </font>
    <font>
      <sz val="16"/>
      <name val="Calibri"/>
      <family val="2"/>
    </font>
    <font>
      <b/>
      <sz val="16"/>
      <color rgb="FF0000FF"/>
      <name val="Calibri"/>
      <family val="2"/>
    </font>
    <font>
      <i/>
      <u/>
      <sz val="16"/>
      <name val="Calibri"/>
      <family val="2"/>
    </font>
    <font>
      <i/>
      <u/>
      <sz val="16"/>
      <color rgb="FF0000FF"/>
      <name val="Calibri"/>
      <family val="2"/>
    </font>
    <font>
      <b/>
      <i/>
      <u/>
      <sz val="16"/>
      <color rgb="FF0000FF"/>
      <name val="Calibri"/>
      <family val="2"/>
    </font>
    <font>
      <b/>
      <sz val="16"/>
      <color rgb="FF434343"/>
      <name val="Calibri"/>
      <family val="2"/>
    </font>
    <font>
      <b/>
      <u/>
      <sz val="16"/>
      <color rgb="FF0B5394"/>
      <name val="Calibri"/>
      <family val="2"/>
    </font>
    <font>
      <sz val="16"/>
      <color theme="1"/>
      <name val="Calibri"/>
      <family val="2"/>
    </font>
    <font>
      <b/>
      <sz val="16"/>
      <color theme="1"/>
      <name val="Calibri"/>
      <family val="2"/>
    </font>
    <font>
      <sz val="14"/>
      <color rgb="FF000000"/>
      <name val="Calibri"/>
      <family val="2"/>
    </font>
    <font>
      <sz val="14"/>
      <color rgb="FF434343"/>
      <name val="Calibri"/>
      <family val="2"/>
    </font>
    <font>
      <b/>
      <sz val="14"/>
      <color rgb="FF434343"/>
      <name val="Calibri"/>
      <family val="2"/>
    </font>
    <font>
      <sz val="14"/>
      <color theme="1"/>
      <name val="Calibri"/>
      <family val="2"/>
    </font>
    <font>
      <b/>
      <sz val="14"/>
      <color theme="1"/>
      <name val="Calibri"/>
      <family val="2"/>
    </font>
    <font>
      <b/>
      <i/>
      <sz val="14"/>
      <color rgb="FFFFFFFF"/>
      <name val="Calibri"/>
      <family val="2"/>
    </font>
    <font>
      <sz val="14"/>
      <color rgb="FF000000"/>
      <name val="Arial"/>
      <family val="2"/>
      <scheme val="minor"/>
    </font>
    <font>
      <sz val="14"/>
      <color rgb="FFFFFFFF"/>
      <name val="Calibri"/>
      <family val="2"/>
    </font>
    <font>
      <i/>
      <sz val="14"/>
      <color rgb="FFFFFFFF"/>
      <name val="Calibri"/>
      <family val="2"/>
    </font>
    <font>
      <i/>
      <sz val="14"/>
      <color rgb="FF434343"/>
      <name val="Calibri"/>
      <family val="2"/>
    </font>
    <font>
      <sz val="14"/>
      <color rgb="FF0B5394"/>
      <name val="Calibri"/>
      <family val="2"/>
    </font>
    <font>
      <sz val="14"/>
      <color rgb="FF1155CC"/>
      <name val="Calibri"/>
      <family val="2"/>
    </font>
    <font>
      <sz val="14"/>
      <color rgb="FFFF9900"/>
      <name val="Calibri"/>
      <family val="2"/>
    </font>
    <font>
      <b/>
      <i/>
      <u/>
      <sz val="14"/>
      <color rgb="FF434343"/>
      <name val="Calibri"/>
      <family val="2"/>
    </font>
    <font>
      <i/>
      <sz val="14"/>
      <color theme="1"/>
      <name val="Calibri"/>
      <family val="2"/>
    </font>
    <font>
      <b/>
      <i/>
      <sz val="14"/>
      <color rgb="FF434343"/>
      <name val="Calibri"/>
      <family val="2"/>
    </font>
    <font>
      <b/>
      <sz val="14"/>
      <color rgb="FF45818E"/>
      <name val="Calibri"/>
      <family val="2"/>
    </font>
    <font>
      <sz val="16"/>
      <color rgb="FF000000"/>
      <name val="Arial"/>
      <family val="2"/>
      <scheme val="minor"/>
    </font>
    <font>
      <b/>
      <sz val="20"/>
      <color rgb="FFFFFFFF"/>
      <name val="Calibri"/>
      <family val="2"/>
    </font>
    <font>
      <sz val="20"/>
      <color rgb="FF000000"/>
      <name val="Arial"/>
      <family val="2"/>
      <scheme val="minor"/>
    </font>
    <font>
      <b/>
      <i/>
      <sz val="14"/>
      <color rgb="FF000000"/>
      <name val="Calibri"/>
      <family val="2"/>
    </font>
    <font>
      <sz val="20"/>
      <color rgb="FF000000"/>
      <name val="Calibri"/>
      <family val="2"/>
    </font>
    <font>
      <b/>
      <sz val="22"/>
      <color rgb="FFFFFFFF"/>
      <name val="Calibri"/>
      <family val="2"/>
    </font>
    <font>
      <sz val="22"/>
      <color rgb="FF000000"/>
      <name val="Calibri"/>
      <family val="2"/>
    </font>
    <font>
      <u/>
      <sz val="14"/>
      <color rgb="FF434343"/>
      <name val="Calibri"/>
      <family val="2"/>
    </font>
    <font>
      <i/>
      <u/>
      <sz val="14"/>
      <color theme="1"/>
      <name val="Calibri"/>
      <family val="2"/>
    </font>
    <font>
      <b/>
      <i/>
      <sz val="16"/>
      <color theme="1"/>
      <name val="Calibri"/>
      <family val="2"/>
    </font>
    <font>
      <b/>
      <u/>
      <sz val="16"/>
      <color theme="1"/>
      <name val="Calibri"/>
      <family val="2"/>
    </font>
    <font>
      <sz val="10"/>
      <color rgb="FF000000"/>
      <name val="Arial"/>
      <family val="2"/>
      <scheme val="minor"/>
    </font>
  </fonts>
  <fills count="9">
    <fill>
      <patternFill patternType="none"/>
    </fill>
    <fill>
      <patternFill patternType="gray125"/>
    </fill>
    <fill>
      <patternFill patternType="solid">
        <fgColor rgb="FF45818E"/>
        <bgColor rgb="FF45818E"/>
      </patternFill>
    </fill>
    <fill>
      <patternFill patternType="solid">
        <fgColor rgb="FFD0E0E3"/>
        <bgColor rgb="FFD0E0E3"/>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5">
    <xf numFmtId="0" fontId="0" fillId="0" borderId="0" xfId="0"/>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10" fontId="3" fillId="0" borderId="0" xfId="0" applyNumberFormat="1" applyFont="1"/>
    <xf numFmtId="164" fontId="3" fillId="0" borderId="0" xfId="0" applyNumberFormat="1" applyFont="1"/>
    <xf numFmtId="164" fontId="3" fillId="0" borderId="6" xfId="0" applyNumberFormat="1" applyFont="1" applyBorder="1"/>
    <xf numFmtId="0" fontId="3" fillId="0" borderId="7" xfId="0" applyFont="1" applyBorder="1"/>
    <xf numFmtId="10" fontId="3" fillId="0" borderId="8" xfId="0" applyNumberFormat="1" applyFont="1" applyBorder="1"/>
    <xf numFmtId="164" fontId="3" fillId="0" borderId="8" xfId="0" applyNumberFormat="1" applyFont="1" applyBorder="1"/>
    <xf numFmtId="164" fontId="3" fillId="0" borderId="9" xfId="0" applyNumberFormat="1" applyFont="1" applyBorder="1"/>
    <xf numFmtId="0" fontId="13" fillId="3" borderId="10"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5" fillId="0" borderId="10" xfId="0" applyFont="1" applyBorder="1" applyAlignment="1">
      <alignment vertical="center" wrapText="1"/>
    </xf>
    <xf numFmtId="0" fontId="6" fillId="0" borderId="10" xfId="0" applyFont="1" applyBorder="1" applyAlignment="1">
      <alignment vertical="center" wrapText="1"/>
    </xf>
    <xf numFmtId="0" fontId="15" fillId="5" borderId="10" xfId="0" applyFont="1" applyFill="1" applyBorder="1" applyAlignment="1">
      <alignment horizontal="center" vertical="center" wrapText="1"/>
    </xf>
    <xf numFmtId="0" fontId="15" fillId="0" borderId="10" xfId="0" applyFont="1" applyBorder="1" applyAlignment="1">
      <alignment horizontal="center" vertical="center" wrapText="1"/>
    </xf>
    <xf numFmtId="164" fontId="15" fillId="0" borderId="10" xfId="0" applyNumberFormat="1" applyFont="1" applyBorder="1" applyAlignment="1">
      <alignment horizontal="center" vertical="center" wrapText="1"/>
    </xf>
    <xf numFmtId="0" fontId="2" fillId="2" borderId="10" xfId="0" applyFont="1" applyFill="1" applyBorder="1" applyAlignment="1">
      <alignment horizontal="center" vertical="center" wrapText="1"/>
    </xf>
    <xf numFmtId="0" fontId="20" fillId="0" borderId="10" xfId="0" applyFont="1" applyBorder="1" applyAlignment="1">
      <alignment vertical="center" wrapText="1"/>
    </xf>
    <xf numFmtId="0" fontId="18" fillId="0" borderId="10" xfId="0" applyFont="1" applyBorder="1" applyAlignment="1">
      <alignment vertical="center" wrapText="1"/>
    </xf>
    <xf numFmtId="0" fontId="17" fillId="8" borderId="0" xfId="0" applyFont="1" applyFill="1"/>
    <xf numFmtId="0" fontId="17" fillId="0" borderId="1" xfId="0" applyFont="1" applyBorder="1" applyAlignment="1">
      <alignment horizontal="center" vertical="center"/>
    </xf>
    <xf numFmtId="0" fontId="17" fillId="0" borderId="1" xfId="0" applyFont="1" applyBorder="1"/>
    <xf numFmtId="1" fontId="17" fillId="0" borderId="1" xfId="0" applyNumberFormat="1" applyFont="1" applyBorder="1"/>
    <xf numFmtId="0" fontId="17" fillId="0" borderId="1" xfId="0" applyFont="1" applyBorder="1" applyAlignment="1">
      <alignment vertical="center"/>
    </xf>
    <xf numFmtId="1" fontId="17" fillId="0" borderId="1" xfId="0" applyNumberFormat="1" applyFont="1" applyBorder="1" applyAlignment="1">
      <alignment vertical="center"/>
    </xf>
    <xf numFmtId="0" fontId="22" fillId="2" borderId="10" xfId="0" applyFont="1" applyFill="1" applyBorder="1" applyAlignment="1">
      <alignment horizontal="center" vertical="center"/>
    </xf>
    <xf numFmtId="0" fontId="2" fillId="2" borderId="10" xfId="0" applyFont="1" applyFill="1" applyBorder="1" applyAlignment="1">
      <alignment horizontal="center" vertical="center"/>
    </xf>
    <xf numFmtId="0" fontId="26" fillId="0" borderId="10" xfId="0" applyFont="1" applyBorder="1" applyAlignment="1">
      <alignment horizontal="center" vertical="center"/>
    </xf>
    <xf numFmtId="3" fontId="18" fillId="0" borderId="10" xfId="0" applyNumberFormat="1" applyFont="1" applyBorder="1" applyAlignment="1">
      <alignment horizontal="center" vertical="center"/>
    </xf>
    <xf numFmtId="1" fontId="18" fillId="0" borderId="10" xfId="0" applyNumberFormat="1" applyFont="1" applyBorder="1" applyAlignment="1">
      <alignment horizontal="center" vertical="center"/>
    </xf>
    <xf numFmtId="0" fontId="18" fillId="0" borderId="10" xfId="0" applyFont="1" applyBorder="1" applyAlignment="1">
      <alignment horizontal="center" vertical="center"/>
    </xf>
    <xf numFmtId="3" fontId="18" fillId="4" borderId="10" xfId="0" applyNumberFormat="1" applyFont="1" applyFill="1" applyBorder="1" applyAlignment="1">
      <alignment horizontal="center" vertical="center"/>
    </xf>
    <xf numFmtId="9" fontId="18" fillId="0" borderId="10" xfId="0" applyNumberFormat="1" applyFont="1" applyBorder="1" applyAlignment="1">
      <alignment horizontal="center" vertical="center"/>
    </xf>
    <xf numFmtId="9" fontId="26" fillId="4" borderId="10" xfId="0" applyNumberFormat="1" applyFont="1" applyFill="1" applyBorder="1" applyAlignment="1">
      <alignment horizontal="center" vertical="center"/>
    </xf>
    <xf numFmtId="0" fontId="24" fillId="2" borderId="10" xfId="0" applyFont="1" applyFill="1" applyBorder="1" applyAlignment="1">
      <alignment horizontal="center" vertical="center" wrapText="1"/>
    </xf>
    <xf numFmtId="0" fontId="20" fillId="0" borderId="10" xfId="0" applyFont="1" applyBorder="1" applyAlignment="1">
      <alignment vertical="center"/>
    </xf>
    <xf numFmtId="0" fontId="23" fillId="8" borderId="0" xfId="0" applyFont="1" applyFill="1"/>
    <xf numFmtId="0" fontId="20" fillId="7" borderId="0" xfId="0" applyFont="1" applyFill="1"/>
    <xf numFmtId="0" fontId="23" fillId="7" borderId="0" xfId="0" applyFont="1" applyFill="1"/>
    <xf numFmtId="0" fontId="27" fillId="4" borderId="10" xfId="0" applyFont="1" applyFill="1" applyBorder="1" applyAlignment="1">
      <alignment horizontal="center" vertical="center" wrapText="1"/>
    </xf>
    <xf numFmtId="164" fontId="27" fillId="4" borderId="10" xfId="0" applyNumberFormat="1" applyFont="1" applyFill="1" applyBorder="1" applyAlignment="1">
      <alignment horizontal="center" vertical="center" wrapText="1"/>
    </xf>
    <xf numFmtId="0" fontId="29" fillId="4" borderId="10" xfId="0" applyFont="1" applyFill="1" applyBorder="1" applyAlignment="1">
      <alignment horizontal="center" vertical="center" wrapText="1"/>
    </xf>
    <xf numFmtId="164" fontId="29" fillId="4" borderId="10" xfId="0" applyNumberFormat="1" applyFont="1" applyFill="1" applyBorder="1" applyAlignment="1">
      <alignment horizontal="center" vertical="center" wrapText="1"/>
    </xf>
    <xf numFmtId="0" fontId="28" fillId="4" borderId="10" xfId="0" applyFont="1" applyFill="1" applyBorder="1" applyAlignment="1">
      <alignment horizontal="center" vertical="center" wrapText="1"/>
    </xf>
    <xf numFmtId="164" fontId="28" fillId="4" borderId="10" xfId="0" applyNumberFormat="1" applyFont="1" applyFill="1" applyBorder="1" applyAlignment="1">
      <alignment horizontal="center" vertical="center" wrapText="1"/>
    </xf>
    <xf numFmtId="0" fontId="0" fillId="8" borderId="0" xfId="0" applyFill="1"/>
    <xf numFmtId="164" fontId="20" fillId="7" borderId="0" xfId="0" applyNumberFormat="1" applyFont="1" applyFill="1" applyAlignment="1">
      <alignment vertical="center"/>
    </xf>
    <xf numFmtId="164" fontId="33" fillId="4" borderId="0" xfId="0" applyNumberFormat="1" applyFont="1" applyFill="1" applyAlignment="1">
      <alignment horizontal="center" vertical="center"/>
    </xf>
    <xf numFmtId="164" fontId="2" fillId="2" borderId="10" xfId="0" applyNumberFormat="1" applyFont="1" applyFill="1" applyBorder="1" applyAlignment="1">
      <alignment horizontal="center" vertical="center"/>
    </xf>
    <xf numFmtId="164" fontId="2" fillId="2" borderId="10" xfId="0" applyNumberFormat="1" applyFont="1" applyFill="1" applyBorder="1" applyAlignment="1">
      <alignment horizontal="left" vertical="center"/>
    </xf>
    <xf numFmtId="164" fontId="19" fillId="3" borderId="10" xfId="0" applyNumberFormat="1" applyFont="1" applyFill="1" applyBorder="1" applyAlignment="1">
      <alignment horizontal="left" vertical="center"/>
    </xf>
    <xf numFmtId="164" fontId="19" fillId="3" borderId="10" xfId="0" applyNumberFormat="1" applyFont="1" applyFill="1" applyBorder="1" applyAlignment="1">
      <alignment horizontal="center" vertical="center"/>
    </xf>
    <xf numFmtId="164" fontId="32" fillId="4" borderId="10" xfId="0" applyNumberFormat="1" applyFont="1" applyFill="1" applyBorder="1" applyAlignment="1">
      <alignment horizontal="left" vertical="center"/>
    </xf>
    <xf numFmtId="164" fontId="18" fillId="4" borderId="10" xfId="0" applyNumberFormat="1" applyFont="1" applyFill="1" applyBorder="1" applyAlignment="1">
      <alignment horizontal="center" vertical="center"/>
    </xf>
    <xf numFmtId="164" fontId="18" fillId="0" borderId="10" xfId="0" applyNumberFormat="1" applyFont="1" applyBorder="1" applyAlignment="1">
      <alignment horizontal="left" vertical="center"/>
    </xf>
    <xf numFmtId="164" fontId="18" fillId="0" borderId="10" xfId="0" applyNumberFormat="1" applyFont="1" applyBorder="1" applyAlignment="1">
      <alignment horizontal="center" vertical="center"/>
    </xf>
    <xf numFmtId="164" fontId="19" fillId="4" borderId="10" xfId="0" applyNumberFormat="1" applyFont="1" applyFill="1" applyBorder="1" applyAlignment="1">
      <alignment horizontal="left" vertical="center"/>
    </xf>
    <xf numFmtId="164" fontId="19" fillId="4" borderId="10" xfId="0" applyNumberFormat="1" applyFont="1" applyFill="1" applyBorder="1" applyAlignment="1">
      <alignment horizontal="center" vertical="center"/>
    </xf>
    <xf numFmtId="164" fontId="32" fillId="4" borderId="10" xfId="0" applyNumberFormat="1" applyFont="1" applyFill="1" applyBorder="1" applyAlignment="1">
      <alignment horizontal="right" vertical="center"/>
    </xf>
    <xf numFmtId="0" fontId="20" fillId="7" borderId="0" xfId="0" applyFont="1" applyFill="1" applyAlignment="1">
      <alignment vertical="center"/>
    </xf>
    <xf numFmtId="164" fontId="22" fillId="2" borderId="10" xfId="0" applyNumberFormat="1" applyFont="1" applyFill="1" applyBorder="1" applyAlignment="1">
      <alignment horizontal="center" vertical="center"/>
    </xf>
    <xf numFmtId="165" fontId="18" fillId="0" borderId="10" xfId="0" applyNumberFormat="1" applyFont="1" applyBorder="1" applyAlignment="1">
      <alignment horizontal="left"/>
    </xf>
    <xf numFmtId="164" fontId="2" fillId="4" borderId="0" xfId="0" applyNumberFormat="1" applyFont="1" applyFill="1" applyAlignment="1">
      <alignment horizontal="left" vertical="center" wrapText="1"/>
    </xf>
    <xf numFmtId="3" fontId="2" fillId="4" borderId="0" xfId="0" applyNumberFormat="1" applyFont="1" applyFill="1" applyAlignment="1">
      <alignment horizontal="center" vertical="center"/>
    </xf>
    <xf numFmtId="164" fontId="22" fillId="2" borderId="10" xfId="0" applyNumberFormat="1" applyFont="1" applyFill="1" applyBorder="1" applyAlignment="1">
      <alignment horizontal="left" vertical="center" wrapText="1"/>
    </xf>
    <xf numFmtId="164" fontId="18" fillId="0" borderId="10" xfId="0" applyNumberFormat="1" applyFont="1" applyBorder="1" applyAlignment="1">
      <alignment horizontal="left" vertical="center" wrapText="1"/>
    </xf>
    <xf numFmtId="164" fontId="26" fillId="0" borderId="10" xfId="0" applyNumberFormat="1" applyFont="1" applyBorder="1" applyAlignment="1">
      <alignment horizontal="center" vertical="center"/>
    </xf>
    <xf numFmtId="164" fontId="32" fillId="4" borderId="10" xfId="0" applyNumberFormat="1" applyFont="1" applyFill="1" applyBorder="1" applyAlignment="1">
      <alignment horizontal="left" vertical="center" wrapText="1"/>
    </xf>
    <xf numFmtId="164" fontId="32" fillId="4" borderId="10" xfId="0" applyNumberFormat="1" applyFont="1" applyFill="1" applyBorder="1" applyAlignment="1">
      <alignment horizontal="center" vertical="center"/>
    </xf>
    <xf numFmtId="164" fontId="19" fillId="3" borderId="10" xfId="0" applyNumberFormat="1" applyFont="1" applyFill="1" applyBorder="1" applyAlignment="1">
      <alignment horizontal="left" vertical="center" wrapText="1"/>
    </xf>
    <xf numFmtId="164" fontId="32" fillId="3" borderId="10" xfId="0" applyNumberFormat="1" applyFont="1" applyFill="1" applyBorder="1" applyAlignment="1">
      <alignment horizontal="center" vertical="center"/>
    </xf>
    <xf numFmtId="164" fontId="32" fillId="0" borderId="10" xfId="0" applyNumberFormat="1" applyFont="1" applyBorder="1" applyAlignment="1">
      <alignment horizontal="left" vertical="center" wrapText="1"/>
    </xf>
    <xf numFmtId="164" fontId="26" fillId="4" borderId="10" xfId="0" applyNumberFormat="1" applyFont="1" applyFill="1" applyBorder="1" applyAlignment="1">
      <alignment horizontal="center" vertical="center"/>
    </xf>
    <xf numFmtId="164" fontId="26" fillId="0" borderId="10" xfId="0" applyNumberFormat="1" applyFont="1" applyBorder="1" applyAlignment="1">
      <alignment horizontal="left" vertical="center" wrapText="1"/>
    </xf>
    <xf numFmtId="164" fontId="24" fillId="2" borderId="10" xfId="0" applyNumberFormat="1" applyFont="1" applyFill="1" applyBorder="1" applyAlignment="1">
      <alignment horizontal="center" vertical="center" wrapText="1"/>
    </xf>
    <xf numFmtId="3" fontId="24" fillId="2" borderId="10" xfId="0" applyNumberFormat="1" applyFont="1" applyFill="1" applyBorder="1" applyAlignment="1">
      <alignment horizontal="center" vertical="center"/>
    </xf>
    <xf numFmtId="164" fontId="22" fillId="2" borderId="10" xfId="0" applyNumberFormat="1" applyFont="1" applyFill="1" applyBorder="1" applyAlignment="1">
      <alignment horizontal="left" vertical="center"/>
    </xf>
    <xf numFmtId="164" fontId="20" fillId="7" borderId="0" xfId="0" applyNumberFormat="1" applyFont="1" applyFill="1"/>
    <xf numFmtId="0" fontId="17" fillId="7" borderId="0" xfId="0" applyFont="1" applyFill="1"/>
    <xf numFmtId="0" fontId="23" fillId="8" borderId="0" xfId="0" applyFont="1" applyFill="1" applyAlignment="1">
      <alignment vertical="center"/>
    </xf>
    <xf numFmtId="165" fontId="18" fillId="0" borderId="10" xfId="0" applyNumberFormat="1" applyFont="1" applyBorder="1" applyAlignment="1">
      <alignment horizontal="left" vertical="center"/>
    </xf>
    <xf numFmtId="0" fontId="17" fillId="8" borderId="0" xfId="0" applyFont="1" applyFill="1" applyAlignment="1">
      <alignment vertical="center"/>
    </xf>
    <xf numFmtId="0" fontId="17" fillId="7" borderId="0" xfId="0" applyFont="1" applyFill="1" applyAlignment="1">
      <alignment vertical="center"/>
    </xf>
    <xf numFmtId="164" fontId="18" fillId="0" borderId="10" xfId="0" applyNumberFormat="1" applyFont="1" applyBorder="1" applyAlignment="1">
      <alignment vertical="center"/>
    </xf>
    <xf numFmtId="164" fontId="26" fillId="0" borderId="10" xfId="0" applyNumberFormat="1" applyFont="1" applyBorder="1" applyAlignment="1">
      <alignment vertical="center"/>
    </xf>
    <xf numFmtId="164" fontId="41" fillId="0" borderId="10" xfId="0" applyNumberFormat="1" applyFont="1" applyBorder="1" applyAlignment="1">
      <alignment vertical="center"/>
    </xf>
    <xf numFmtId="164" fontId="32" fillId="0" borderId="10" xfId="0" applyNumberFormat="1" applyFont="1" applyBorder="1" applyAlignment="1">
      <alignment vertical="center"/>
    </xf>
    <xf numFmtId="164" fontId="19" fillId="0" borderId="10" xfId="0" applyNumberFormat="1" applyFont="1" applyBorder="1" applyAlignment="1">
      <alignment horizontal="center" vertical="center"/>
    </xf>
    <xf numFmtId="0" fontId="17" fillId="8" borderId="0" xfId="0" applyFont="1" applyFill="1" applyAlignment="1">
      <alignment wrapText="1"/>
    </xf>
    <xf numFmtId="3" fontId="18" fillId="5" borderId="10" xfId="0" applyNumberFormat="1" applyFont="1" applyFill="1" applyBorder="1" applyAlignment="1" applyProtection="1">
      <alignment horizontal="center" vertical="center"/>
      <protection locked="0"/>
    </xf>
    <xf numFmtId="9" fontId="20" fillId="5" borderId="10" xfId="0" applyNumberFormat="1" applyFont="1" applyFill="1" applyBorder="1" applyAlignment="1" applyProtection="1">
      <alignment horizontal="center" vertical="center"/>
      <protection locked="0"/>
    </xf>
    <xf numFmtId="9" fontId="26" fillId="5" borderId="10" xfId="0" applyNumberFormat="1" applyFont="1" applyFill="1" applyBorder="1" applyAlignment="1" applyProtection="1">
      <alignment horizontal="center" vertical="center"/>
      <protection locked="0"/>
    </xf>
    <xf numFmtId="0" fontId="26" fillId="5" borderId="10" xfId="0" applyFont="1" applyFill="1" applyBorder="1" applyAlignment="1" applyProtection="1">
      <alignment horizontal="center" vertical="center"/>
      <protection locked="0"/>
    </xf>
    <xf numFmtId="3" fontId="26" fillId="5" borderId="10" xfId="0" applyNumberFormat="1" applyFont="1" applyFill="1" applyBorder="1" applyAlignment="1" applyProtection="1">
      <alignment horizontal="center" vertical="center"/>
      <protection locked="0"/>
    </xf>
    <xf numFmtId="3" fontId="26" fillId="6" borderId="10" xfId="0" applyNumberFormat="1" applyFont="1" applyFill="1" applyBorder="1" applyAlignment="1" applyProtection="1">
      <alignment horizontal="center" vertical="center"/>
      <protection locked="0"/>
    </xf>
    <xf numFmtId="0" fontId="15" fillId="0" borderId="10" xfId="0" applyFont="1" applyBorder="1" applyAlignment="1">
      <alignment horizontal="left" vertical="center" wrapText="1"/>
    </xf>
    <xf numFmtId="0" fontId="4" fillId="0" borderId="10" xfId="0" applyFont="1" applyBorder="1"/>
    <xf numFmtId="0" fontId="39" fillId="2" borderId="10" xfId="0" applyFont="1" applyFill="1" applyBorder="1" applyAlignment="1">
      <alignment horizontal="center" vertical="center" wrapText="1"/>
    </xf>
    <xf numFmtId="0" fontId="40" fillId="0" borderId="10" xfId="0" applyFont="1" applyBorder="1"/>
    <xf numFmtId="0" fontId="5" fillId="0" borderId="10" xfId="0" applyFont="1" applyBorder="1" applyAlignment="1">
      <alignment horizontal="left" vertical="center" wrapText="1"/>
    </xf>
    <xf numFmtId="0" fontId="20" fillId="0" borderId="10" xfId="0" applyFont="1" applyBorder="1" applyAlignment="1">
      <alignment vertical="center" wrapText="1"/>
    </xf>
    <xf numFmtId="0" fontId="17" fillId="0" borderId="10" xfId="0" applyFont="1" applyBorder="1"/>
    <xf numFmtId="0" fontId="6" fillId="0" borderId="10" xfId="0" applyFont="1" applyBorder="1" applyAlignment="1">
      <alignment horizontal="left" vertical="center" wrapText="1"/>
    </xf>
    <xf numFmtId="0" fontId="21" fillId="0" borderId="10" xfId="0" applyFont="1" applyBorder="1" applyAlignment="1">
      <alignment horizontal="center" vertical="center" wrapText="1"/>
    </xf>
    <xf numFmtId="0" fontId="13" fillId="3" borderId="10" xfId="0" applyFont="1" applyFill="1" applyBorder="1" applyAlignment="1">
      <alignment horizontal="center" vertical="center" wrapText="1"/>
    </xf>
    <xf numFmtId="0" fontId="20" fillId="0" borderId="0" xfId="0" applyFont="1" applyAlignment="1">
      <alignment vertical="center"/>
    </xf>
    <xf numFmtId="0" fontId="23" fillId="0" borderId="0" xfId="0" applyFont="1"/>
    <xf numFmtId="0" fontId="26" fillId="4" borderId="10"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26" fillId="0" borderId="13"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 fillId="2" borderId="10" xfId="0" applyFont="1" applyFill="1" applyBorder="1" applyAlignment="1">
      <alignment horizontal="center" vertical="center" wrapText="1"/>
    </xf>
    <xf numFmtId="0" fontId="23" fillId="0" borderId="10" xfId="0" applyFont="1" applyBorder="1"/>
    <xf numFmtId="0" fontId="22" fillId="2" borderId="10" xfId="0" applyFont="1" applyFill="1" applyBorder="1" applyAlignment="1">
      <alignment vertical="center" wrapText="1"/>
    </xf>
    <xf numFmtId="0" fontId="24" fillId="2" borderId="10" xfId="0" applyFont="1" applyFill="1" applyBorder="1" applyAlignment="1">
      <alignment horizontal="center" vertical="center" wrapText="1"/>
    </xf>
    <xf numFmtId="0" fontId="18" fillId="0" borderId="10" xfId="0" applyFont="1" applyBorder="1" applyAlignment="1">
      <alignment vertical="center" wrapText="1"/>
    </xf>
    <xf numFmtId="0" fontId="30" fillId="4" borderId="10" xfId="0" applyFont="1" applyFill="1" applyBorder="1" applyAlignment="1">
      <alignment vertical="center" wrapText="1"/>
    </xf>
    <xf numFmtId="0" fontId="20" fillId="7" borderId="0" xfId="0" applyFont="1" applyFill="1"/>
    <xf numFmtId="0" fontId="23" fillId="7" borderId="0" xfId="0" applyFont="1" applyFill="1"/>
    <xf numFmtId="0" fontId="20" fillId="0" borderId="10" xfId="0" applyFont="1" applyBorder="1"/>
    <xf numFmtId="0" fontId="2" fillId="2" borderId="0" xfId="0" applyFont="1" applyFill="1" applyAlignment="1">
      <alignment horizontal="center" vertical="center" wrapText="1"/>
    </xf>
    <xf numFmtId="0" fontId="20" fillId="0" borderId="10" xfId="0" applyFont="1" applyBorder="1" applyAlignment="1">
      <alignment vertical="center"/>
    </xf>
    <xf numFmtId="164" fontId="35" fillId="2" borderId="10" xfId="0" applyNumberFormat="1" applyFont="1" applyFill="1" applyBorder="1" applyAlignment="1">
      <alignment horizontal="center" vertical="center"/>
    </xf>
    <xf numFmtId="0" fontId="36" fillId="0" borderId="10" xfId="0" applyFont="1" applyBorder="1"/>
    <xf numFmtId="164" fontId="32" fillId="4" borderId="10" xfId="0" applyNumberFormat="1" applyFont="1" applyFill="1" applyBorder="1" applyAlignment="1">
      <alignment horizontal="left" vertical="center"/>
    </xf>
    <xf numFmtId="164" fontId="2" fillId="4" borderId="13" xfId="0" applyNumberFormat="1" applyFont="1" applyFill="1" applyBorder="1" applyAlignment="1">
      <alignment horizontal="center" vertical="center"/>
    </xf>
    <xf numFmtId="164" fontId="2" fillId="4" borderId="14" xfId="0" applyNumberFormat="1" applyFont="1" applyFill="1" applyBorder="1" applyAlignment="1">
      <alignment horizontal="center" vertical="center"/>
    </xf>
    <xf numFmtId="164" fontId="2" fillId="4" borderId="15" xfId="0" applyNumberFormat="1" applyFont="1" applyFill="1" applyBorder="1" applyAlignment="1">
      <alignment horizontal="center" vertical="center"/>
    </xf>
    <xf numFmtId="164" fontId="20" fillId="7" borderId="0" xfId="0" applyNumberFormat="1" applyFont="1" applyFill="1" applyAlignment="1">
      <alignment horizontal="left" vertical="center"/>
    </xf>
    <xf numFmtId="164" fontId="33" fillId="4" borderId="0" xfId="0" applyNumberFormat="1" applyFont="1" applyFill="1" applyAlignment="1">
      <alignment horizontal="left" vertical="center"/>
    </xf>
    <xf numFmtId="164" fontId="20" fillId="0" borderId="0" xfId="0" applyNumberFormat="1" applyFont="1"/>
    <xf numFmtId="164" fontId="2" fillId="4" borderId="0" xfId="0" applyNumberFormat="1" applyFont="1" applyFill="1" applyAlignment="1">
      <alignment horizontal="left" vertical="center"/>
    </xf>
    <xf numFmtId="164" fontId="37" fillId="0" borderId="10" xfId="0" applyNumberFormat="1" applyFont="1" applyBorder="1" applyAlignment="1">
      <alignment horizontal="left" vertical="center"/>
    </xf>
    <xf numFmtId="0" fontId="23" fillId="0" borderId="10" xfId="0" applyFont="1" applyBorder="1" applyAlignment="1">
      <alignment vertical="center"/>
    </xf>
    <xf numFmtId="164" fontId="20" fillId="0" borderId="0" xfId="0" applyNumberFormat="1" applyFont="1" applyAlignment="1">
      <alignment horizontal="left"/>
    </xf>
    <xf numFmtId="164" fontId="20" fillId="0" borderId="0" xfId="0" applyNumberFormat="1" applyFont="1" applyAlignment="1">
      <alignment vertical="center"/>
    </xf>
    <xf numFmtId="0" fontId="17" fillId="0" borderId="0" xfId="0" applyFont="1"/>
    <xf numFmtId="164" fontId="32" fillId="0" borderId="10" xfId="0" applyNumberFormat="1" applyFont="1" applyBorder="1" applyAlignment="1">
      <alignment horizontal="center" vertical="center"/>
    </xf>
    <xf numFmtId="164" fontId="20" fillId="0" borderId="0" xfId="0" applyNumberFormat="1" applyFont="1" applyAlignment="1">
      <alignment horizontal="left" vertical="center" wrapText="1"/>
    </xf>
    <xf numFmtId="164" fontId="35" fillId="2" borderId="10" xfId="0" applyNumberFormat="1" applyFont="1" applyFill="1" applyBorder="1" applyAlignment="1">
      <alignment horizontal="center" vertical="center" wrapText="1"/>
    </xf>
    <xf numFmtId="0" fontId="38" fillId="0" borderId="10" xfId="0" applyFont="1" applyBorder="1"/>
    <xf numFmtId="164" fontId="20" fillId="0" borderId="10" xfId="0" applyNumberFormat="1" applyFont="1" applyBorder="1" applyAlignment="1">
      <alignment horizontal="left" vertical="center" wrapText="1"/>
    </xf>
    <xf numFmtId="0" fontId="17" fillId="0" borderId="0" xfId="0" applyFont="1" applyAlignment="1">
      <alignment vertical="center"/>
    </xf>
    <xf numFmtId="0" fontId="38" fillId="0" borderId="10" xfId="0" applyFont="1" applyBorder="1" applyAlignment="1">
      <alignment vertical="center"/>
    </xf>
    <xf numFmtId="164" fontId="2" fillId="4" borderId="0" xfId="0" applyNumberFormat="1" applyFont="1" applyFill="1" applyAlignment="1">
      <alignment horizontal="center" vertical="center"/>
    </xf>
    <xf numFmtId="164" fontId="32" fillId="4" borderId="10" xfId="0" applyNumberFormat="1" applyFont="1" applyFill="1" applyBorder="1" applyAlignment="1">
      <alignment vertical="center"/>
    </xf>
    <xf numFmtId="0" fontId="17" fillId="0" borderId="10" xfId="0" applyFont="1" applyBorder="1" applyAlignment="1">
      <alignment vertical="center"/>
    </xf>
    <xf numFmtId="164" fontId="32" fillId="4" borderId="10" xfId="0" applyNumberFormat="1" applyFont="1" applyFill="1" applyBorder="1" applyAlignment="1">
      <alignment horizontal="right" vertical="center"/>
    </xf>
    <xf numFmtId="164" fontId="42" fillId="0" borderId="0" xfId="0" applyNumberFormat="1" applyFont="1" applyAlignment="1">
      <alignment vertical="center"/>
    </xf>
    <xf numFmtId="164" fontId="42" fillId="0" borderId="10" xfId="0" applyNumberFormat="1" applyFont="1" applyBorder="1" applyAlignment="1">
      <alignment vertical="center"/>
    </xf>
    <xf numFmtId="164" fontId="19" fillId="3" borderId="10" xfId="0" applyNumberFormat="1" applyFont="1" applyFill="1" applyBorder="1" applyAlignment="1">
      <alignment vertical="center"/>
    </xf>
    <xf numFmtId="164" fontId="2" fillId="2" borderId="10" xfId="0" applyNumberFormat="1" applyFont="1" applyFill="1" applyBorder="1" applyAlignment="1">
      <alignment horizontal="center" vertical="center"/>
    </xf>
    <xf numFmtId="164" fontId="32" fillId="4" borderId="13" xfId="0" applyNumberFormat="1" applyFont="1" applyFill="1" applyBorder="1" applyAlignment="1">
      <alignment vertical="center"/>
    </xf>
    <xf numFmtId="164" fontId="32" fillId="4" borderId="14" xfId="0" applyNumberFormat="1" applyFont="1" applyFill="1" applyBorder="1" applyAlignment="1">
      <alignment vertical="center"/>
    </xf>
    <xf numFmtId="164" fontId="32" fillId="4" borderId="15" xfId="0" applyNumberFormat="1" applyFont="1" applyFill="1" applyBorder="1" applyAlignment="1">
      <alignment vertical="center"/>
    </xf>
    <xf numFmtId="0" fontId="1" fillId="0" borderId="0" xfId="0" applyFont="1"/>
    <xf numFmtId="0" fontId="0" fillId="0" borderId="0" xfId="0"/>
    <xf numFmtId="0" fontId="1" fillId="0" borderId="0" xfId="0" applyFont="1" applyAlignment="1">
      <alignment horizontal="left" vertical="top"/>
    </xf>
    <xf numFmtId="0" fontId="15" fillId="0" borderId="10" xfId="0" applyFont="1" applyBorder="1" applyAlignment="1">
      <alignment horizontal="left" vertical="top" wrapText="1"/>
    </xf>
    <xf numFmtId="0" fontId="34" fillId="0" borderId="10" xfId="0" applyFont="1" applyBorder="1"/>
  </cellXfs>
  <cellStyles count="1">
    <cellStyle name="Normal" xfId="0" builtinId="0"/>
  </cellStyles>
  <dxfs count="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solid">
          <fgColor rgb="FFFFFFFF"/>
          <bgColor rgb="FFFFFFFF"/>
        </patternFill>
      </fill>
    </dxf>
    <dxf>
      <font>
        <color rgb="FFFF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Calibri" panose="020F0502020204030204" pitchFamily="34" charset="0"/>
                <a:ea typeface="+mn-ea"/>
                <a:cs typeface="Calibri" panose="020F0502020204030204" pitchFamily="34" charset="0"/>
              </a:defRPr>
            </a:pPr>
            <a:r>
              <a:rPr lang="en-IE" b="1">
                <a:latin typeface="Calibri" panose="020F0502020204030204" pitchFamily="34" charset="0"/>
                <a:cs typeface="Calibri" panose="020F0502020204030204" pitchFamily="34" charset="0"/>
              </a:rPr>
              <a:t>Impact of Volume and Price Changes on Revenue</a:t>
            </a:r>
          </a:p>
        </c:rich>
      </c:tx>
      <c:overlay val="0"/>
      <c:spPr>
        <a:noFill/>
        <a:ln>
          <a:noFill/>
        </a:ln>
        <a:effectLst/>
      </c:spPr>
    </c:title>
    <c:autoTitleDeleted val="0"/>
    <c:plotArea>
      <c:layout>
        <c:manualLayout>
          <c:layoutTarget val="inner"/>
          <c:xMode val="edge"/>
          <c:yMode val="edge"/>
          <c:x val="0.15370526891309899"/>
          <c:y val="0.19062283737024222"/>
          <c:w val="0.82125204468963287"/>
          <c:h val="0.65169713647385774"/>
        </c:manualLayout>
      </c:layout>
      <c:lineChart>
        <c:grouping val="standard"/>
        <c:varyColors val="1"/>
        <c:ser>
          <c:idx val="0"/>
          <c:order val="0"/>
          <c:tx>
            <c:strRef>
              <c:f>'Assumptions &amp; Analysis'!$L$4</c:f>
              <c:strCache>
                <c:ptCount val="1"/>
                <c:pt idx="0">
                  <c:v>Base</c:v>
                </c:pt>
              </c:strCache>
            </c:strRef>
          </c:tx>
          <c:spPr>
            <a:ln w="22225" cap="rnd" cmpd="sng" algn="ctr">
              <a:solidFill>
                <a:schemeClr val="accent1"/>
              </a:solidFill>
              <a:round/>
            </a:ln>
            <a:effectLst/>
          </c:spPr>
          <c:marker>
            <c:symbol val="none"/>
          </c:marker>
          <c:dLbls>
            <c:delete val="1"/>
          </c:dLbls>
          <c:cat>
            <c:strRef>
              <c:f>'Assumptions &amp; Analysis'!$M$3:$Q$3</c:f>
              <c:strCache>
                <c:ptCount val="5"/>
                <c:pt idx="0">
                  <c:v>Year 1</c:v>
                </c:pt>
                <c:pt idx="1">
                  <c:v>Year 2</c:v>
                </c:pt>
                <c:pt idx="2">
                  <c:v>Year 3</c:v>
                </c:pt>
                <c:pt idx="3">
                  <c:v>Year 4</c:v>
                </c:pt>
                <c:pt idx="4">
                  <c:v>Year 5</c:v>
                </c:pt>
              </c:strCache>
            </c:strRef>
          </c:cat>
          <c:val>
            <c:numRef>
              <c:f>'Assumptions &amp; Analysis'!$M$4:$Q$4</c:f>
              <c:numCache>
                <c:formatCode>#,##0;\(#,##0\)</c:formatCode>
                <c:ptCount val="5"/>
                <c:pt idx="0">
                  <c:v>180000</c:v>
                </c:pt>
                <c:pt idx="1">
                  <c:v>190800</c:v>
                </c:pt>
                <c:pt idx="2">
                  <c:v>269664</c:v>
                </c:pt>
                <c:pt idx="3">
                  <c:v>285843.84000000003</c:v>
                </c:pt>
                <c:pt idx="4">
                  <c:v>302994.47040000005</c:v>
                </c:pt>
              </c:numCache>
            </c:numRef>
          </c:val>
          <c:smooth val="0"/>
          <c:extLst>
            <c:ext xmlns:c16="http://schemas.microsoft.com/office/drawing/2014/chart" uri="{C3380CC4-5D6E-409C-BE32-E72D297353CC}">
              <c16:uniqueId val="{00000000-30FD-8B45-8FEA-93975080F56A}"/>
            </c:ext>
          </c:extLst>
        </c:ser>
        <c:ser>
          <c:idx val="1"/>
          <c:order val="1"/>
          <c:tx>
            <c:strRef>
              <c:f>'Assumptions &amp; Analysis'!$L$5</c:f>
              <c:strCache>
                <c:ptCount val="1"/>
                <c:pt idx="0">
                  <c:v>Updated</c:v>
                </c:pt>
              </c:strCache>
            </c:strRef>
          </c:tx>
          <c:spPr>
            <a:ln w="22225" cap="rnd" cmpd="sng" algn="ctr">
              <a:solidFill>
                <a:schemeClr val="accent5"/>
              </a:solidFill>
              <a:round/>
            </a:ln>
            <a:effectLst/>
          </c:spPr>
          <c:marker>
            <c:symbol val="none"/>
          </c:marker>
          <c:dLbls>
            <c:delete val="1"/>
          </c:dLbls>
          <c:cat>
            <c:strRef>
              <c:f>'Assumptions &amp; Analysis'!$M$3:$Q$3</c:f>
              <c:strCache>
                <c:ptCount val="5"/>
                <c:pt idx="0">
                  <c:v>Year 1</c:v>
                </c:pt>
                <c:pt idx="1">
                  <c:v>Year 2</c:v>
                </c:pt>
                <c:pt idx="2">
                  <c:v>Year 3</c:v>
                </c:pt>
                <c:pt idx="3">
                  <c:v>Year 4</c:v>
                </c:pt>
                <c:pt idx="4">
                  <c:v>Year 5</c:v>
                </c:pt>
              </c:strCache>
            </c:strRef>
          </c:cat>
          <c:val>
            <c:numRef>
              <c:f>'Assumptions &amp; Analysis'!$M$5:$Q$5</c:f>
              <c:numCache>
                <c:formatCode>#,##0;\(#,##0\)</c:formatCode>
                <c:ptCount val="5"/>
                <c:pt idx="0">
                  <c:v>203940</c:v>
                </c:pt>
                <c:pt idx="1">
                  <c:v>216176.4</c:v>
                </c:pt>
                <c:pt idx="2">
                  <c:v>305529.31200000003</c:v>
                </c:pt>
                <c:pt idx="3">
                  <c:v>323861.07072000002</c:v>
                </c:pt>
                <c:pt idx="4">
                  <c:v>343292.73496320006</c:v>
                </c:pt>
              </c:numCache>
            </c:numRef>
          </c:val>
          <c:smooth val="0"/>
          <c:extLst>
            <c:ext xmlns:c16="http://schemas.microsoft.com/office/drawing/2014/chart" uri="{C3380CC4-5D6E-409C-BE32-E72D297353CC}">
              <c16:uniqueId val="{00000001-30FD-8B45-8FEA-93975080F56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39683958"/>
        <c:axId val="1113787712"/>
      </c:lineChart>
      <c:catAx>
        <c:axId val="23968395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IE"/>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13787712"/>
        <c:crosses val="autoZero"/>
        <c:auto val="1"/>
        <c:lblAlgn val="ctr"/>
        <c:lblOffset val="100"/>
        <c:noMultiLvlLbl val="1"/>
      </c:catAx>
      <c:valAx>
        <c:axId val="11137877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E"/>
                  <a:t>Revenue (€)</a:t>
                </a: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3968395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Calibri" panose="020F0502020204030204" pitchFamily="34" charset="0"/>
                <a:ea typeface="+mn-ea"/>
                <a:cs typeface="Calibri" panose="020F0502020204030204" pitchFamily="34" charset="0"/>
              </a:defRPr>
            </a:pPr>
            <a:r>
              <a:rPr lang="en-IE" b="1">
                <a:latin typeface="Calibri" panose="020F0502020204030204" pitchFamily="34" charset="0"/>
                <a:cs typeface="Calibri" panose="020F0502020204030204" pitchFamily="34" charset="0"/>
              </a:rPr>
              <a:t>Impact of Variable Costs on Gross Profit</a:t>
            </a:r>
          </a:p>
        </c:rich>
      </c:tx>
      <c:overlay val="0"/>
      <c:spPr>
        <a:noFill/>
        <a:ln>
          <a:noFill/>
        </a:ln>
        <a:effectLst/>
      </c:spPr>
    </c:title>
    <c:autoTitleDeleted val="0"/>
    <c:plotArea>
      <c:layout>
        <c:manualLayout>
          <c:layoutTarget val="inner"/>
          <c:xMode val="edge"/>
          <c:yMode val="edge"/>
          <c:x val="0.15353050453684761"/>
          <c:y val="0.1693103448275862"/>
          <c:w val="0.82145528284234515"/>
          <c:h val="0.65631197393429275"/>
        </c:manualLayout>
      </c:layout>
      <c:lineChart>
        <c:grouping val="standard"/>
        <c:varyColors val="1"/>
        <c:ser>
          <c:idx val="0"/>
          <c:order val="0"/>
          <c:tx>
            <c:strRef>
              <c:f>'Assumptions &amp; Analysis'!$S$4</c:f>
              <c:strCache>
                <c:ptCount val="1"/>
                <c:pt idx="0">
                  <c:v>Base</c:v>
                </c:pt>
              </c:strCache>
            </c:strRef>
          </c:tx>
          <c:spPr>
            <a:ln w="22225" cap="rnd" cmpd="sng" algn="ctr">
              <a:solidFill>
                <a:schemeClr val="accent1"/>
              </a:solidFill>
              <a:round/>
            </a:ln>
            <a:effectLst/>
          </c:spPr>
          <c:marker>
            <c:symbol val="none"/>
          </c:marker>
          <c:cat>
            <c:strRef>
              <c:f>'Assumptions &amp; Analysis'!$T$3:$X$3</c:f>
              <c:strCache>
                <c:ptCount val="5"/>
                <c:pt idx="0">
                  <c:v>Year 1</c:v>
                </c:pt>
                <c:pt idx="1">
                  <c:v>Year 2</c:v>
                </c:pt>
                <c:pt idx="2">
                  <c:v>Year 3</c:v>
                </c:pt>
                <c:pt idx="3">
                  <c:v>Year 4</c:v>
                </c:pt>
                <c:pt idx="4">
                  <c:v>Year 5</c:v>
                </c:pt>
              </c:strCache>
            </c:strRef>
          </c:cat>
          <c:val>
            <c:numRef>
              <c:f>'Assumptions &amp; Analysis'!$T$4:$X$4</c:f>
              <c:numCache>
                <c:formatCode>#,##0;\(#,##0\)</c:formatCode>
                <c:ptCount val="5"/>
                <c:pt idx="0">
                  <c:v>138000</c:v>
                </c:pt>
                <c:pt idx="1">
                  <c:v>146280</c:v>
                </c:pt>
                <c:pt idx="2">
                  <c:v>222472.8</c:v>
                </c:pt>
                <c:pt idx="3">
                  <c:v>235821.16800000001</c:v>
                </c:pt>
                <c:pt idx="4">
                  <c:v>249970.43808000005</c:v>
                </c:pt>
              </c:numCache>
            </c:numRef>
          </c:val>
          <c:smooth val="0"/>
          <c:extLst>
            <c:ext xmlns:c16="http://schemas.microsoft.com/office/drawing/2014/chart" uri="{C3380CC4-5D6E-409C-BE32-E72D297353CC}">
              <c16:uniqueId val="{00000000-4E07-4D47-A39C-81E391A8008F}"/>
            </c:ext>
          </c:extLst>
        </c:ser>
        <c:ser>
          <c:idx val="1"/>
          <c:order val="1"/>
          <c:tx>
            <c:strRef>
              <c:f>'Assumptions &amp; Analysis'!$S$5</c:f>
              <c:strCache>
                <c:ptCount val="1"/>
                <c:pt idx="0">
                  <c:v>Updated</c:v>
                </c:pt>
              </c:strCache>
            </c:strRef>
          </c:tx>
          <c:spPr>
            <a:ln w="22225" cap="rnd" cmpd="sng" algn="ctr">
              <a:solidFill>
                <a:schemeClr val="accent5"/>
              </a:solidFill>
              <a:round/>
            </a:ln>
            <a:effectLst/>
          </c:spPr>
          <c:marker>
            <c:symbol val="none"/>
          </c:marker>
          <c:cat>
            <c:strRef>
              <c:f>'Assumptions &amp; Analysis'!$T$3:$X$3</c:f>
              <c:strCache>
                <c:ptCount val="5"/>
                <c:pt idx="0">
                  <c:v>Year 1</c:v>
                </c:pt>
                <c:pt idx="1">
                  <c:v>Year 2</c:v>
                </c:pt>
                <c:pt idx="2">
                  <c:v>Year 3</c:v>
                </c:pt>
                <c:pt idx="3">
                  <c:v>Year 4</c:v>
                </c:pt>
                <c:pt idx="4">
                  <c:v>Year 5</c:v>
                </c:pt>
              </c:strCache>
            </c:strRef>
          </c:cat>
          <c:val>
            <c:numRef>
              <c:f>'Assumptions &amp; Analysis'!$T$5:$X$5</c:f>
              <c:numCache>
                <c:formatCode>#,##0;\(#,##0\)</c:formatCode>
                <c:ptCount val="5"/>
                <c:pt idx="0">
                  <c:v>149770.5</c:v>
                </c:pt>
                <c:pt idx="1">
                  <c:v>158756.72999999998</c:v>
                </c:pt>
                <c:pt idx="2">
                  <c:v>244664.46180000005</c:v>
                </c:pt>
                <c:pt idx="3">
                  <c:v>259344.32950800002</c:v>
                </c:pt>
                <c:pt idx="4">
                  <c:v>274904.98927848006</c:v>
                </c:pt>
              </c:numCache>
            </c:numRef>
          </c:val>
          <c:smooth val="0"/>
          <c:extLst>
            <c:ext xmlns:c16="http://schemas.microsoft.com/office/drawing/2014/chart" uri="{C3380CC4-5D6E-409C-BE32-E72D297353CC}">
              <c16:uniqueId val="{00000001-4E07-4D47-A39C-81E391A800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49620289"/>
        <c:axId val="893671729"/>
      </c:lineChart>
      <c:catAx>
        <c:axId val="44962028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IE"/>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3671729"/>
        <c:crosses val="autoZero"/>
        <c:auto val="1"/>
        <c:lblAlgn val="ctr"/>
        <c:lblOffset val="100"/>
        <c:noMultiLvlLbl val="1"/>
      </c:catAx>
      <c:valAx>
        <c:axId val="89367172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E"/>
                  <a:t>Revenue (€)</a:t>
                </a: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962028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50" baseline="0">
                <a:solidFill>
                  <a:schemeClr val="tx1">
                    <a:lumMod val="85000"/>
                    <a:lumOff val="15000"/>
                  </a:schemeClr>
                </a:solidFill>
                <a:latin typeface="Calibri" panose="020F0502020204030204" pitchFamily="34" charset="0"/>
                <a:ea typeface="+mn-ea"/>
                <a:cs typeface="Calibri" panose="020F0502020204030204" pitchFamily="34" charset="0"/>
              </a:defRPr>
            </a:pPr>
            <a:r>
              <a:rPr lang="en-IE" sz="1400" b="1">
                <a:solidFill>
                  <a:schemeClr val="tx1">
                    <a:lumMod val="85000"/>
                    <a:lumOff val="15000"/>
                  </a:schemeClr>
                </a:solidFill>
                <a:latin typeface="Calibri" panose="020F0502020204030204" pitchFamily="34" charset="0"/>
                <a:cs typeface="Calibri" panose="020F0502020204030204" pitchFamily="34" charset="0"/>
              </a:rPr>
              <a:t>Year Wise Sales, Gross profit and Operating Profit</a:t>
            </a:r>
          </a:p>
        </c:rich>
      </c:tx>
      <c:overlay val="0"/>
      <c:spPr>
        <a:noFill/>
        <a:ln>
          <a:noFill/>
        </a:ln>
        <a:effectLst/>
      </c:spPr>
    </c:title>
    <c:autoTitleDeleted val="0"/>
    <c:plotArea>
      <c:layout/>
      <c:barChart>
        <c:barDir val="col"/>
        <c:grouping val="clustered"/>
        <c:varyColors val="1"/>
        <c:ser>
          <c:idx val="0"/>
          <c:order val="0"/>
          <c:tx>
            <c:strRef>
              <c:f>'Income Statement Forecasts'!$B$5</c:f>
              <c:strCache>
                <c:ptCount val="1"/>
                <c:pt idx="0">
                  <c:v>Sales</c:v>
                </c:pt>
              </c:strCache>
            </c:strRef>
          </c:tx>
          <c:spPr>
            <a:noFill/>
            <a:ln w="25400" cap="flat" cmpd="sng" algn="ctr">
              <a:solidFill>
                <a:schemeClr val="accent6">
                  <a:lumMod val="75000"/>
                </a:schemeClr>
              </a:solidFill>
              <a:miter lim="800000"/>
            </a:ln>
            <a:effectLst/>
          </c:spPr>
          <c:invertIfNegative val="1"/>
          <c:dPt>
            <c:idx val="0"/>
            <c:invertIfNegative val="1"/>
            <c:bubble3D val="0"/>
            <c:extLst>
              <c:ext xmlns:c16="http://schemas.microsoft.com/office/drawing/2014/chart" uri="{C3380CC4-5D6E-409C-BE32-E72D297353CC}">
                <c16:uniqueId val="{00000001-28F1-A44E-AE85-2D0515939A18}"/>
              </c:ext>
            </c:extLst>
          </c:dPt>
          <c:dPt>
            <c:idx val="1"/>
            <c:invertIfNegative val="1"/>
            <c:bubble3D val="0"/>
            <c:extLst>
              <c:ext xmlns:c16="http://schemas.microsoft.com/office/drawing/2014/chart" uri="{C3380CC4-5D6E-409C-BE32-E72D297353CC}">
                <c16:uniqueId val="{00000002-28F1-A44E-AE85-2D0515939A18}"/>
              </c:ext>
            </c:extLst>
          </c:dPt>
          <c:cat>
            <c:strRef>
              <c:f>'Income Statement Forecasts'!$C$4:$G$4</c:f>
              <c:strCache>
                <c:ptCount val="5"/>
                <c:pt idx="0">
                  <c:v>Year 1</c:v>
                </c:pt>
                <c:pt idx="1">
                  <c:v>Year 2</c:v>
                </c:pt>
                <c:pt idx="2">
                  <c:v>Year 3</c:v>
                </c:pt>
                <c:pt idx="3">
                  <c:v>Year 4</c:v>
                </c:pt>
                <c:pt idx="4">
                  <c:v>Year 5</c:v>
                </c:pt>
              </c:strCache>
            </c:strRef>
          </c:cat>
          <c:val>
            <c:numRef>
              <c:f>'Income Statement Forecasts'!$C$5:$G$5</c:f>
              <c:numCache>
                <c:formatCode>#,##0;\(#,##0\)</c:formatCode>
                <c:ptCount val="5"/>
                <c:pt idx="0">
                  <c:v>180000</c:v>
                </c:pt>
                <c:pt idx="1">
                  <c:v>190800</c:v>
                </c:pt>
                <c:pt idx="2">
                  <c:v>269664</c:v>
                </c:pt>
                <c:pt idx="3">
                  <c:v>285843.84000000003</c:v>
                </c:pt>
                <c:pt idx="4">
                  <c:v>302994.47040000005</c:v>
                </c:pt>
              </c:numCache>
            </c:numRef>
          </c:val>
          <c:extLst>
            <c:ext xmlns:c16="http://schemas.microsoft.com/office/drawing/2014/chart" uri="{C3380CC4-5D6E-409C-BE32-E72D297353CC}">
              <c16:uniqueId val="{00000003-28F1-A44E-AE85-2D0515939A18}"/>
            </c:ext>
          </c:extLst>
        </c:ser>
        <c:ser>
          <c:idx val="1"/>
          <c:order val="1"/>
          <c:tx>
            <c:strRef>
              <c:f>'Income Statement Forecasts'!$B$12</c:f>
              <c:strCache>
                <c:ptCount val="1"/>
                <c:pt idx="0">
                  <c:v>Gross profit</c:v>
                </c:pt>
              </c:strCache>
            </c:strRef>
          </c:tx>
          <c:spPr>
            <a:noFill/>
            <a:ln w="25400" cap="flat" cmpd="sng" algn="ctr">
              <a:solidFill>
                <a:schemeClr val="accent5"/>
              </a:solidFill>
              <a:miter lim="800000"/>
            </a:ln>
            <a:effectLst/>
          </c:spPr>
          <c:invertIfNegative val="1"/>
          <c:dPt>
            <c:idx val="0"/>
            <c:invertIfNegative val="1"/>
            <c:bubble3D val="0"/>
            <c:extLst>
              <c:ext xmlns:c16="http://schemas.microsoft.com/office/drawing/2014/chart" uri="{C3380CC4-5D6E-409C-BE32-E72D297353CC}">
                <c16:uniqueId val="{00000005-28F1-A44E-AE85-2D0515939A18}"/>
              </c:ext>
            </c:extLst>
          </c:dPt>
          <c:cat>
            <c:strRef>
              <c:f>'Income Statement Forecasts'!$C$4:$G$4</c:f>
              <c:strCache>
                <c:ptCount val="5"/>
                <c:pt idx="0">
                  <c:v>Year 1</c:v>
                </c:pt>
                <c:pt idx="1">
                  <c:v>Year 2</c:v>
                </c:pt>
                <c:pt idx="2">
                  <c:v>Year 3</c:v>
                </c:pt>
                <c:pt idx="3">
                  <c:v>Year 4</c:v>
                </c:pt>
                <c:pt idx="4">
                  <c:v>Year 5</c:v>
                </c:pt>
              </c:strCache>
            </c:strRef>
          </c:cat>
          <c:val>
            <c:numRef>
              <c:f>'Income Statement Forecasts'!$C$12:$G$12</c:f>
              <c:numCache>
                <c:formatCode>#,##0;\(#,##0\)</c:formatCode>
                <c:ptCount val="5"/>
                <c:pt idx="0">
                  <c:v>114000</c:v>
                </c:pt>
                <c:pt idx="1">
                  <c:v>122280</c:v>
                </c:pt>
                <c:pt idx="2">
                  <c:v>198472.8</c:v>
                </c:pt>
                <c:pt idx="3">
                  <c:v>211821.16800000001</c:v>
                </c:pt>
                <c:pt idx="4">
                  <c:v>225970.43808000005</c:v>
                </c:pt>
              </c:numCache>
            </c:numRef>
          </c:val>
          <c:extLst>
            <c:ext xmlns:c16="http://schemas.microsoft.com/office/drawing/2014/chart" uri="{C3380CC4-5D6E-409C-BE32-E72D297353CC}">
              <c16:uniqueId val="{00000006-28F1-A44E-AE85-2D0515939A18}"/>
            </c:ext>
          </c:extLst>
        </c:ser>
        <c:ser>
          <c:idx val="2"/>
          <c:order val="2"/>
          <c:tx>
            <c:strRef>
              <c:f>'Income Statement Forecasts'!$B$21</c:f>
              <c:strCache>
                <c:ptCount val="1"/>
                <c:pt idx="0">
                  <c:v>Operating Profit</c:v>
                </c:pt>
              </c:strCache>
            </c:strRef>
          </c:tx>
          <c:spPr>
            <a:noFill/>
            <a:ln w="25400" cap="flat" cmpd="sng" algn="ctr">
              <a:solidFill>
                <a:schemeClr val="accent3"/>
              </a:solidFill>
              <a:miter lim="800000"/>
            </a:ln>
            <a:effectLst/>
          </c:spPr>
          <c:invertIfNegative val="1"/>
          <c:dPt>
            <c:idx val="0"/>
            <c:invertIfNegative val="1"/>
            <c:bubble3D val="0"/>
            <c:extLst>
              <c:ext xmlns:c16="http://schemas.microsoft.com/office/drawing/2014/chart" uri="{C3380CC4-5D6E-409C-BE32-E72D297353CC}">
                <c16:uniqueId val="{00000008-28F1-A44E-AE85-2D0515939A18}"/>
              </c:ext>
            </c:extLst>
          </c:dPt>
          <c:dPt>
            <c:idx val="1"/>
            <c:invertIfNegative val="1"/>
            <c:bubble3D val="0"/>
            <c:extLst>
              <c:ext xmlns:c16="http://schemas.microsoft.com/office/drawing/2014/chart" uri="{C3380CC4-5D6E-409C-BE32-E72D297353CC}">
                <c16:uniqueId val="{00000009-28F1-A44E-AE85-2D0515939A18}"/>
              </c:ext>
            </c:extLst>
          </c:dPt>
          <c:cat>
            <c:strRef>
              <c:f>'Income Statement Forecasts'!$C$4:$G$4</c:f>
              <c:strCache>
                <c:ptCount val="5"/>
                <c:pt idx="0">
                  <c:v>Year 1</c:v>
                </c:pt>
                <c:pt idx="1">
                  <c:v>Year 2</c:v>
                </c:pt>
                <c:pt idx="2">
                  <c:v>Year 3</c:v>
                </c:pt>
                <c:pt idx="3">
                  <c:v>Year 4</c:v>
                </c:pt>
                <c:pt idx="4">
                  <c:v>Year 5</c:v>
                </c:pt>
              </c:strCache>
            </c:strRef>
          </c:cat>
          <c:val>
            <c:numRef>
              <c:f>'Income Statement Forecasts'!$C$21:$G$21</c:f>
              <c:numCache>
                <c:formatCode>#,##0;\(#,##0\)</c:formatCode>
                <c:ptCount val="5"/>
                <c:pt idx="0">
                  <c:v>-50000</c:v>
                </c:pt>
                <c:pt idx="1">
                  <c:v>-44020</c:v>
                </c:pt>
                <c:pt idx="2">
                  <c:v>29817.799999999988</c:v>
                </c:pt>
                <c:pt idx="3">
                  <c:v>40754.79800000001</c:v>
                </c:pt>
                <c:pt idx="4">
                  <c:v>52434.922580000071</c:v>
                </c:pt>
              </c:numCache>
            </c:numRef>
          </c:val>
          <c:extLst>
            <c:ext xmlns:c16="http://schemas.microsoft.com/office/drawing/2014/chart" uri="{C3380CC4-5D6E-409C-BE32-E72D297353CC}">
              <c16:uniqueId val="{0000000A-28F1-A44E-AE85-2D0515939A18}"/>
            </c:ext>
          </c:extLst>
        </c:ser>
        <c:dLbls>
          <c:showLegendKey val="0"/>
          <c:showVal val="0"/>
          <c:showCatName val="0"/>
          <c:showSerName val="0"/>
          <c:showPercent val="0"/>
          <c:showBubbleSize val="0"/>
        </c:dLbls>
        <c:gapWidth val="164"/>
        <c:overlap val="-35"/>
        <c:axId val="816264113"/>
        <c:axId val="504237621"/>
      </c:barChart>
      <c:catAx>
        <c:axId val="81626411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E"/>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4237621"/>
        <c:crosses val="autoZero"/>
        <c:auto val="1"/>
        <c:lblAlgn val="ctr"/>
        <c:lblOffset val="100"/>
        <c:noMultiLvlLbl val="1"/>
      </c:catAx>
      <c:valAx>
        <c:axId val="50423762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E"/>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1626411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1">
                <a:solidFill>
                  <a:schemeClr val="tx1">
                    <a:lumMod val="85000"/>
                    <a:lumOff val="15000"/>
                  </a:schemeClr>
                </a:solidFill>
                <a:latin typeface="Calibri" panose="020F0502020204030204" pitchFamily="34" charset="0"/>
                <a:cs typeface="Calibri" panose="020F0502020204030204" pitchFamily="34" charset="0"/>
              </a:defRPr>
            </a:pPr>
            <a:r>
              <a:rPr lang="en-IE" sz="1400" b="1">
                <a:solidFill>
                  <a:schemeClr val="tx1">
                    <a:lumMod val="85000"/>
                    <a:lumOff val="15000"/>
                  </a:schemeClr>
                </a:solidFill>
                <a:latin typeface="Calibri" panose="020F0502020204030204" pitchFamily="34" charset="0"/>
                <a:cs typeface="Calibri" panose="020F0502020204030204" pitchFamily="34" charset="0"/>
              </a:rPr>
              <a:t>Fixed &amp; Variable Costs as a % of Revenue (excl. depreciation)</a:t>
            </a:r>
          </a:p>
        </c:rich>
      </c:tx>
      <c:overlay val="0"/>
    </c:title>
    <c:autoTitleDeleted val="0"/>
    <c:plotArea>
      <c:layout/>
      <c:lineChart>
        <c:grouping val="standard"/>
        <c:varyColors val="1"/>
        <c:ser>
          <c:idx val="0"/>
          <c:order val="0"/>
          <c:tx>
            <c:strRef>
              <c:f>Calculations!$B$2</c:f>
              <c:strCache>
                <c:ptCount val="1"/>
                <c:pt idx="0">
                  <c:v>COGS as % of Revenue</c:v>
                </c:pt>
              </c:strCache>
            </c:strRef>
          </c:tx>
          <c:spPr>
            <a:ln cmpd="sng">
              <a:solidFill>
                <a:schemeClr val="accent6">
                  <a:lumMod val="75000"/>
                </a:schemeClr>
              </a:solidFill>
            </a:ln>
          </c:spPr>
          <c:marker>
            <c:symbol val="none"/>
          </c:marker>
          <c:cat>
            <c:strRef>
              <c:f>Calculations!$A$3:$A$7</c:f>
              <c:strCache>
                <c:ptCount val="5"/>
                <c:pt idx="0">
                  <c:v>Year 1</c:v>
                </c:pt>
                <c:pt idx="1">
                  <c:v>Year 2</c:v>
                </c:pt>
                <c:pt idx="2">
                  <c:v>Year 3</c:v>
                </c:pt>
                <c:pt idx="3">
                  <c:v>Year 4</c:v>
                </c:pt>
                <c:pt idx="4">
                  <c:v>Year 5</c:v>
                </c:pt>
              </c:strCache>
            </c:strRef>
          </c:cat>
          <c:val>
            <c:numRef>
              <c:f>Calculations!$B$3:$B$7</c:f>
              <c:numCache>
                <c:formatCode>0.00%</c:formatCode>
                <c:ptCount val="5"/>
                <c:pt idx="0">
                  <c:v>0.23333333333333334</c:v>
                </c:pt>
                <c:pt idx="1">
                  <c:v>0.23333333333333334</c:v>
                </c:pt>
                <c:pt idx="2">
                  <c:v>0.17499999999999999</c:v>
                </c:pt>
                <c:pt idx="3">
                  <c:v>0.17500000000000002</c:v>
                </c:pt>
                <c:pt idx="4">
                  <c:v>0.17499999999999999</c:v>
                </c:pt>
              </c:numCache>
            </c:numRef>
          </c:val>
          <c:smooth val="0"/>
          <c:extLst>
            <c:ext xmlns:c16="http://schemas.microsoft.com/office/drawing/2014/chart" uri="{C3380CC4-5D6E-409C-BE32-E72D297353CC}">
              <c16:uniqueId val="{00000000-F17D-C746-BBB8-38E63ACE0E76}"/>
            </c:ext>
          </c:extLst>
        </c:ser>
        <c:ser>
          <c:idx val="1"/>
          <c:order val="1"/>
          <c:tx>
            <c:strRef>
              <c:f>Calculations!$C$2</c:f>
              <c:strCache>
                <c:ptCount val="1"/>
                <c:pt idx="0">
                  <c:v>SG&amp;A as a % of Revenue</c:v>
                </c:pt>
              </c:strCache>
            </c:strRef>
          </c:tx>
          <c:spPr>
            <a:ln cmpd="sng">
              <a:solidFill>
                <a:srgbClr val="FF9900">
                  <a:alpha val="100000"/>
                </a:srgbClr>
              </a:solidFill>
            </a:ln>
          </c:spPr>
          <c:marker>
            <c:symbol val="none"/>
          </c:marker>
          <c:cat>
            <c:strRef>
              <c:f>Calculations!$A$3:$A$7</c:f>
              <c:strCache>
                <c:ptCount val="5"/>
                <c:pt idx="0">
                  <c:v>Year 1</c:v>
                </c:pt>
                <c:pt idx="1">
                  <c:v>Year 2</c:v>
                </c:pt>
                <c:pt idx="2">
                  <c:v>Year 3</c:v>
                </c:pt>
                <c:pt idx="3">
                  <c:v>Year 4</c:v>
                </c:pt>
                <c:pt idx="4">
                  <c:v>Year 5</c:v>
                </c:pt>
              </c:strCache>
            </c:strRef>
          </c:cat>
          <c:val>
            <c:numRef>
              <c:f>Calculations!$C$3:$C$7</c:f>
              <c:numCache>
                <c:formatCode>0.00%</c:formatCode>
                <c:ptCount val="5"/>
                <c:pt idx="0">
                  <c:v>0.8</c:v>
                </c:pt>
                <c:pt idx="1">
                  <c:v>0.76677148846960164</c:v>
                </c:pt>
                <c:pt idx="2">
                  <c:v>0.5512600866263202</c:v>
                </c:pt>
                <c:pt idx="3">
                  <c:v>0.52849265529038503</c:v>
                </c:pt>
                <c:pt idx="4">
                  <c:v>0.5067271204563869</c:v>
                </c:pt>
              </c:numCache>
            </c:numRef>
          </c:val>
          <c:smooth val="0"/>
          <c:extLst>
            <c:ext xmlns:c16="http://schemas.microsoft.com/office/drawing/2014/chart" uri="{C3380CC4-5D6E-409C-BE32-E72D297353CC}">
              <c16:uniqueId val="{00000001-F17D-C746-BBB8-38E63ACE0E76}"/>
            </c:ext>
          </c:extLst>
        </c:ser>
        <c:dLbls>
          <c:showLegendKey val="0"/>
          <c:showVal val="0"/>
          <c:showCatName val="0"/>
          <c:showSerName val="0"/>
          <c:showPercent val="0"/>
          <c:showBubbleSize val="0"/>
        </c:dLbls>
        <c:smooth val="0"/>
        <c:axId val="1419445742"/>
        <c:axId val="365236097"/>
      </c:lineChart>
      <c:catAx>
        <c:axId val="1419445742"/>
        <c:scaling>
          <c:orientation val="minMax"/>
        </c:scaling>
        <c:delete val="0"/>
        <c:axPos val="b"/>
        <c:title>
          <c:tx>
            <c:rich>
              <a:bodyPr/>
              <a:lstStyle/>
              <a:p>
                <a:pPr lvl="0">
                  <a:defRPr b="0">
                    <a:solidFill>
                      <a:srgbClr val="000000"/>
                    </a:solidFill>
                    <a:latin typeface="+mn-lt"/>
                  </a:defRPr>
                </a:pPr>
                <a:endParaRPr lang="en-IE"/>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65236097"/>
        <c:crosses val="autoZero"/>
        <c:auto val="1"/>
        <c:lblAlgn val="ctr"/>
        <c:lblOffset val="100"/>
        <c:noMultiLvlLbl val="1"/>
      </c:catAx>
      <c:valAx>
        <c:axId val="365236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E"/>
              </a:p>
            </c:rich>
          </c:tx>
          <c:overlay val="0"/>
        </c:title>
        <c:numFmt formatCode="0.00%" sourceLinked="1"/>
        <c:majorTickMark val="none"/>
        <c:minorTickMark val="none"/>
        <c:tickLblPos val="nextTo"/>
        <c:spPr>
          <a:ln/>
        </c:spPr>
        <c:txPr>
          <a:bodyPr/>
          <a:lstStyle/>
          <a:p>
            <a:pPr lvl="0">
              <a:defRPr b="0">
                <a:solidFill>
                  <a:srgbClr val="000000"/>
                </a:solidFill>
                <a:latin typeface="Calibri" panose="020F0502020204030204" pitchFamily="34" charset="0"/>
                <a:cs typeface="Calibri" panose="020F0502020204030204" pitchFamily="34" charset="0"/>
              </a:defRPr>
            </a:pPr>
            <a:endParaRPr lang="en-US"/>
          </a:p>
        </c:txPr>
        <c:crossAx val="141944574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757575"/>
                </a:solidFill>
                <a:latin typeface="+mn-lt"/>
              </a:defRPr>
            </a:pPr>
            <a:r>
              <a:rPr sz="1600" b="1">
                <a:solidFill>
                  <a:srgbClr val="757575"/>
                </a:solidFill>
                <a:latin typeface="+mn-lt"/>
              </a:rPr>
              <a:t>Fixed &amp; Variable Costs as a % of Revenue (excl. depreciation)</a:t>
            </a:r>
          </a:p>
        </c:rich>
      </c:tx>
      <c:overlay val="0"/>
    </c:title>
    <c:autoTitleDeleted val="0"/>
    <c:plotArea>
      <c:layout/>
      <c:lineChart>
        <c:grouping val="standard"/>
        <c:varyColors val="1"/>
        <c:ser>
          <c:idx val="0"/>
          <c:order val="0"/>
          <c:tx>
            <c:strRef>
              <c:f>Calculations!$B$2</c:f>
              <c:strCache>
                <c:ptCount val="1"/>
                <c:pt idx="0">
                  <c:v>COGS as % of Revenue</c:v>
                </c:pt>
              </c:strCache>
            </c:strRef>
          </c:tx>
          <c:spPr>
            <a:ln cmpd="sng">
              <a:solidFill>
                <a:srgbClr val="3C78D8">
                  <a:alpha val="100000"/>
                </a:srgbClr>
              </a:solidFill>
            </a:ln>
          </c:spPr>
          <c:marker>
            <c:symbol val="none"/>
          </c:marker>
          <c:cat>
            <c:strRef>
              <c:f>Calculations!$A$3:$A$7</c:f>
              <c:strCache>
                <c:ptCount val="5"/>
                <c:pt idx="0">
                  <c:v>Year 1</c:v>
                </c:pt>
                <c:pt idx="1">
                  <c:v>Year 2</c:v>
                </c:pt>
                <c:pt idx="2">
                  <c:v>Year 3</c:v>
                </c:pt>
                <c:pt idx="3">
                  <c:v>Year 4</c:v>
                </c:pt>
                <c:pt idx="4">
                  <c:v>Year 5</c:v>
                </c:pt>
              </c:strCache>
            </c:strRef>
          </c:cat>
          <c:val>
            <c:numRef>
              <c:f>Calculations!$B$3:$B$7</c:f>
              <c:numCache>
                <c:formatCode>0.00%</c:formatCode>
                <c:ptCount val="5"/>
                <c:pt idx="0">
                  <c:v>0.23333333333333334</c:v>
                </c:pt>
                <c:pt idx="1">
                  <c:v>0.23333333333333334</c:v>
                </c:pt>
                <c:pt idx="2">
                  <c:v>0.17499999999999999</c:v>
                </c:pt>
                <c:pt idx="3">
                  <c:v>0.17500000000000002</c:v>
                </c:pt>
                <c:pt idx="4">
                  <c:v>0.17499999999999999</c:v>
                </c:pt>
              </c:numCache>
            </c:numRef>
          </c:val>
          <c:smooth val="0"/>
          <c:extLst>
            <c:ext xmlns:c16="http://schemas.microsoft.com/office/drawing/2014/chart" uri="{C3380CC4-5D6E-409C-BE32-E72D297353CC}">
              <c16:uniqueId val="{00000000-9428-5849-A802-6FFB2C9A9BB8}"/>
            </c:ext>
          </c:extLst>
        </c:ser>
        <c:ser>
          <c:idx val="1"/>
          <c:order val="1"/>
          <c:tx>
            <c:strRef>
              <c:f>Calculations!$C$2</c:f>
              <c:strCache>
                <c:ptCount val="1"/>
                <c:pt idx="0">
                  <c:v>SG&amp;A as a % of Revenue</c:v>
                </c:pt>
              </c:strCache>
            </c:strRef>
          </c:tx>
          <c:spPr>
            <a:ln cmpd="sng">
              <a:solidFill>
                <a:srgbClr val="FF9900">
                  <a:alpha val="100000"/>
                </a:srgbClr>
              </a:solidFill>
            </a:ln>
          </c:spPr>
          <c:marker>
            <c:symbol val="none"/>
          </c:marker>
          <c:cat>
            <c:strRef>
              <c:f>Calculations!$A$3:$A$7</c:f>
              <c:strCache>
                <c:ptCount val="5"/>
                <c:pt idx="0">
                  <c:v>Year 1</c:v>
                </c:pt>
                <c:pt idx="1">
                  <c:v>Year 2</c:v>
                </c:pt>
                <c:pt idx="2">
                  <c:v>Year 3</c:v>
                </c:pt>
                <c:pt idx="3">
                  <c:v>Year 4</c:v>
                </c:pt>
                <c:pt idx="4">
                  <c:v>Year 5</c:v>
                </c:pt>
              </c:strCache>
            </c:strRef>
          </c:cat>
          <c:val>
            <c:numRef>
              <c:f>Calculations!$C$3:$C$7</c:f>
              <c:numCache>
                <c:formatCode>0.00%</c:formatCode>
                <c:ptCount val="5"/>
                <c:pt idx="0">
                  <c:v>0.8</c:v>
                </c:pt>
                <c:pt idx="1">
                  <c:v>0.76677148846960164</c:v>
                </c:pt>
                <c:pt idx="2">
                  <c:v>0.5512600866263202</c:v>
                </c:pt>
                <c:pt idx="3">
                  <c:v>0.52849265529038503</c:v>
                </c:pt>
                <c:pt idx="4">
                  <c:v>0.5067271204563869</c:v>
                </c:pt>
              </c:numCache>
            </c:numRef>
          </c:val>
          <c:smooth val="0"/>
          <c:extLst>
            <c:ext xmlns:c16="http://schemas.microsoft.com/office/drawing/2014/chart" uri="{C3380CC4-5D6E-409C-BE32-E72D297353CC}">
              <c16:uniqueId val="{00000001-9428-5849-A802-6FFB2C9A9BB8}"/>
            </c:ext>
          </c:extLst>
        </c:ser>
        <c:dLbls>
          <c:showLegendKey val="0"/>
          <c:showVal val="0"/>
          <c:showCatName val="0"/>
          <c:showSerName val="0"/>
          <c:showPercent val="0"/>
          <c:showBubbleSize val="0"/>
        </c:dLbls>
        <c:smooth val="0"/>
        <c:axId val="1814250647"/>
        <c:axId val="1452787470"/>
      </c:lineChart>
      <c:catAx>
        <c:axId val="181425064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1452787470"/>
        <c:crosses val="autoZero"/>
        <c:auto val="1"/>
        <c:lblAlgn val="ctr"/>
        <c:lblOffset val="100"/>
        <c:noMultiLvlLbl val="1"/>
      </c:catAx>
      <c:valAx>
        <c:axId val="1452787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1">
                <a:solidFill>
                  <a:srgbClr val="000000"/>
                </a:solidFill>
                <a:latin typeface="+mn-lt"/>
              </a:defRPr>
            </a:pPr>
            <a:endParaRPr lang="en-US"/>
          </a:p>
        </c:txPr>
        <c:crossAx val="181425064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'Cash Flow Forecasts'!$B$25</c:f>
              <c:strCache>
                <c:ptCount val="1"/>
                <c:pt idx="0">
                  <c:v>Net Cash Flow</c:v>
                </c:pt>
              </c:strCache>
            </c:strRef>
          </c:tx>
          <c:spPr>
            <a:ln w="19050" cap="rnd" cmpd="sng" algn="ctr">
              <a:solidFill>
                <a:schemeClr val="accent6">
                  <a:lumMod val="75000"/>
                </a:schemeClr>
              </a:solidFill>
              <a:round/>
            </a:ln>
            <a:effectLst/>
          </c:spPr>
          <c:marker>
            <c:symbol val="circle"/>
            <c:size val="17"/>
            <c:spPr>
              <a:solidFill>
                <a:schemeClr val="lt1"/>
              </a:solidFill>
              <a:ln>
                <a:noFill/>
              </a:ln>
              <a:effectLst/>
            </c:spPr>
          </c:marker>
          <c:dLbls>
            <c:dLbl>
              <c:idx val="0"/>
              <c:spPr>
                <a:noFill/>
                <a:ln>
                  <a:solidFill>
                    <a:schemeClr val="accent6">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E73-E342-A00E-C42EEBDD5D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'Cash Flow Forecasts'!$C$25:$H$25</c:f>
              <c:numCache>
                <c:formatCode>#,##0;\(#,##0\)</c:formatCode>
                <c:ptCount val="6"/>
                <c:pt idx="0">
                  <c:v>53000</c:v>
                </c:pt>
                <c:pt idx="1">
                  <c:v>-60750</c:v>
                </c:pt>
                <c:pt idx="2">
                  <c:v>-2552.5</c:v>
                </c:pt>
                <c:pt idx="3">
                  <c:v>56703.075000000012</c:v>
                </c:pt>
                <c:pt idx="4">
                  <c:v>77012.45199999999</c:v>
                </c:pt>
                <c:pt idx="5">
                  <c:v>86855.846320000011</c:v>
                </c:pt>
              </c:numCache>
            </c:numRef>
          </c:val>
          <c:smooth val="0"/>
          <c:extLst>
            <c:ext xmlns:c16="http://schemas.microsoft.com/office/drawing/2014/chart" uri="{C3380CC4-5D6E-409C-BE32-E72D297353CC}">
              <c16:uniqueId val="{00000000-CE73-E342-A00E-C42EEBDD5D83}"/>
            </c:ext>
          </c:extLst>
        </c:ser>
        <c:dLbls>
          <c:dLblPos val="ctr"/>
          <c:showLegendKey val="0"/>
          <c:showVal val="1"/>
          <c:showCatName val="0"/>
          <c:showSerName val="0"/>
          <c:showPercent val="0"/>
          <c:showBubbleSize val="0"/>
        </c:dLbls>
        <c:marker val="1"/>
        <c:smooth val="0"/>
        <c:axId val="886412560"/>
        <c:axId val="883623472"/>
      </c:lineChart>
      <c:catAx>
        <c:axId val="886412560"/>
        <c:scaling>
          <c:orientation val="minMax"/>
        </c:scaling>
        <c:delete val="1"/>
        <c:axPos val="b"/>
        <c:numFmt formatCode="General" sourceLinked="1"/>
        <c:majorTickMark val="none"/>
        <c:minorTickMark val="none"/>
        <c:tickLblPos val="nextTo"/>
        <c:crossAx val="883623472"/>
        <c:crosses val="autoZero"/>
        <c:auto val="1"/>
        <c:lblAlgn val="ctr"/>
        <c:lblOffset val="100"/>
        <c:noMultiLvlLbl val="0"/>
      </c:catAx>
      <c:valAx>
        <c:axId val="883623472"/>
        <c:scaling>
          <c:orientation val="minMax"/>
        </c:scaling>
        <c:delete val="1"/>
        <c:axPos val="l"/>
        <c:numFmt formatCode="#,##0;\(#,##0\)" sourceLinked="1"/>
        <c:majorTickMark val="none"/>
        <c:minorTickMark val="none"/>
        <c:tickLblPos val="nextTo"/>
        <c:crossAx val="88641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Calibri" panose="020F0502020204030204" pitchFamily="34" charset="0"/>
                <a:ea typeface="+mn-ea"/>
                <a:cs typeface="Calibri" panose="020F0502020204030204" pitchFamily="34" charset="0"/>
              </a:defRPr>
            </a:pPr>
            <a:r>
              <a:rPr lang="en-IE" sz="1400" b="1">
                <a:latin typeface="Calibri" panose="020F0502020204030204" pitchFamily="34" charset="0"/>
                <a:cs typeface="Calibri" panose="020F0502020204030204" pitchFamily="34" charset="0"/>
              </a:rPr>
              <a:t>Debtors Vs Creditors</a:t>
            </a:r>
          </a:p>
        </c:rich>
      </c:tx>
      <c:overlay val="0"/>
      <c:spPr>
        <a:noFill/>
        <a:ln>
          <a:noFill/>
        </a:ln>
        <a:effectLst/>
      </c:spPr>
    </c:title>
    <c:autoTitleDeleted val="0"/>
    <c:plotArea>
      <c:layout/>
      <c:lineChart>
        <c:grouping val="standard"/>
        <c:varyColors val="1"/>
        <c:ser>
          <c:idx val="0"/>
          <c:order val="0"/>
          <c:tx>
            <c:strRef>
              <c:f>'Projected Balance Sheet'!$B$10</c:f>
              <c:strCache>
                <c:ptCount val="1"/>
                <c:pt idx="0">
                  <c:v>Debtors/Receivables</c:v>
                </c:pt>
              </c:strCache>
            </c:strRef>
          </c:tx>
          <c:spPr>
            <a:ln w="19050" cap="rnd" cmpd="sng" algn="ctr">
              <a:solidFill>
                <a:schemeClr val="accent6">
                  <a:lumMod val="7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'Projected Balance Sheet'!$C$4:$H$4</c:f>
              <c:strCache>
                <c:ptCount val="6"/>
                <c:pt idx="0">
                  <c:v>Opening</c:v>
                </c:pt>
                <c:pt idx="1">
                  <c:v>Year 1</c:v>
                </c:pt>
                <c:pt idx="2">
                  <c:v>Year 2</c:v>
                </c:pt>
                <c:pt idx="3">
                  <c:v>Year 3</c:v>
                </c:pt>
                <c:pt idx="4">
                  <c:v>Year 4</c:v>
                </c:pt>
                <c:pt idx="5">
                  <c:v>Year 5</c:v>
                </c:pt>
              </c:strCache>
            </c:strRef>
          </c:cat>
          <c:val>
            <c:numRef>
              <c:f>'Projected Balance Sheet'!$C$10:$H$10</c:f>
              <c:numCache>
                <c:formatCode>#,##0;\(#,##0\)</c:formatCode>
                <c:ptCount val="6"/>
                <c:pt idx="0" formatCode="_-* #,##0_-;\-* #,##0_-;_-* &quot;-&quot;??_-;_-@">
                  <c:v>0</c:v>
                </c:pt>
                <c:pt idx="1">
                  <c:v>38250</c:v>
                </c:pt>
                <c:pt idx="2">
                  <c:v>40545</c:v>
                </c:pt>
                <c:pt idx="3">
                  <c:v>57303.600000000006</c:v>
                </c:pt>
                <c:pt idx="4">
                  <c:v>60741.816000000006</c:v>
                </c:pt>
                <c:pt idx="5">
                  <c:v>64386.324960000013</c:v>
                </c:pt>
              </c:numCache>
            </c:numRef>
          </c:val>
          <c:smooth val="0"/>
          <c:extLst>
            <c:ext xmlns:c16="http://schemas.microsoft.com/office/drawing/2014/chart" uri="{C3380CC4-5D6E-409C-BE32-E72D297353CC}">
              <c16:uniqueId val="{00000000-33E8-5347-A425-EA7915BB0C3E}"/>
            </c:ext>
          </c:extLst>
        </c:ser>
        <c:ser>
          <c:idx val="1"/>
          <c:order val="1"/>
          <c:tx>
            <c:strRef>
              <c:f>'Projected Balance Sheet'!$B$18</c:f>
              <c:strCache>
                <c:ptCount val="1"/>
                <c:pt idx="0">
                  <c:v>Creditors/Payables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'Projected Balance Sheet'!$C$4:$H$4</c:f>
              <c:strCache>
                <c:ptCount val="6"/>
                <c:pt idx="0">
                  <c:v>Opening</c:v>
                </c:pt>
                <c:pt idx="1">
                  <c:v>Year 1</c:v>
                </c:pt>
                <c:pt idx="2">
                  <c:v>Year 2</c:v>
                </c:pt>
                <c:pt idx="3">
                  <c:v>Year 3</c:v>
                </c:pt>
                <c:pt idx="4">
                  <c:v>Year 4</c:v>
                </c:pt>
                <c:pt idx="5">
                  <c:v>Year 5</c:v>
                </c:pt>
              </c:strCache>
            </c:strRef>
          </c:cat>
          <c:val>
            <c:numRef>
              <c:f>'Projected Balance Sheet'!$C$18:$H$18</c:f>
              <c:numCache>
                <c:formatCode>#,##0;\(#,##0\)</c:formatCode>
                <c:ptCount val="6"/>
                <c:pt idx="0" formatCode="_-* #,##0_-;\-* #,##0_-;_-* &quot;-&quot;??_-;_-@">
                  <c:v>0</c:v>
                </c:pt>
                <c:pt idx="1">
                  <c:v>2500</c:v>
                </c:pt>
                <c:pt idx="2">
                  <c:v>2650</c:v>
                </c:pt>
                <c:pt idx="3">
                  <c:v>2809</c:v>
                </c:pt>
                <c:pt idx="4">
                  <c:v>2977.5400000000004</c:v>
                </c:pt>
                <c:pt idx="5">
                  <c:v>3156.1924000000004</c:v>
                </c:pt>
              </c:numCache>
            </c:numRef>
          </c:val>
          <c:smooth val="0"/>
          <c:extLst>
            <c:ext xmlns:c16="http://schemas.microsoft.com/office/drawing/2014/chart" uri="{C3380CC4-5D6E-409C-BE32-E72D297353CC}">
              <c16:uniqueId val="{00000001-33E8-5347-A425-EA7915BB0C3E}"/>
            </c:ext>
          </c:extLst>
        </c:ser>
        <c:dLbls>
          <c:dLblPos val="ctr"/>
          <c:showLegendKey val="0"/>
          <c:showVal val="1"/>
          <c:showCatName val="0"/>
          <c:showSerName val="0"/>
          <c:showPercent val="0"/>
          <c:showBubbleSize val="0"/>
        </c:dLbls>
        <c:marker val="1"/>
        <c:smooth val="0"/>
        <c:axId val="1261458350"/>
        <c:axId val="966422236"/>
      </c:lineChart>
      <c:catAx>
        <c:axId val="126145835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E"/>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66422236"/>
        <c:crosses val="autoZero"/>
        <c:auto val="1"/>
        <c:lblAlgn val="ctr"/>
        <c:lblOffset val="100"/>
        <c:noMultiLvlLbl val="1"/>
      </c:catAx>
      <c:valAx>
        <c:axId val="96642223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E"/>
              </a:p>
            </c:rich>
          </c:tx>
          <c:overlay val="0"/>
          <c:spPr>
            <a:noFill/>
            <a:ln>
              <a:noFill/>
            </a:ln>
            <a:effectLst/>
          </c:spPr>
        </c:title>
        <c:numFmt formatCode="_-* #,##0_-;\-* #,##0_-;_-* &quot;-&quot;??_-;_-@" sourceLinked="1"/>
        <c:majorTickMark val="none"/>
        <c:minorTickMark val="none"/>
        <c:tickLblPos val="nextTo"/>
        <c:crossAx val="126145835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50" baseline="0">
                <a:solidFill>
                  <a:schemeClr val="tx1">
                    <a:lumMod val="65000"/>
                    <a:lumOff val="35000"/>
                  </a:schemeClr>
                </a:solidFill>
                <a:latin typeface="+mn-lt"/>
                <a:ea typeface="+mn-ea"/>
                <a:cs typeface="+mn-cs"/>
              </a:defRPr>
            </a:pPr>
            <a:r>
              <a:rPr lang="en-IE" sz="1400" b="1">
                <a:latin typeface="Calibri" panose="020F0502020204030204" pitchFamily="34" charset="0"/>
                <a:cs typeface="Calibri" panose="020F0502020204030204" pitchFamily="34" charset="0"/>
              </a:rPr>
              <a:t>CURRENT</a:t>
            </a:r>
            <a:r>
              <a:rPr lang="en-IE" sz="1400" b="1" baseline="0">
                <a:latin typeface="Calibri" panose="020F0502020204030204" pitchFamily="34" charset="0"/>
                <a:cs typeface="Calibri" panose="020F0502020204030204" pitchFamily="34" charset="0"/>
              </a:rPr>
              <a:t> ASSET Vs CURRENT LIABILITIES</a:t>
            </a:r>
            <a:endParaRPr lang="en-IE" sz="1400" b="1">
              <a:latin typeface="Calibri" panose="020F0502020204030204" pitchFamily="34" charset="0"/>
              <a:cs typeface="Calibri" panose="020F0502020204030204" pitchFamily="34" charset="0"/>
            </a:endParaRPr>
          </a:p>
        </c:rich>
      </c:tx>
      <c:overlay val="0"/>
      <c:spPr>
        <a:noFill/>
        <a:ln>
          <a:noFill/>
        </a:ln>
        <a:effectLst/>
      </c:spPr>
    </c:title>
    <c:autoTitleDeleted val="0"/>
    <c:plotArea>
      <c:layout/>
      <c:barChart>
        <c:barDir val="col"/>
        <c:grouping val="clustered"/>
        <c:varyColors val="1"/>
        <c:ser>
          <c:idx val="0"/>
          <c:order val="0"/>
          <c:tx>
            <c:v>Current Liabilities</c:v>
          </c:tx>
          <c:spPr>
            <a:noFill/>
            <a:ln w="25400" cap="flat" cmpd="sng" algn="ctr">
              <a:solidFill>
                <a:schemeClr val="accent5"/>
              </a:solidFill>
              <a:miter lim="800000"/>
            </a:ln>
            <a:effectLst/>
          </c:spPr>
          <c:invertIfNegative val="1"/>
          <c:dPt>
            <c:idx val="1"/>
            <c:invertIfNegative val="1"/>
            <c:bubble3D val="0"/>
            <c:extLst>
              <c:ext xmlns:c16="http://schemas.microsoft.com/office/drawing/2014/chart" uri="{C3380CC4-5D6E-409C-BE32-E72D297353CC}">
                <c16:uniqueId val="{00000000-990A-074C-A6A1-0E4311A4A50D}"/>
              </c:ext>
            </c:extLst>
          </c:dPt>
          <c:dPt>
            <c:idx val="5"/>
            <c:invertIfNegative val="1"/>
            <c:bubble3D val="0"/>
            <c:extLst>
              <c:ext xmlns:c16="http://schemas.microsoft.com/office/drawing/2014/chart" uri="{C3380CC4-5D6E-409C-BE32-E72D297353CC}">
                <c16:uniqueId val="{00000001-990A-074C-A6A1-0E4311A4A5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'Projected Balance Sheet'!$B$22:$H$22</c:f>
              <c:numCache>
                <c:formatCode>#,##0;\(#,##0\)</c:formatCode>
                <c:ptCount val="7"/>
                <c:pt idx="0">
                  <c:v>0</c:v>
                </c:pt>
                <c:pt idx="2">
                  <c:v>15637.5</c:v>
                </c:pt>
                <c:pt idx="3">
                  <c:v>18467.625</c:v>
                </c:pt>
                <c:pt idx="4">
                  <c:v>12281.669999999998</c:v>
                </c:pt>
                <c:pt idx="5">
                  <c:v>14090.759700000002</c:v>
                </c:pt>
                <c:pt idx="6">
                  <c:v>16021.43078700001</c:v>
                </c:pt>
              </c:numCache>
            </c:numRef>
          </c:val>
          <c:extLst>
            <c:ext xmlns:c16="http://schemas.microsoft.com/office/drawing/2014/chart" uri="{C3380CC4-5D6E-409C-BE32-E72D297353CC}">
              <c16:uniqueId val="{00000002-990A-074C-A6A1-0E4311A4A50D}"/>
            </c:ext>
          </c:extLst>
        </c:ser>
        <c:ser>
          <c:idx val="1"/>
          <c:order val="1"/>
          <c:tx>
            <c:v>Current Assets</c:v>
          </c:tx>
          <c:spPr>
            <a:noFill/>
            <a:ln w="25400" cap="flat" cmpd="sng" algn="ctr">
              <a:solidFill>
                <a:schemeClr val="accent6">
                  <a:lumMod val="75000"/>
                </a:schemeClr>
              </a:solidFill>
              <a:miter lim="800000"/>
            </a:ln>
            <a:effectLst/>
          </c:spPr>
          <c:invertIfNegative val="1"/>
          <c:dPt>
            <c:idx val="0"/>
            <c:invertIfNegative val="1"/>
            <c:bubble3D val="0"/>
            <c:extLst>
              <c:ext xmlns:c16="http://schemas.microsoft.com/office/drawing/2014/chart" uri="{C3380CC4-5D6E-409C-BE32-E72D297353CC}">
                <c16:uniqueId val="{00000003-990A-074C-A6A1-0E4311A4A50D}"/>
              </c:ext>
            </c:extLst>
          </c:dPt>
          <c:dPt>
            <c:idx val="4"/>
            <c:invertIfNegative val="1"/>
            <c:bubble3D val="0"/>
            <c:extLst>
              <c:ext xmlns:c16="http://schemas.microsoft.com/office/drawing/2014/chart" uri="{C3380CC4-5D6E-409C-BE32-E72D297353CC}">
                <c16:uniqueId val="{00000004-990A-074C-A6A1-0E4311A4A5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'Projected Balance Sheet'!$B$13:$H$13</c:f>
              <c:numCache>
                <c:formatCode>#,##0;\(#,##0\)</c:formatCode>
                <c:ptCount val="7"/>
                <c:pt idx="0">
                  <c:v>0</c:v>
                </c:pt>
                <c:pt idx="1">
                  <c:v>65000</c:v>
                </c:pt>
                <c:pt idx="2">
                  <c:v>74250</c:v>
                </c:pt>
                <c:pt idx="3">
                  <c:v>76545</c:v>
                </c:pt>
                <c:pt idx="4">
                  <c:v>139704.17500000002</c:v>
                </c:pt>
                <c:pt idx="5">
                  <c:v>220154.84299999999</c:v>
                </c:pt>
                <c:pt idx="6">
                  <c:v>310655.19828000001</c:v>
                </c:pt>
              </c:numCache>
            </c:numRef>
          </c:val>
          <c:extLst>
            <c:ext xmlns:c16="http://schemas.microsoft.com/office/drawing/2014/chart" uri="{C3380CC4-5D6E-409C-BE32-E72D297353CC}">
              <c16:uniqueId val="{00000005-990A-074C-A6A1-0E4311A4A50D}"/>
            </c:ext>
          </c:extLst>
        </c:ser>
        <c:dLbls>
          <c:dLblPos val="outEnd"/>
          <c:showLegendKey val="0"/>
          <c:showVal val="1"/>
          <c:showCatName val="0"/>
          <c:showSerName val="0"/>
          <c:showPercent val="0"/>
          <c:showBubbleSize val="0"/>
        </c:dLbls>
        <c:gapWidth val="164"/>
        <c:overlap val="-35"/>
        <c:axId val="550849590"/>
        <c:axId val="1071998667"/>
      </c:barChart>
      <c:catAx>
        <c:axId val="55084959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E"/>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1998667"/>
        <c:crosses val="autoZero"/>
        <c:auto val="1"/>
        <c:lblAlgn val="ctr"/>
        <c:lblOffset val="100"/>
        <c:noMultiLvlLbl val="1"/>
      </c:catAx>
      <c:valAx>
        <c:axId val="10719986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E"/>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084959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11</xdr:col>
      <xdr:colOff>9524</xdr:colOff>
      <xdr:row>6</xdr:row>
      <xdr:rowOff>190500</xdr:rowOff>
    </xdr:from>
    <xdr:ext cx="5578475" cy="36703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50799</xdr:colOff>
      <xdr:row>6</xdr:row>
      <xdr:rowOff>190500</xdr:rowOff>
    </xdr:from>
    <xdr:ext cx="5584825" cy="3683000"/>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317500</xdr:colOff>
      <xdr:row>2</xdr:row>
      <xdr:rowOff>31750</xdr:rowOff>
    </xdr:from>
    <xdr:ext cx="5842000" cy="3308350"/>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342900</xdr:colOff>
      <xdr:row>14</xdr:row>
      <xdr:rowOff>149225</xdr:rowOff>
    </xdr:from>
    <xdr:ext cx="5880100" cy="3292475"/>
    <xdr:graphicFrame macro="">
      <xdr:nvGraphicFramePr>
        <xdr:cNvPr id="4" name="Chart 4"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8</xdr:row>
      <xdr:rowOff>0</xdr:rowOff>
    </xdr:from>
    <xdr:ext cx="5715000" cy="3533775"/>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8</xdr:col>
      <xdr:colOff>209550</xdr:colOff>
      <xdr:row>2</xdr:row>
      <xdr:rowOff>273050</xdr:rowOff>
    </xdr:from>
    <xdr:to>
      <xdr:col>17</xdr:col>
      <xdr:colOff>165100</xdr:colOff>
      <xdr:row>13</xdr:row>
      <xdr:rowOff>0</xdr:rowOff>
    </xdr:to>
    <xdr:graphicFrame macro="">
      <xdr:nvGraphicFramePr>
        <xdr:cNvPr id="3" name="Chart 2">
          <a:extLst>
            <a:ext uri="{FF2B5EF4-FFF2-40B4-BE49-F238E27FC236}">
              <a16:creationId xmlns:a16="http://schemas.microsoft.com/office/drawing/2014/main" id="{CDBA391C-5B84-ACB8-A1EE-6D10195D5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304800</xdr:colOff>
      <xdr:row>14</xdr:row>
      <xdr:rowOff>266700</xdr:rowOff>
    </xdr:from>
    <xdr:ext cx="6324600" cy="3441700"/>
    <xdr:graphicFrame macro="">
      <xdr:nvGraphicFramePr>
        <xdr:cNvPr id="7" name="Chart 7"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203200</xdr:colOff>
      <xdr:row>2</xdr:row>
      <xdr:rowOff>234950</xdr:rowOff>
    </xdr:from>
    <xdr:ext cx="6413500" cy="3346450"/>
    <xdr:graphicFrame macro="">
      <xdr:nvGraphicFramePr>
        <xdr:cNvPr id="8" name="Chart 8" title="Chart">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document/d/1Oxw5NDXqlHLLKWbI8e24nLOVqKkEloFM/edit?usp=sharing&amp;ouid=112774148176583614703&amp;rtpof=true&amp;sd=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outlinePr summaryBelow="0" summaryRight="0"/>
  </sheetPr>
  <dimension ref="A1:G10"/>
  <sheetViews>
    <sheetView tabSelected="1" workbookViewId="0">
      <selection sqref="A1:G1"/>
    </sheetView>
  </sheetViews>
  <sheetFormatPr baseColWidth="10" defaultColWidth="12.6640625" defaultRowHeight="19" x14ac:dyDescent="0.25"/>
  <cols>
    <col min="1" max="1" width="5.6640625" style="22" customWidth="1"/>
    <col min="2" max="2" width="35" style="22" customWidth="1"/>
    <col min="3" max="3" width="104" style="22" customWidth="1"/>
    <col min="4" max="4" width="7.83203125" style="22" customWidth="1"/>
    <col min="5" max="5" width="17.6640625" style="22" customWidth="1"/>
    <col min="6" max="6" width="21.5" style="22" customWidth="1"/>
    <col min="7" max="7" width="36" style="22" customWidth="1"/>
    <col min="8" max="16384" width="12.6640625" style="22"/>
  </cols>
  <sheetData>
    <row r="1" spans="1:7" ht="42" customHeight="1" x14ac:dyDescent="0.35">
      <c r="A1" s="100" t="s">
        <v>0</v>
      </c>
      <c r="B1" s="101"/>
      <c r="C1" s="101"/>
      <c r="D1" s="101"/>
      <c r="E1" s="101"/>
      <c r="F1" s="101"/>
      <c r="G1" s="101"/>
    </row>
    <row r="2" spans="1:7" ht="320" customHeight="1" x14ac:dyDescent="0.25">
      <c r="A2" s="102" t="s">
        <v>147</v>
      </c>
      <c r="B2" s="99"/>
      <c r="C2" s="99"/>
      <c r="D2" s="103"/>
      <c r="E2" s="105" t="s">
        <v>148</v>
      </c>
      <c r="F2" s="99"/>
      <c r="G2" s="99"/>
    </row>
    <row r="3" spans="1:7" x14ac:dyDescent="0.25">
      <c r="A3" s="103"/>
      <c r="B3" s="104"/>
      <c r="C3" s="104"/>
      <c r="D3" s="104"/>
      <c r="E3" s="106"/>
      <c r="F3" s="104"/>
      <c r="G3" s="104"/>
    </row>
    <row r="4" spans="1:7" ht="22" x14ac:dyDescent="0.25">
      <c r="A4" s="12" t="s">
        <v>1</v>
      </c>
      <c r="B4" s="12" t="s">
        <v>2</v>
      </c>
      <c r="C4" s="12" t="s">
        <v>3</v>
      </c>
      <c r="D4" s="104"/>
      <c r="E4" s="107" t="s">
        <v>4</v>
      </c>
      <c r="F4" s="99"/>
      <c r="G4" s="99"/>
    </row>
    <row r="5" spans="1:7" ht="44" x14ac:dyDescent="0.25">
      <c r="A5" s="13">
        <v>1</v>
      </c>
      <c r="B5" s="14" t="s">
        <v>5</v>
      </c>
      <c r="C5" s="15" t="s">
        <v>6</v>
      </c>
      <c r="D5" s="104"/>
      <c r="E5" s="16"/>
      <c r="F5" s="98" t="s">
        <v>7</v>
      </c>
      <c r="G5" s="99"/>
    </row>
    <row r="6" spans="1:7" ht="88" x14ac:dyDescent="0.25">
      <c r="A6" s="13">
        <v>2</v>
      </c>
      <c r="B6" s="14" t="s">
        <v>8</v>
      </c>
      <c r="C6" s="15" t="s">
        <v>9</v>
      </c>
      <c r="D6" s="104"/>
      <c r="E6" s="17"/>
      <c r="F6" s="98" t="s">
        <v>10</v>
      </c>
      <c r="G6" s="99"/>
    </row>
    <row r="7" spans="1:7" ht="44" x14ac:dyDescent="0.25">
      <c r="A7" s="13">
        <v>3</v>
      </c>
      <c r="B7" s="14" t="s">
        <v>11</v>
      </c>
      <c r="C7" s="15" t="s">
        <v>12</v>
      </c>
      <c r="D7" s="104"/>
      <c r="E7" s="18">
        <v>-98734</v>
      </c>
      <c r="F7" s="98" t="s">
        <v>13</v>
      </c>
      <c r="G7" s="99"/>
    </row>
    <row r="8" spans="1:7" ht="44" x14ac:dyDescent="0.25">
      <c r="A8" s="13">
        <v>4</v>
      </c>
      <c r="B8" s="14" t="s">
        <v>14</v>
      </c>
      <c r="C8" s="15" t="s">
        <v>15</v>
      </c>
      <c r="D8" s="104"/>
      <c r="E8" s="17" t="s">
        <v>16</v>
      </c>
      <c r="F8" s="98" t="s">
        <v>17</v>
      </c>
      <c r="G8" s="99"/>
    </row>
    <row r="9" spans="1:7" ht="44" x14ac:dyDescent="0.25">
      <c r="A9" s="13">
        <v>5</v>
      </c>
      <c r="B9" s="14" t="s">
        <v>18</v>
      </c>
      <c r="C9" s="15" t="s">
        <v>19</v>
      </c>
      <c r="D9" s="104"/>
      <c r="E9" s="103"/>
      <c r="F9" s="104"/>
      <c r="G9" s="104"/>
    </row>
    <row r="10" spans="1:7" ht="44" x14ac:dyDescent="0.25">
      <c r="A10" s="13">
        <v>6</v>
      </c>
      <c r="B10" s="14" t="s">
        <v>20</v>
      </c>
      <c r="C10" s="15" t="s">
        <v>21</v>
      </c>
      <c r="D10" s="104"/>
      <c r="E10" s="104"/>
      <c r="F10" s="104"/>
      <c r="G10" s="104"/>
    </row>
  </sheetData>
  <sheetProtection sheet="1" objects="1" scenarios="1"/>
  <mergeCells count="12">
    <mergeCell ref="F5:G5"/>
    <mergeCell ref="F6:G6"/>
    <mergeCell ref="F7:G7"/>
    <mergeCell ref="F8:G8"/>
    <mergeCell ref="A1:G1"/>
    <mergeCell ref="A2:C2"/>
    <mergeCell ref="D2:D10"/>
    <mergeCell ref="E2:G2"/>
    <mergeCell ref="A3:C3"/>
    <mergeCell ref="E3:G3"/>
    <mergeCell ref="E4:G4"/>
    <mergeCell ref="E9:G10"/>
  </mergeCells>
  <conditionalFormatting sqref="E7">
    <cfRule type="cellIs" dxfId="5" priority="1" operator="lessThan">
      <formula>0</formula>
    </cfRule>
  </conditionalFormatting>
  <hyperlinks>
    <hyperlink ref="A2" r:id="rId1" xr:uid="{00000000-0004-0000-0000-000000000000}"/>
    <hyperlink ref="B5" location="'Assumptions &amp; Analysis'!A1" display="Assumptions &amp; Analysis" xr:uid="{00000000-0004-0000-0000-000001000000}"/>
    <hyperlink ref="B6" location="'Income Statement Forecasts'!A1" display="Income Statement Forecasts" xr:uid="{00000000-0004-0000-0000-000002000000}"/>
    <hyperlink ref="B7" location="'Cash Flow Forecasts'!A1" display="Cash Flow Forecasts" xr:uid="{00000000-0004-0000-0000-000003000000}"/>
    <hyperlink ref="B8" location="'Projected Balance Sheet'!A1" display="Projected Balance Sheet" xr:uid="{00000000-0004-0000-0000-000004000000}"/>
    <hyperlink ref="B9" location="'Consolidated Cash Flow'!A1" display="Consolidated Cash Flow" xr:uid="{00000000-0004-0000-0000-000005000000}"/>
    <hyperlink ref="B10" location="'Part 2 - Impact of Standards'!A1" display="Part 2 : Impact of Standards" xr:uid="{00000000-0004-0000-0000-000006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outlinePr summaryBelow="0" summaryRight="0"/>
  </sheetPr>
  <dimension ref="A1:AD39"/>
  <sheetViews>
    <sheetView workbookViewId="0"/>
  </sheetViews>
  <sheetFormatPr baseColWidth="10" defaultColWidth="12.6640625" defaultRowHeight="24" customHeight="1" x14ac:dyDescent="0.2"/>
  <cols>
    <col min="1" max="1" width="42.33203125" style="39" customWidth="1"/>
    <col min="2" max="2" width="13.5" style="39" customWidth="1"/>
    <col min="3" max="7" width="10.6640625" style="39" customWidth="1"/>
    <col min="8" max="8" width="6" style="39" customWidth="1"/>
    <col min="9" max="9" width="31.83203125" style="39" customWidth="1"/>
    <col min="10" max="10" width="21.83203125" style="39" customWidth="1"/>
    <col min="11" max="11" width="6.83203125" style="39" customWidth="1"/>
    <col min="12" max="12" width="9.6640625" style="39" customWidth="1"/>
    <col min="13" max="17" width="12.6640625" style="39"/>
    <col min="18" max="18" width="5.6640625" style="39" customWidth="1"/>
    <col min="19" max="19" width="11.33203125" style="39" customWidth="1"/>
    <col min="20" max="24" width="12.6640625" style="39"/>
    <col min="25" max="25" width="6.6640625" style="39" customWidth="1"/>
    <col min="26" max="30" width="12.6640625" style="39" hidden="1"/>
    <col min="31" max="16384" width="12.6640625" style="39"/>
  </cols>
  <sheetData>
    <row r="1" spans="1:30" ht="24" customHeight="1" x14ac:dyDescent="0.25">
      <c r="A1" s="19" t="s">
        <v>22</v>
      </c>
      <c r="B1" s="28"/>
      <c r="C1" s="29" t="s">
        <v>23</v>
      </c>
      <c r="D1" s="29" t="s">
        <v>24</v>
      </c>
      <c r="E1" s="29" t="s">
        <v>25</v>
      </c>
      <c r="F1" s="29" t="s">
        <v>26</v>
      </c>
      <c r="G1" s="29" t="s">
        <v>27</v>
      </c>
      <c r="H1" s="40"/>
      <c r="I1" s="125" t="s">
        <v>28</v>
      </c>
      <c r="J1" s="109"/>
      <c r="K1" s="122"/>
      <c r="L1" s="116" t="s">
        <v>29</v>
      </c>
      <c r="M1" s="117"/>
      <c r="N1" s="117"/>
      <c r="O1" s="117"/>
      <c r="P1" s="117"/>
      <c r="Q1" s="117"/>
      <c r="R1" s="62"/>
      <c r="S1" s="116" t="s">
        <v>30</v>
      </c>
      <c r="T1" s="117"/>
      <c r="U1" s="117"/>
      <c r="V1" s="117"/>
      <c r="W1" s="117"/>
      <c r="X1" s="117"/>
      <c r="Y1" s="108"/>
      <c r="Z1" s="23" t="s">
        <v>23</v>
      </c>
      <c r="AA1" s="23" t="s">
        <v>24</v>
      </c>
      <c r="AB1" s="23" t="s">
        <v>25</v>
      </c>
      <c r="AC1" s="23" t="s">
        <v>26</v>
      </c>
      <c r="AD1" s="23" t="s">
        <v>27</v>
      </c>
    </row>
    <row r="2" spans="1:30" ht="24" customHeight="1" x14ac:dyDescent="0.25">
      <c r="A2" s="118" t="s">
        <v>31</v>
      </c>
      <c r="B2" s="117"/>
      <c r="C2" s="117"/>
      <c r="D2" s="117"/>
      <c r="E2" s="117"/>
      <c r="F2" s="117"/>
      <c r="G2" s="117"/>
      <c r="H2" s="41"/>
      <c r="I2" s="37"/>
      <c r="J2" s="37" t="s">
        <v>32</v>
      </c>
      <c r="K2" s="123"/>
      <c r="L2" s="111"/>
      <c r="M2" s="119" t="s">
        <v>33</v>
      </c>
      <c r="N2" s="117"/>
      <c r="O2" s="117"/>
      <c r="P2" s="117"/>
      <c r="Q2" s="117"/>
      <c r="R2" s="41"/>
      <c r="S2" s="111"/>
      <c r="T2" s="119" t="s">
        <v>149</v>
      </c>
      <c r="U2" s="117"/>
      <c r="V2" s="117"/>
      <c r="W2" s="117"/>
      <c r="X2" s="117"/>
      <c r="Y2" s="109"/>
      <c r="Z2" s="24">
        <f t="shared" ref="Z2:AD2" si="0">($B$8+($J$8*$B$8))*($B$9+($J$9*$B$9))*(C3+($J$3*C3))</f>
        <v>40656</v>
      </c>
      <c r="AA2" s="25">
        <f t="shared" si="0"/>
        <v>43095.360000000001</v>
      </c>
      <c r="AB2" s="25">
        <f t="shared" si="0"/>
        <v>45681.081600000005</v>
      </c>
      <c r="AC2" s="25">
        <f t="shared" si="0"/>
        <v>48421.946496000004</v>
      </c>
      <c r="AD2" s="25">
        <f t="shared" si="0"/>
        <v>51327.263285760004</v>
      </c>
    </row>
    <row r="3" spans="1:30" ht="24" customHeight="1" x14ac:dyDescent="0.25">
      <c r="A3" s="21" t="s">
        <v>34</v>
      </c>
      <c r="B3" s="30"/>
      <c r="C3" s="92">
        <v>1500</v>
      </c>
      <c r="D3" s="31">
        <f>C3+(C3*$B$4)</f>
        <v>1590</v>
      </c>
      <c r="E3" s="31">
        <f>D3+(D3*$B$4)</f>
        <v>1685.4</v>
      </c>
      <c r="F3" s="31">
        <f t="shared" ref="F3:G3" si="1">E3+(E3*$B$4)</f>
        <v>1786.5240000000001</v>
      </c>
      <c r="G3" s="31">
        <f t="shared" si="1"/>
        <v>1893.7154400000002</v>
      </c>
      <c r="H3" s="41"/>
      <c r="I3" s="38" t="s">
        <v>35</v>
      </c>
      <c r="J3" s="93">
        <v>0.1</v>
      </c>
      <c r="K3" s="123"/>
      <c r="L3" s="112"/>
      <c r="M3" s="37" t="s">
        <v>23</v>
      </c>
      <c r="N3" s="37" t="s">
        <v>24</v>
      </c>
      <c r="O3" s="37" t="s">
        <v>25</v>
      </c>
      <c r="P3" s="37" t="s">
        <v>26</v>
      </c>
      <c r="Q3" s="37" t="s">
        <v>27</v>
      </c>
      <c r="R3" s="41"/>
      <c r="S3" s="112"/>
      <c r="T3" s="37" t="s">
        <v>23</v>
      </c>
      <c r="U3" s="37" t="s">
        <v>24</v>
      </c>
      <c r="V3" s="37" t="s">
        <v>25</v>
      </c>
      <c r="W3" s="37" t="s">
        <v>26</v>
      </c>
      <c r="X3" s="37" t="s">
        <v>27</v>
      </c>
      <c r="Y3" s="109"/>
      <c r="Z3" s="24">
        <f t="shared" ref="Z3:AD3" si="2">($B$10+($J$10*$B$10))*(C3+($J$3*C3))</f>
        <v>8662.5</v>
      </c>
      <c r="AA3" s="24">
        <f t="shared" si="2"/>
        <v>9182.25</v>
      </c>
      <c r="AB3" s="24">
        <f t="shared" si="2"/>
        <v>9733.1849999999995</v>
      </c>
      <c r="AC3" s="24">
        <f t="shared" si="2"/>
        <v>10317.176100000001</v>
      </c>
      <c r="AD3" s="24">
        <f t="shared" si="2"/>
        <v>10936.206666</v>
      </c>
    </row>
    <row r="4" spans="1:30" ht="24" customHeight="1" x14ac:dyDescent="0.2">
      <c r="A4" s="21" t="s">
        <v>36</v>
      </c>
      <c r="B4" s="94">
        <v>0.06</v>
      </c>
      <c r="C4" s="32"/>
      <c r="D4" s="32"/>
      <c r="E4" s="33"/>
      <c r="F4" s="33"/>
      <c r="G4" s="33"/>
      <c r="H4" s="41"/>
      <c r="I4" s="38" t="s">
        <v>37</v>
      </c>
      <c r="J4" s="93">
        <v>0.03</v>
      </c>
      <c r="K4" s="123"/>
      <c r="L4" s="42" t="s">
        <v>38</v>
      </c>
      <c r="M4" s="43">
        <f t="shared" ref="M4:Q4" si="3">C3*C5</f>
        <v>180000</v>
      </c>
      <c r="N4" s="43">
        <f t="shared" si="3"/>
        <v>190800</v>
      </c>
      <c r="O4" s="43">
        <f t="shared" si="3"/>
        <v>269664</v>
      </c>
      <c r="P4" s="43">
        <f t="shared" si="3"/>
        <v>285843.84000000003</v>
      </c>
      <c r="Q4" s="43">
        <f t="shared" si="3"/>
        <v>302994.47040000005</v>
      </c>
      <c r="R4" s="41"/>
      <c r="S4" s="46" t="s">
        <v>38</v>
      </c>
      <c r="T4" s="47">
        <f>'Income Statement Forecasts'!C5-(SUM('Income Statement Forecasts'!C7:C9))</f>
        <v>138000</v>
      </c>
      <c r="U4" s="47">
        <f>'Income Statement Forecasts'!D5-(SUM('Income Statement Forecasts'!D7:D9))</f>
        <v>146280</v>
      </c>
      <c r="V4" s="47">
        <f>'Income Statement Forecasts'!E5-(SUM('Income Statement Forecasts'!E7:E9))</f>
        <v>222472.8</v>
      </c>
      <c r="W4" s="47">
        <f>'Income Statement Forecasts'!F5-(SUM('Income Statement Forecasts'!F7:F9))</f>
        <v>235821.16800000001</v>
      </c>
      <c r="X4" s="47">
        <f>'Income Statement Forecasts'!G5-(SUM('Income Statement Forecasts'!G7:G9))</f>
        <v>249970.43808000005</v>
      </c>
      <c r="Y4" s="109"/>
      <c r="Z4" s="26">
        <f t="shared" ref="Z4:AD4" si="4">($B$11+($J$11*$B$11))*(C3+($J$3*C3))</f>
        <v>4851</v>
      </c>
      <c r="AA4" s="27">
        <f t="shared" si="4"/>
        <v>5142.0599999999995</v>
      </c>
      <c r="AB4" s="27">
        <f t="shared" si="4"/>
        <v>5450.5835999999999</v>
      </c>
      <c r="AC4" s="27">
        <f t="shared" si="4"/>
        <v>5777.6186159999997</v>
      </c>
      <c r="AD4" s="27">
        <f t="shared" si="4"/>
        <v>6124.2757329599999</v>
      </c>
    </row>
    <row r="5" spans="1:30" ht="24" customHeight="1" x14ac:dyDescent="0.25">
      <c r="A5" s="21" t="s">
        <v>37</v>
      </c>
      <c r="B5" s="30"/>
      <c r="C5" s="92">
        <v>120</v>
      </c>
      <c r="D5" s="31">
        <v>120</v>
      </c>
      <c r="E5" s="31">
        <v>160</v>
      </c>
      <c r="F5" s="31">
        <v>160</v>
      </c>
      <c r="G5" s="31">
        <v>160</v>
      </c>
      <c r="H5" s="41"/>
      <c r="I5" s="126"/>
      <c r="J5" s="117"/>
      <c r="K5" s="123"/>
      <c r="L5" s="44" t="s">
        <v>39</v>
      </c>
      <c r="M5" s="45">
        <f t="shared" ref="M5:Q5" si="5">(C3+($J$3*C3))*(C5+($J$4*C5))</f>
        <v>203940</v>
      </c>
      <c r="N5" s="45">
        <f t="shared" si="5"/>
        <v>216176.4</v>
      </c>
      <c r="O5" s="45">
        <f t="shared" si="5"/>
        <v>305529.31200000003</v>
      </c>
      <c r="P5" s="45">
        <f t="shared" si="5"/>
        <v>323861.07072000002</v>
      </c>
      <c r="Q5" s="45">
        <f t="shared" si="5"/>
        <v>343292.73496320006</v>
      </c>
      <c r="R5" s="41"/>
      <c r="S5" s="44" t="s">
        <v>39</v>
      </c>
      <c r="T5" s="45">
        <f t="shared" ref="T5:X5" si="6">M5-Z5</f>
        <v>149770.5</v>
      </c>
      <c r="U5" s="45">
        <f t="shared" si="6"/>
        <v>158756.72999999998</v>
      </c>
      <c r="V5" s="45">
        <f t="shared" si="6"/>
        <v>244664.46180000005</v>
      </c>
      <c r="W5" s="45">
        <f t="shared" si="6"/>
        <v>259344.32950800002</v>
      </c>
      <c r="X5" s="45">
        <f t="shared" si="6"/>
        <v>274904.98927848006</v>
      </c>
      <c r="Y5" s="109"/>
      <c r="Z5" s="26">
        <f t="shared" ref="Z5:AC5" si="7">SUM(Z2:Z4)</f>
        <v>54169.5</v>
      </c>
      <c r="AA5" s="27">
        <f t="shared" si="7"/>
        <v>57419.67</v>
      </c>
      <c r="AB5" s="25">
        <f t="shared" si="7"/>
        <v>60864.850200000001</v>
      </c>
      <c r="AC5" s="25">
        <f t="shared" si="7"/>
        <v>64516.741212000001</v>
      </c>
      <c r="AD5" s="25">
        <f>SUM(AD2:AD4)</f>
        <v>68387.745684720008</v>
      </c>
    </row>
    <row r="6" spans="1:30" ht="24" customHeight="1" x14ac:dyDescent="0.25">
      <c r="A6" s="120"/>
      <c r="B6" s="117"/>
      <c r="C6" s="117"/>
      <c r="D6" s="117"/>
      <c r="E6" s="117"/>
      <c r="F6" s="117"/>
      <c r="G6" s="117"/>
      <c r="H6" s="41"/>
      <c r="I6" s="117"/>
      <c r="J6" s="117"/>
      <c r="K6" s="123"/>
      <c r="L6" s="40"/>
      <c r="M6" s="41"/>
      <c r="N6" s="41"/>
      <c r="O6" s="41"/>
      <c r="P6" s="41"/>
      <c r="Q6" s="41"/>
      <c r="R6" s="41"/>
      <c r="S6" s="40"/>
      <c r="T6" s="41"/>
      <c r="U6" s="41"/>
      <c r="V6" s="41"/>
      <c r="W6" s="41"/>
      <c r="X6" s="41"/>
      <c r="Y6" s="109"/>
      <c r="Z6" s="26"/>
      <c r="AA6" s="26"/>
      <c r="AB6" s="26"/>
      <c r="AC6" s="26"/>
      <c r="AD6" s="26"/>
    </row>
    <row r="7" spans="1:30" ht="24" customHeight="1" x14ac:dyDescent="0.2">
      <c r="A7" s="121" t="s">
        <v>40</v>
      </c>
      <c r="B7" s="117"/>
      <c r="C7" s="117"/>
      <c r="D7" s="117"/>
      <c r="E7" s="117"/>
      <c r="F7" s="117"/>
      <c r="G7" s="117"/>
      <c r="H7" s="41"/>
      <c r="I7" s="37" t="s">
        <v>41</v>
      </c>
      <c r="J7" s="37" t="s">
        <v>32</v>
      </c>
      <c r="K7" s="123"/>
      <c r="L7" s="41"/>
      <c r="M7" s="41"/>
      <c r="N7" s="41"/>
      <c r="O7" s="41"/>
      <c r="P7" s="41"/>
      <c r="Q7" s="41"/>
      <c r="R7" s="41"/>
      <c r="S7" s="41"/>
      <c r="T7" s="41"/>
      <c r="U7" s="41"/>
      <c r="V7" s="41"/>
      <c r="W7" s="41"/>
      <c r="X7" s="41"/>
      <c r="Y7" s="109"/>
      <c r="Z7" s="26"/>
      <c r="AA7" s="26"/>
      <c r="AB7" s="26"/>
      <c r="AC7" s="26"/>
      <c r="AD7" s="26"/>
    </row>
    <row r="8" spans="1:30" ht="24" customHeight="1" x14ac:dyDescent="0.2">
      <c r="A8" s="21" t="s">
        <v>42</v>
      </c>
      <c r="B8" s="95">
        <v>5</v>
      </c>
      <c r="C8" s="33"/>
      <c r="D8" s="33"/>
      <c r="E8" s="33"/>
      <c r="F8" s="33"/>
      <c r="G8" s="33"/>
      <c r="H8" s="41"/>
      <c r="I8" s="20" t="s">
        <v>42</v>
      </c>
      <c r="J8" s="93">
        <v>0.12</v>
      </c>
      <c r="K8" s="123"/>
      <c r="L8" s="41"/>
      <c r="M8" s="41"/>
      <c r="N8" s="41"/>
      <c r="O8" s="41"/>
      <c r="P8" s="41"/>
      <c r="Q8" s="41"/>
      <c r="R8" s="41"/>
      <c r="S8" s="41"/>
      <c r="T8" s="41"/>
      <c r="U8" s="41"/>
      <c r="V8" s="41"/>
      <c r="W8" s="41"/>
      <c r="X8" s="41"/>
      <c r="Y8" s="109"/>
      <c r="Z8" s="108"/>
      <c r="AA8" s="109"/>
      <c r="AB8" s="109"/>
      <c r="AC8" s="109"/>
      <c r="AD8" s="109"/>
    </row>
    <row r="9" spans="1:30" ht="24" customHeight="1" x14ac:dyDescent="0.2">
      <c r="A9" s="21" t="s">
        <v>43</v>
      </c>
      <c r="B9" s="95">
        <v>4</v>
      </c>
      <c r="C9" s="33"/>
      <c r="D9" s="33"/>
      <c r="E9" s="33"/>
      <c r="F9" s="33"/>
      <c r="G9" s="33"/>
      <c r="H9" s="41"/>
      <c r="I9" s="20" t="s">
        <v>43</v>
      </c>
      <c r="J9" s="93">
        <v>0.1</v>
      </c>
      <c r="K9" s="123"/>
      <c r="L9" s="41"/>
      <c r="M9" s="41"/>
      <c r="N9" s="41"/>
      <c r="O9" s="41"/>
      <c r="P9" s="41"/>
      <c r="Q9" s="41"/>
      <c r="R9" s="41"/>
      <c r="S9" s="41"/>
      <c r="T9" s="41"/>
      <c r="U9" s="41"/>
      <c r="V9" s="41"/>
      <c r="W9" s="41"/>
      <c r="X9" s="41"/>
      <c r="Y9" s="109"/>
      <c r="Z9" s="109"/>
      <c r="AA9" s="109"/>
      <c r="AB9" s="109"/>
      <c r="AC9" s="109"/>
      <c r="AD9" s="109"/>
    </row>
    <row r="10" spans="1:30" ht="24" customHeight="1" x14ac:dyDescent="0.2">
      <c r="A10" s="21" t="s">
        <v>44</v>
      </c>
      <c r="B10" s="95">
        <v>5</v>
      </c>
      <c r="C10" s="33"/>
      <c r="D10" s="33"/>
      <c r="E10" s="33"/>
      <c r="F10" s="33"/>
      <c r="G10" s="33"/>
      <c r="H10" s="41"/>
      <c r="I10" s="20" t="s">
        <v>44</v>
      </c>
      <c r="J10" s="93">
        <v>0.05</v>
      </c>
      <c r="K10" s="123"/>
      <c r="L10" s="41"/>
      <c r="M10" s="41"/>
      <c r="N10" s="41"/>
      <c r="O10" s="41"/>
      <c r="P10" s="41"/>
      <c r="Q10" s="41"/>
      <c r="R10" s="41"/>
      <c r="S10" s="41"/>
      <c r="T10" s="41"/>
      <c r="U10" s="41"/>
      <c r="V10" s="41"/>
      <c r="W10" s="41"/>
      <c r="X10" s="41"/>
      <c r="Y10" s="109"/>
      <c r="Z10" s="109"/>
      <c r="AA10" s="109"/>
      <c r="AB10" s="109"/>
      <c r="AC10" s="109"/>
      <c r="AD10" s="109"/>
    </row>
    <row r="11" spans="1:30" ht="40" x14ac:dyDescent="0.2">
      <c r="A11" s="21" t="s">
        <v>150</v>
      </c>
      <c r="B11" s="95">
        <v>3</v>
      </c>
      <c r="C11" s="33"/>
      <c r="D11" s="33"/>
      <c r="E11" s="33"/>
      <c r="F11" s="33"/>
      <c r="G11" s="33"/>
      <c r="H11" s="41"/>
      <c r="I11" s="20" t="s">
        <v>151</v>
      </c>
      <c r="J11" s="93">
        <v>-0.02</v>
      </c>
      <c r="K11" s="123"/>
      <c r="L11" s="41"/>
      <c r="M11" s="41"/>
      <c r="N11" s="41"/>
      <c r="O11" s="41"/>
      <c r="P11" s="41"/>
      <c r="Q11" s="41"/>
      <c r="R11" s="41"/>
      <c r="S11" s="41"/>
      <c r="T11" s="41"/>
      <c r="U11" s="41"/>
      <c r="V11" s="41"/>
      <c r="W11" s="41"/>
      <c r="X11" s="41"/>
      <c r="Y11" s="109"/>
      <c r="Z11" s="109"/>
      <c r="AA11" s="109"/>
      <c r="AB11" s="109"/>
      <c r="AC11" s="109"/>
      <c r="AD11" s="109"/>
    </row>
    <row r="12" spans="1:30" ht="24" customHeight="1" x14ac:dyDescent="0.25">
      <c r="A12" s="113"/>
      <c r="B12" s="114"/>
      <c r="C12" s="114"/>
      <c r="D12" s="114"/>
      <c r="E12" s="114"/>
      <c r="F12" s="114"/>
      <c r="G12" s="115"/>
      <c r="H12" s="41"/>
      <c r="I12" s="124"/>
      <c r="J12" s="117"/>
      <c r="K12" s="123"/>
      <c r="L12" s="41"/>
      <c r="M12" s="41"/>
      <c r="N12" s="41"/>
      <c r="O12" s="41"/>
      <c r="P12" s="41"/>
      <c r="Q12" s="41"/>
      <c r="R12" s="41"/>
      <c r="S12" s="41"/>
      <c r="T12" s="41"/>
      <c r="U12" s="41"/>
      <c r="V12" s="41"/>
      <c r="W12" s="41"/>
      <c r="X12" s="41"/>
      <c r="Y12" s="109"/>
      <c r="Z12" s="109"/>
      <c r="AA12" s="109"/>
      <c r="AB12" s="109"/>
      <c r="AC12" s="109"/>
      <c r="AD12" s="109"/>
    </row>
    <row r="13" spans="1:30" ht="24" customHeight="1" x14ac:dyDescent="0.2">
      <c r="A13" s="121" t="s">
        <v>45</v>
      </c>
      <c r="B13" s="117"/>
      <c r="C13" s="117"/>
      <c r="D13" s="117"/>
      <c r="E13" s="117"/>
      <c r="F13" s="117"/>
      <c r="G13" s="117"/>
      <c r="H13" s="41"/>
      <c r="I13" s="110" t="s">
        <v>152</v>
      </c>
      <c r="J13" s="110"/>
      <c r="K13" s="123"/>
      <c r="L13" s="41"/>
      <c r="M13" s="41"/>
      <c r="N13" s="41"/>
      <c r="O13" s="41"/>
      <c r="P13" s="41"/>
      <c r="Q13" s="41"/>
      <c r="R13" s="41"/>
      <c r="S13" s="41"/>
      <c r="T13" s="41"/>
      <c r="U13" s="41"/>
      <c r="V13" s="41"/>
      <c r="W13" s="41"/>
      <c r="X13" s="41"/>
      <c r="Y13" s="109"/>
      <c r="Z13" s="109"/>
      <c r="AA13" s="109"/>
      <c r="AB13" s="109"/>
      <c r="AC13" s="109"/>
      <c r="AD13" s="109"/>
    </row>
    <row r="14" spans="1:30" ht="24" customHeight="1" x14ac:dyDescent="0.2">
      <c r="A14" s="21" t="s">
        <v>46</v>
      </c>
      <c r="B14" s="30"/>
      <c r="C14" s="92">
        <v>70000</v>
      </c>
      <c r="D14" s="31">
        <f t="shared" ref="D14:G14" si="8">C14+(C14*$B$15)</f>
        <v>71400</v>
      </c>
      <c r="E14" s="31">
        <f t="shared" si="8"/>
        <v>72828</v>
      </c>
      <c r="F14" s="31">
        <f t="shared" si="8"/>
        <v>74284.56</v>
      </c>
      <c r="G14" s="31">
        <f t="shared" si="8"/>
        <v>75770.251199999999</v>
      </c>
      <c r="H14" s="41"/>
      <c r="I14" s="110"/>
      <c r="J14" s="110"/>
      <c r="K14" s="123"/>
      <c r="L14" s="41"/>
      <c r="M14" s="41"/>
      <c r="N14" s="41"/>
      <c r="O14" s="41"/>
      <c r="P14" s="41"/>
      <c r="Q14" s="41"/>
      <c r="R14" s="41"/>
      <c r="S14" s="41"/>
      <c r="T14" s="41"/>
      <c r="U14" s="41"/>
      <c r="V14" s="41"/>
      <c r="W14" s="41"/>
      <c r="X14" s="41"/>
      <c r="Y14" s="109"/>
      <c r="Z14" s="109"/>
      <c r="AA14" s="109"/>
      <c r="AB14" s="109"/>
      <c r="AC14" s="109"/>
      <c r="AD14" s="109"/>
    </row>
    <row r="15" spans="1:30" ht="24" customHeight="1" x14ac:dyDescent="0.2">
      <c r="A15" s="21" t="s">
        <v>47</v>
      </c>
      <c r="B15" s="94">
        <v>0.02</v>
      </c>
      <c r="C15" s="33"/>
      <c r="D15" s="33"/>
      <c r="E15" s="33"/>
      <c r="F15" s="33"/>
      <c r="G15" s="33"/>
      <c r="H15" s="41"/>
      <c r="I15" s="110"/>
      <c r="J15" s="110"/>
      <c r="K15" s="123"/>
      <c r="L15" s="41"/>
      <c r="M15" s="41"/>
      <c r="N15" s="41"/>
      <c r="O15" s="41"/>
      <c r="P15" s="41"/>
      <c r="Q15" s="41"/>
      <c r="R15" s="41"/>
      <c r="S15" s="41"/>
      <c r="T15" s="41"/>
      <c r="U15" s="41"/>
      <c r="V15" s="41"/>
      <c r="W15" s="41"/>
      <c r="X15" s="41"/>
      <c r="Y15" s="109"/>
      <c r="Z15" s="109"/>
      <c r="AA15" s="109"/>
      <c r="AB15" s="109"/>
      <c r="AC15" s="109"/>
      <c r="AD15" s="109"/>
    </row>
    <row r="16" spans="1:30" ht="24" customHeight="1" x14ac:dyDescent="0.2">
      <c r="A16" s="21" t="s">
        <v>153</v>
      </c>
      <c r="B16" s="95">
        <v>10</v>
      </c>
      <c r="C16" s="31">
        <f t="shared" ref="C16:G16" si="9">$B$26/$B$16</f>
        <v>24000</v>
      </c>
      <c r="D16" s="31">
        <f t="shared" si="9"/>
        <v>24000</v>
      </c>
      <c r="E16" s="31">
        <f t="shared" si="9"/>
        <v>24000</v>
      </c>
      <c r="F16" s="31">
        <f t="shared" si="9"/>
        <v>24000</v>
      </c>
      <c r="G16" s="31">
        <f t="shared" si="9"/>
        <v>24000</v>
      </c>
      <c r="H16" s="41"/>
      <c r="I16" s="110"/>
      <c r="J16" s="110"/>
      <c r="K16" s="123"/>
      <c r="L16" s="41"/>
      <c r="M16" s="41"/>
      <c r="N16" s="41"/>
      <c r="O16" s="41"/>
      <c r="P16" s="41"/>
      <c r="Q16" s="41"/>
      <c r="R16" s="41"/>
      <c r="S16" s="41"/>
      <c r="T16" s="41"/>
      <c r="U16" s="41"/>
      <c r="V16" s="41"/>
      <c r="W16" s="41"/>
      <c r="X16" s="41"/>
      <c r="Y16" s="109"/>
      <c r="Z16" s="109"/>
      <c r="AA16" s="109"/>
      <c r="AB16" s="109"/>
      <c r="AC16" s="109"/>
      <c r="AD16" s="109"/>
    </row>
    <row r="17" spans="1:30" ht="24" customHeight="1" x14ac:dyDescent="0.2">
      <c r="A17" s="21" t="s">
        <v>48</v>
      </c>
      <c r="B17" s="95">
        <v>6</v>
      </c>
      <c r="C17" s="31">
        <f t="shared" ref="C17:G17" si="10">$B$27/$B$17</f>
        <v>20000</v>
      </c>
      <c r="D17" s="31">
        <f t="shared" si="10"/>
        <v>20000</v>
      </c>
      <c r="E17" s="31">
        <f t="shared" si="10"/>
        <v>20000</v>
      </c>
      <c r="F17" s="31">
        <f t="shared" si="10"/>
        <v>20000</v>
      </c>
      <c r="G17" s="31">
        <f t="shared" si="10"/>
        <v>20000</v>
      </c>
      <c r="H17" s="41"/>
      <c r="I17" s="110"/>
      <c r="J17" s="110"/>
      <c r="K17" s="123"/>
      <c r="L17" s="41"/>
      <c r="M17" s="41"/>
      <c r="N17" s="41"/>
      <c r="O17" s="41"/>
      <c r="P17" s="41"/>
      <c r="Q17" s="41"/>
      <c r="R17" s="41"/>
      <c r="S17" s="41"/>
      <c r="T17" s="41"/>
      <c r="U17" s="41"/>
      <c r="V17" s="41"/>
      <c r="W17" s="41"/>
      <c r="X17" s="41"/>
      <c r="Y17" s="109"/>
      <c r="Z17" s="109"/>
      <c r="AA17" s="109"/>
      <c r="AB17" s="109"/>
      <c r="AC17" s="109"/>
      <c r="AD17" s="109"/>
    </row>
    <row r="18" spans="1:30" ht="24" customHeight="1" x14ac:dyDescent="0.2">
      <c r="A18" s="21" t="s">
        <v>49</v>
      </c>
      <c r="B18" s="30"/>
      <c r="C18" s="92">
        <v>30000</v>
      </c>
      <c r="D18" s="31">
        <f t="shared" ref="D18:G18" si="11">C18+(C18*$B$19)</f>
        <v>30900</v>
      </c>
      <c r="E18" s="31">
        <f t="shared" si="11"/>
        <v>31827</v>
      </c>
      <c r="F18" s="31">
        <f t="shared" si="11"/>
        <v>32781.81</v>
      </c>
      <c r="G18" s="31">
        <f t="shared" si="11"/>
        <v>33765.264299999995</v>
      </c>
      <c r="H18" s="41"/>
      <c r="I18" s="110"/>
      <c r="J18" s="110"/>
      <c r="K18" s="123"/>
      <c r="L18" s="41"/>
      <c r="M18" s="41"/>
      <c r="N18" s="41"/>
      <c r="O18" s="41"/>
      <c r="P18" s="41"/>
      <c r="Q18" s="41"/>
      <c r="R18" s="41"/>
      <c r="S18" s="41"/>
      <c r="T18" s="41"/>
      <c r="U18" s="41"/>
      <c r="V18" s="41"/>
      <c r="W18" s="41"/>
      <c r="X18" s="41"/>
      <c r="Y18" s="109"/>
      <c r="Z18" s="109"/>
      <c r="AA18" s="109"/>
      <c r="AB18" s="109"/>
      <c r="AC18" s="109"/>
      <c r="AD18" s="109"/>
    </row>
    <row r="19" spans="1:30" ht="24" customHeight="1" x14ac:dyDescent="0.2">
      <c r="A19" s="21" t="s">
        <v>50</v>
      </c>
      <c r="B19" s="94">
        <v>0.03</v>
      </c>
      <c r="C19" s="33"/>
      <c r="D19" s="33"/>
      <c r="E19" s="33"/>
      <c r="F19" s="33"/>
      <c r="G19" s="33"/>
      <c r="H19" s="41"/>
      <c r="I19" s="110"/>
      <c r="J19" s="110"/>
      <c r="K19" s="123"/>
      <c r="L19" s="41"/>
      <c r="M19" s="41"/>
      <c r="N19" s="41"/>
      <c r="O19" s="41"/>
      <c r="P19" s="41"/>
      <c r="Q19" s="41"/>
      <c r="R19" s="41"/>
      <c r="S19" s="41"/>
      <c r="T19" s="41"/>
      <c r="U19" s="41"/>
      <c r="V19" s="41"/>
      <c r="W19" s="41"/>
      <c r="X19" s="41"/>
      <c r="Y19" s="109"/>
      <c r="Z19" s="109"/>
      <c r="AA19" s="109"/>
      <c r="AB19" s="109"/>
      <c r="AC19" s="109"/>
      <c r="AD19" s="109"/>
    </row>
    <row r="20" spans="1:30" ht="24" customHeight="1" x14ac:dyDescent="0.2">
      <c r="A20" s="21" t="s">
        <v>51</v>
      </c>
      <c r="B20" s="92">
        <v>20000</v>
      </c>
      <c r="C20" s="31"/>
      <c r="D20" s="31"/>
      <c r="E20" s="31"/>
      <c r="F20" s="31"/>
      <c r="G20" s="31"/>
      <c r="H20" s="41"/>
      <c r="I20" s="110"/>
      <c r="J20" s="110"/>
      <c r="K20" s="123"/>
      <c r="L20" s="41"/>
      <c r="M20" s="41"/>
      <c r="N20" s="41"/>
      <c r="O20" s="41"/>
      <c r="P20" s="41"/>
      <c r="Q20" s="41"/>
      <c r="R20" s="41"/>
      <c r="S20" s="41"/>
      <c r="T20" s="41"/>
      <c r="U20" s="41"/>
      <c r="V20" s="41"/>
      <c r="W20" s="41"/>
      <c r="X20" s="41"/>
      <c r="Y20" s="109"/>
      <c r="Z20" s="109"/>
      <c r="AA20" s="109"/>
      <c r="AB20" s="109"/>
      <c r="AC20" s="109"/>
      <c r="AD20" s="109"/>
    </row>
    <row r="21" spans="1:30" ht="40" x14ac:dyDescent="0.2">
      <c r="A21" s="21" t="s">
        <v>52</v>
      </c>
      <c r="B21" s="95">
        <v>4</v>
      </c>
      <c r="C21" s="31">
        <f>B20/B21*3</f>
        <v>15000</v>
      </c>
      <c r="D21" s="31">
        <f>B20/$B$21*3+B20/4</f>
        <v>20000</v>
      </c>
      <c r="E21" s="31">
        <f t="shared" ref="E21:G21" si="12">$B$20/$B$21*3+D21/4</f>
        <v>20000</v>
      </c>
      <c r="F21" s="31">
        <f t="shared" si="12"/>
        <v>20000</v>
      </c>
      <c r="G21" s="31">
        <f t="shared" si="12"/>
        <v>20000</v>
      </c>
      <c r="H21" s="41"/>
      <c r="I21" s="110"/>
      <c r="J21" s="110"/>
      <c r="K21" s="123"/>
      <c r="L21" s="41"/>
      <c r="M21" s="41"/>
      <c r="N21" s="41"/>
      <c r="O21" s="41"/>
      <c r="P21" s="41"/>
      <c r="Q21" s="41"/>
      <c r="R21" s="41"/>
      <c r="S21" s="41"/>
      <c r="T21" s="41"/>
      <c r="U21" s="41"/>
      <c r="V21" s="41"/>
      <c r="W21" s="41"/>
      <c r="X21" s="41"/>
      <c r="Y21" s="109"/>
      <c r="Z21" s="109"/>
      <c r="AA21" s="109"/>
      <c r="AB21" s="109"/>
      <c r="AC21" s="109"/>
      <c r="AD21" s="109"/>
    </row>
    <row r="22" spans="1:30" ht="80" x14ac:dyDescent="0.2">
      <c r="A22" s="21" t="s">
        <v>154</v>
      </c>
      <c r="B22" s="92">
        <v>24000</v>
      </c>
      <c r="C22" s="34"/>
      <c r="D22" s="31"/>
      <c r="E22" s="31"/>
      <c r="F22" s="31"/>
      <c r="G22" s="31"/>
      <c r="H22" s="41"/>
      <c r="I22" s="110"/>
      <c r="J22" s="110"/>
      <c r="K22" s="123"/>
      <c r="L22" s="41"/>
      <c r="M22" s="41"/>
      <c r="N22" s="41"/>
      <c r="O22" s="41"/>
      <c r="P22" s="41"/>
      <c r="Q22" s="41"/>
      <c r="R22" s="41"/>
      <c r="S22" s="41"/>
      <c r="T22" s="41"/>
      <c r="U22" s="41"/>
      <c r="V22" s="41"/>
      <c r="W22" s="41"/>
      <c r="X22" s="41"/>
      <c r="Y22" s="109"/>
      <c r="Z22" s="109"/>
      <c r="AA22" s="109"/>
      <c r="AB22" s="109"/>
      <c r="AC22" s="109"/>
      <c r="AD22" s="109"/>
    </row>
    <row r="23" spans="1:30" ht="24" customHeight="1" x14ac:dyDescent="0.2">
      <c r="A23" s="113"/>
      <c r="B23" s="114"/>
      <c r="C23" s="114"/>
      <c r="D23" s="114"/>
      <c r="E23" s="114"/>
      <c r="F23" s="114"/>
      <c r="G23" s="115"/>
      <c r="H23" s="41"/>
      <c r="I23" s="41"/>
      <c r="J23" s="41"/>
      <c r="K23" s="123"/>
      <c r="L23" s="41"/>
      <c r="M23" s="41"/>
      <c r="N23" s="41"/>
      <c r="O23" s="41"/>
      <c r="P23" s="41"/>
      <c r="Q23" s="41"/>
      <c r="R23" s="41"/>
      <c r="S23" s="41"/>
      <c r="T23" s="41"/>
      <c r="U23" s="41"/>
      <c r="V23" s="41"/>
      <c r="W23" s="41"/>
      <c r="X23" s="41"/>
      <c r="Y23" s="109"/>
      <c r="Z23" s="109"/>
      <c r="AA23" s="109"/>
      <c r="AB23" s="109"/>
      <c r="AC23" s="109"/>
      <c r="AD23" s="109"/>
    </row>
    <row r="24" spans="1:30" ht="24" customHeight="1" x14ac:dyDescent="0.2">
      <c r="A24" s="118" t="s">
        <v>53</v>
      </c>
      <c r="B24" s="117"/>
      <c r="C24" s="117"/>
      <c r="D24" s="117"/>
      <c r="E24" s="117"/>
      <c r="F24" s="117"/>
      <c r="G24" s="117"/>
      <c r="H24" s="41"/>
      <c r="I24" s="41"/>
      <c r="J24" s="41"/>
      <c r="K24" s="123"/>
      <c r="L24" s="41"/>
      <c r="M24" s="41"/>
      <c r="N24" s="41"/>
      <c r="O24" s="41"/>
      <c r="P24" s="41"/>
      <c r="Q24" s="41"/>
      <c r="R24" s="41"/>
      <c r="S24" s="41"/>
      <c r="T24" s="41"/>
      <c r="U24" s="41"/>
      <c r="V24" s="41"/>
      <c r="W24" s="41"/>
      <c r="X24" s="41"/>
      <c r="Y24" s="109"/>
      <c r="Z24" s="109"/>
      <c r="AA24" s="109"/>
      <c r="AB24" s="109"/>
      <c r="AC24" s="109"/>
      <c r="AD24" s="109"/>
    </row>
    <row r="25" spans="1:30" ht="24" customHeight="1" x14ac:dyDescent="0.2">
      <c r="A25" s="21" t="s">
        <v>54</v>
      </c>
      <c r="B25" s="96">
        <v>425000</v>
      </c>
      <c r="C25" s="33"/>
      <c r="D25" s="33"/>
      <c r="E25" s="33"/>
      <c r="F25" s="33"/>
      <c r="G25" s="33"/>
      <c r="H25" s="41"/>
      <c r="I25" s="41"/>
      <c r="J25" s="41"/>
      <c r="K25" s="123"/>
      <c r="L25" s="41"/>
      <c r="M25" s="41"/>
      <c r="N25" s="41"/>
      <c r="O25" s="41"/>
      <c r="P25" s="41"/>
      <c r="Q25" s="41"/>
      <c r="R25" s="41"/>
      <c r="S25" s="41"/>
      <c r="T25" s="41"/>
      <c r="U25" s="41"/>
      <c r="V25" s="41"/>
      <c r="W25" s="41"/>
      <c r="X25" s="41"/>
      <c r="Y25" s="109"/>
      <c r="Z25" s="109"/>
      <c r="AA25" s="109"/>
      <c r="AB25" s="109"/>
      <c r="AC25" s="109"/>
      <c r="AD25" s="109"/>
    </row>
    <row r="26" spans="1:30" ht="24" customHeight="1" x14ac:dyDescent="0.2">
      <c r="A26" s="21" t="s">
        <v>55</v>
      </c>
      <c r="B26" s="96">
        <v>240000</v>
      </c>
      <c r="C26" s="33"/>
      <c r="D26" s="33"/>
      <c r="E26" s="33"/>
      <c r="F26" s="33"/>
      <c r="G26" s="33"/>
      <c r="H26" s="41"/>
      <c r="I26" s="41"/>
      <c r="J26" s="41"/>
      <c r="K26" s="123"/>
      <c r="L26" s="41"/>
      <c r="M26" s="41"/>
      <c r="N26" s="41"/>
      <c r="O26" s="41"/>
      <c r="P26" s="41"/>
      <c r="Q26" s="41"/>
      <c r="R26" s="41"/>
      <c r="S26" s="41"/>
      <c r="T26" s="41"/>
      <c r="U26" s="41"/>
      <c r="V26" s="41"/>
      <c r="W26" s="41"/>
      <c r="X26" s="41"/>
      <c r="Y26" s="109"/>
      <c r="Z26" s="109"/>
      <c r="AA26" s="109"/>
      <c r="AB26" s="109"/>
      <c r="AC26" s="109"/>
      <c r="AD26" s="109"/>
    </row>
    <row r="27" spans="1:30" ht="24" customHeight="1" x14ac:dyDescent="0.2">
      <c r="A27" s="21" t="s">
        <v>56</v>
      </c>
      <c r="B27" s="96">
        <v>120000</v>
      </c>
      <c r="C27" s="33"/>
      <c r="D27" s="33"/>
      <c r="E27" s="33"/>
      <c r="F27" s="33"/>
      <c r="G27" s="33"/>
      <c r="H27" s="41"/>
      <c r="I27" s="41"/>
      <c r="J27" s="41"/>
      <c r="K27" s="123"/>
      <c r="L27" s="41"/>
      <c r="M27" s="41"/>
      <c r="N27" s="41"/>
      <c r="O27" s="41"/>
      <c r="P27" s="41"/>
      <c r="Q27" s="41"/>
      <c r="R27" s="41"/>
      <c r="S27" s="41"/>
      <c r="T27" s="41"/>
      <c r="U27" s="41"/>
      <c r="V27" s="41"/>
      <c r="W27" s="41"/>
      <c r="X27" s="41"/>
      <c r="Y27" s="109"/>
      <c r="Z27" s="109"/>
      <c r="AA27" s="109"/>
      <c r="AB27" s="109"/>
      <c r="AC27" s="109"/>
      <c r="AD27" s="109"/>
    </row>
    <row r="28" spans="1:30" ht="24" customHeight="1" x14ac:dyDescent="0.2">
      <c r="A28" s="113"/>
      <c r="B28" s="114"/>
      <c r="C28" s="114"/>
      <c r="D28" s="114"/>
      <c r="E28" s="114"/>
      <c r="F28" s="114"/>
      <c r="G28" s="115"/>
      <c r="H28" s="41"/>
      <c r="I28" s="41"/>
      <c r="J28" s="41"/>
      <c r="K28" s="123"/>
      <c r="L28" s="41"/>
      <c r="M28" s="41"/>
      <c r="N28" s="41"/>
      <c r="O28" s="41"/>
      <c r="P28" s="41"/>
      <c r="Q28" s="41"/>
      <c r="R28" s="41"/>
      <c r="S28" s="41"/>
      <c r="T28" s="41"/>
      <c r="U28" s="41"/>
      <c r="V28" s="41"/>
      <c r="W28" s="41"/>
      <c r="X28" s="41"/>
      <c r="Y28" s="109"/>
      <c r="Z28" s="109"/>
      <c r="AA28" s="109"/>
      <c r="AB28" s="109"/>
      <c r="AC28" s="109"/>
      <c r="AD28" s="109"/>
    </row>
    <row r="29" spans="1:30" ht="24" customHeight="1" x14ac:dyDescent="0.2">
      <c r="A29" s="118" t="s">
        <v>57</v>
      </c>
      <c r="B29" s="117"/>
      <c r="C29" s="117"/>
      <c r="D29" s="117"/>
      <c r="E29" s="117"/>
      <c r="F29" s="117"/>
      <c r="G29" s="117"/>
      <c r="H29" s="41"/>
      <c r="I29" s="41"/>
      <c r="J29" s="41"/>
      <c r="K29" s="123"/>
      <c r="L29" s="41"/>
      <c r="M29" s="41"/>
      <c r="N29" s="41"/>
      <c r="O29" s="41"/>
      <c r="P29" s="41"/>
      <c r="Q29" s="41"/>
      <c r="R29" s="41"/>
      <c r="S29" s="41"/>
      <c r="T29" s="41"/>
      <c r="U29" s="41"/>
      <c r="V29" s="41"/>
      <c r="W29" s="41"/>
      <c r="X29" s="41"/>
      <c r="Y29" s="109"/>
      <c r="Z29" s="109"/>
      <c r="AA29" s="109"/>
      <c r="AB29" s="109"/>
      <c r="AC29" s="109"/>
      <c r="AD29" s="109"/>
    </row>
    <row r="30" spans="1:30" ht="80" x14ac:dyDescent="0.2">
      <c r="A30" s="21" t="s">
        <v>155</v>
      </c>
      <c r="B30" s="94">
        <v>0.05</v>
      </c>
      <c r="C30" s="33"/>
      <c r="D30" s="33"/>
      <c r="E30" s="33"/>
      <c r="F30" s="33"/>
      <c r="G30" s="33"/>
      <c r="H30" s="41"/>
      <c r="I30" s="41"/>
      <c r="J30" s="41"/>
      <c r="K30" s="123"/>
      <c r="L30" s="41"/>
      <c r="M30" s="41"/>
      <c r="N30" s="41"/>
      <c r="O30" s="41"/>
      <c r="P30" s="41"/>
      <c r="Q30" s="41"/>
      <c r="R30" s="41"/>
      <c r="S30" s="41"/>
      <c r="T30" s="41"/>
      <c r="U30" s="41"/>
      <c r="V30" s="41"/>
      <c r="W30" s="41"/>
      <c r="X30" s="41"/>
      <c r="Y30" s="109"/>
      <c r="Z30" s="109"/>
      <c r="AA30" s="109"/>
      <c r="AB30" s="109"/>
      <c r="AC30" s="109"/>
      <c r="AD30" s="109"/>
    </row>
    <row r="31" spans="1:30" ht="40" x14ac:dyDescent="0.2">
      <c r="A31" s="21" t="s">
        <v>58</v>
      </c>
      <c r="B31" s="94">
        <v>0.15</v>
      </c>
      <c r="C31" s="35">
        <v>0</v>
      </c>
      <c r="D31" s="35">
        <v>0</v>
      </c>
      <c r="E31" s="35">
        <f t="shared" ref="E31:G31" si="13">$B$31</f>
        <v>0.15</v>
      </c>
      <c r="F31" s="35">
        <f t="shared" si="13"/>
        <v>0.15</v>
      </c>
      <c r="G31" s="35">
        <f t="shared" si="13"/>
        <v>0.15</v>
      </c>
      <c r="H31" s="41"/>
      <c r="I31" s="41"/>
      <c r="J31" s="41"/>
      <c r="K31" s="123"/>
      <c r="L31" s="41"/>
      <c r="M31" s="41"/>
      <c r="N31" s="41"/>
      <c r="O31" s="41"/>
      <c r="P31" s="41"/>
      <c r="Q31" s="41"/>
      <c r="R31" s="41"/>
      <c r="S31" s="41"/>
      <c r="T31" s="41"/>
      <c r="U31" s="41"/>
      <c r="V31" s="41"/>
      <c r="W31" s="41"/>
      <c r="X31" s="41"/>
      <c r="Y31" s="109"/>
      <c r="Z31" s="109"/>
      <c r="AA31" s="109"/>
      <c r="AB31" s="109"/>
      <c r="AC31" s="109"/>
      <c r="AD31" s="109"/>
    </row>
    <row r="32" spans="1:30" ht="24" customHeight="1" x14ac:dyDescent="0.2">
      <c r="A32" s="113"/>
      <c r="B32" s="114"/>
      <c r="C32" s="114"/>
      <c r="D32" s="114"/>
      <c r="E32" s="114"/>
      <c r="F32" s="114"/>
      <c r="G32" s="115"/>
      <c r="H32" s="41"/>
      <c r="I32" s="41"/>
      <c r="J32" s="41"/>
      <c r="K32" s="123"/>
      <c r="L32" s="41"/>
      <c r="M32" s="41"/>
      <c r="N32" s="41"/>
      <c r="O32" s="41"/>
      <c r="P32" s="41"/>
      <c r="Q32" s="41"/>
      <c r="R32" s="41"/>
      <c r="S32" s="41"/>
      <c r="T32" s="41"/>
      <c r="U32" s="41"/>
      <c r="V32" s="41"/>
      <c r="W32" s="41"/>
      <c r="X32" s="41"/>
      <c r="Y32" s="109"/>
      <c r="Z32" s="109"/>
      <c r="AA32" s="109"/>
      <c r="AB32" s="109"/>
      <c r="AC32" s="109"/>
      <c r="AD32" s="109"/>
    </row>
    <row r="33" spans="1:30" ht="24" customHeight="1" x14ac:dyDescent="0.2">
      <c r="A33" s="118" t="s">
        <v>59</v>
      </c>
      <c r="B33" s="117"/>
      <c r="C33" s="117"/>
      <c r="D33" s="117"/>
      <c r="E33" s="117"/>
      <c r="F33" s="117"/>
      <c r="G33" s="117"/>
      <c r="H33" s="41"/>
      <c r="I33" s="41"/>
      <c r="J33" s="41"/>
      <c r="K33" s="123"/>
      <c r="L33" s="41"/>
      <c r="M33" s="41"/>
      <c r="N33" s="41"/>
      <c r="O33" s="41"/>
      <c r="P33" s="41"/>
      <c r="Q33" s="41"/>
      <c r="R33" s="41"/>
      <c r="S33" s="41"/>
      <c r="T33" s="41"/>
      <c r="U33" s="41"/>
      <c r="V33" s="41"/>
      <c r="W33" s="41"/>
      <c r="X33" s="41"/>
      <c r="Y33" s="109"/>
      <c r="Z33" s="109"/>
      <c r="AA33" s="109"/>
      <c r="AB33" s="109"/>
      <c r="AC33" s="109"/>
      <c r="AD33" s="109"/>
    </row>
    <row r="34" spans="1:30" ht="24" customHeight="1" x14ac:dyDescent="0.2">
      <c r="A34" s="21" t="s">
        <v>60</v>
      </c>
      <c r="B34" s="96">
        <v>12000</v>
      </c>
      <c r="C34" s="33"/>
      <c r="D34" s="33"/>
      <c r="E34" s="33"/>
      <c r="F34" s="33"/>
      <c r="G34" s="33"/>
      <c r="H34" s="41"/>
      <c r="I34" s="41"/>
      <c r="J34" s="41"/>
      <c r="K34" s="123"/>
      <c r="L34" s="41"/>
      <c r="M34" s="41"/>
      <c r="N34" s="41"/>
      <c r="O34" s="41"/>
      <c r="P34" s="41"/>
      <c r="Q34" s="41"/>
      <c r="R34" s="41"/>
      <c r="S34" s="41"/>
      <c r="T34" s="41"/>
      <c r="U34" s="41"/>
      <c r="V34" s="41"/>
      <c r="W34" s="41"/>
      <c r="X34" s="41"/>
      <c r="Y34" s="109"/>
      <c r="Z34" s="109"/>
      <c r="AA34" s="109"/>
      <c r="AB34" s="109"/>
      <c r="AC34" s="109"/>
      <c r="AD34" s="109"/>
    </row>
    <row r="35" spans="1:30" ht="24" customHeight="1" x14ac:dyDescent="0.2">
      <c r="A35" s="21" t="s">
        <v>61</v>
      </c>
      <c r="B35" s="94">
        <v>0.15</v>
      </c>
      <c r="C35" s="33"/>
      <c r="D35" s="33"/>
      <c r="E35" s="33"/>
      <c r="F35" s="33"/>
      <c r="G35" s="33"/>
      <c r="H35" s="41"/>
      <c r="I35" s="41"/>
      <c r="J35" s="41"/>
      <c r="K35" s="123"/>
      <c r="L35" s="41"/>
      <c r="M35" s="41"/>
      <c r="N35" s="41"/>
      <c r="O35" s="41"/>
      <c r="P35" s="41"/>
      <c r="Q35" s="41"/>
      <c r="R35" s="41"/>
      <c r="S35" s="41"/>
      <c r="T35" s="41"/>
      <c r="U35" s="41"/>
      <c r="V35" s="41"/>
      <c r="W35" s="41"/>
      <c r="X35" s="41"/>
      <c r="Y35" s="109"/>
      <c r="Z35" s="109"/>
      <c r="AA35" s="109"/>
      <c r="AB35" s="109"/>
      <c r="AC35" s="109"/>
      <c r="AD35" s="109"/>
    </row>
    <row r="36" spans="1:30" ht="24" customHeight="1" x14ac:dyDescent="0.2">
      <c r="A36" s="21" t="s">
        <v>62</v>
      </c>
      <c r="B36" s="36">
        <f>100%-B35</f>
        <v>0.85</v>
      </c>
      <c r="C36" s="33"/>
      <c r="D36" s="33"/>
      <c r="E36" s="33"/>
      <c r="F36" s="33"/>
      <c r="G36" s="33"/>
      <c r="H36" s="41"/>
      <c r="I36" s="41"/>
      <c r="J36" s="41"/>
      <c r="K36" s="123"/>
      <c r="L36" s="41"/>
      <c r="M36" s="41"/>
      <c r="N36" s="41"/>
      <c r="O36" s="41"/>
      <c r="P36" s="41"/>
      <c r="Q36" s="41"/>
      <c r="R36" s="41"/>
      <c r="S36" s="41"/>
      <c r="T36" s="41"/>
      <c r="U36" s="41"/>
      <c r="V36" s="41"/>
      <c r="W36" s="41"/>
      <c r="X36" s="41"/>
      <c r="Y36" s="109"/>
      <c r="Z36" s="109"/>
      <c r="AA36" s="109"/>
      <c r="AB36" s="109"/>
      <c r="AC36" s="109"/>
      <c r="AD36" s="109"/>
    </row>
    <row r="37" spans="1:30" ht="24" customHeight="1" x14ac:dyDescent="0.2">
      <c r="A37" s="21" t="s">
        <v>63</v>
      </c>
      <c r="B37" s="30">
        <v>3</v>
      </c>
      <c r="C37" s="33"/>
      <c r="D37" s="33"/>
      <c r="E37" s="33"/>
      <c r="F37" s="33"/>
      <c r="G37" s="33"/>
      <c r="H37" s="41"/>
      <c r="I37" s="41"/>
      <c r="J37" s="41"/>
      <c r="K37" s="123"/>
      <c r="L37" s="41"/>
      <c r="M37" s="41"/>
      <c r="N37" s="41"/>
      <c r="O37" s="41"/>
      <c r="P37" s="41"/>
      <c r="Q37" s="41"/>
      <c r="R37" s="41"/>
      <c r="S37" s="41"/>
      <c r="T37" s="41"/>
      <c r="U37" s="41"/>
      <c r="V37" s="41"/>
      <c r="W37" s="41"/>
      <c r="X37" s="41"/>
      <c r="Y37" s="109"/>
      <c r="Z37" s="109"/>
      <c r="AA37" s="109"/>
      <c r="AB37" s="109"/>
      <c r="AC37" s="109"/>
      <c r="AD37" s="109"/>
    </row>
    <row r="38" spans="1:30" ht="40" x14ac:dyDescent="0.2">
      <c r="A38" s="21" t="s">
        <v>64</v>
      </c>
      <c r="B38" s="30">
        <v>1</v>
      </c>
      <c r="C38" s="33"/>
      <c r="D38" s="33"/>
      <c r="E38" s="33"/>
      <c r="F38" s="33"/>
      <c r="G38" s="33"/>
      <c r="H38" s="41"/>
      <c r="I38" s="41"/>
      <c r="J38" s="41"/>
      <c r="K38" s="123"/>
      <c r="L38" s="41"/>
      <c r="M38" s="41"/>
      <c r="N38" s="41"/>
      <c r="O38" s="41"/>
      <c r="P38" s="41"/>
      <c r="Q38" s="41"/>
      <c r="R38" s="41"/>
      <c r="S38" s="41"/>
      <c r="T38" s="41"/>
      <c r="U38" s="41"/>
      <c r="V38" s="41"/>
      <c r="W38" s="41"/>
      <c r="X38" s="41"/>
      <c r="Y38" s="109"/>
      <c r="Z38" s="109"/>
      <c r="AA38" s="109"/>
      <c r="AB38" s="109"/>
      <c r="AC38" s="109"/>
      <c r="AD38" s="109"/>
    </row>
    <row r="39" spans="1:30" ht="24" customHeight="1" x14ac:dyDescent="0.2">
      <c r="A39" s="21" t="s">
        <v>65</v>
      </c>
      <c r="B39" s="97">
        <v>53000</v>
      </c>
      <c r="C39" s="33"/>
      <c r="D39" s="33"/>
      <c r="E39" s="33"/>
      <c r="F39" s="33"/>
      <c r="G39" s="33"/>
      <c r="H39" s="41"/>
      <c r="I39" s="41"/>
      <c r="J39" s="41"/>
      <c r="K39" s="123"/>
      <c r="L39" s="41"/>
      <c r="M39" s="41"/>
      <c r="N39" s="41"/>
      <c r="O39" s="41"/>
      <c r="P39" s="41"/>
      <c r="Q39" s="41"/>
      <c r="R39" s="41"/>
      <c r="S39" s="41"/>
      <c r="T39" s="41"/>
      <c r="U39" s="41"/>
      <c r="V39" s="41"/>
      <c r="W39" s="41"/>
      <c r="X39" s="41"/>
      <c r="Y39" s="109"/>
      <c r="Z39" s="109"/>
      <c r="AA39" s="109"/>
      <c r="AB39" s="109"/>
      <c r="AC39" s="109"/>
      <c r="AD39" s="109"/>
    </row>
  </sheetData>
  <sheetProtection sheet="1" objects="1" scenarios="1"/>
  <mergeCells count="24">
    <mergeCell ref="S1:X1"/>
    <mergeCell ref="Y1:Y39"/>
    <mergeCell ref="A2:G2"/>
    <mergeCell ref="T2:X2"/>
    <mergeCell ref="A6:G6"/>
    <mergeCell ref="A7:G7"/>
    <mergeCell ref="K1:K39"/>
    <mergeCell ref="I12:J12"/>
    <mergeCell ref="A13:G13"/>
    <mergeCell ref="A24:G24"/>
    <mergeCell ref="A29:G29"/>
    <mergeCell ref="A33:G33"/>
    <mergeCell ref="L1:Q1"/>
    <mergeCell ref="M2:Q2"/>
    <mergeCell ref="I1:J1"/>
    <mergeCell ref="I5:J6"/>
    <mergeCell ref="Z8:AD39"/>
    <mergeCell ref="I13:J22"/>
    <mergeCell ref="L2:L3"/>
    <mergeCell ref="S2:S3"/>
    <mergeCell ref="A12:G12"/>
    <mergeCell ref="A23:G23"/>
    <mergeCell ref="A28:G28"/>
    <mergeCell ref="A32:G32"/>
  </mergeCells>
  <conditionalFormatting sqref="M1:R39 T1:AD39 L2 S2 L4:L39 S4:S39">
    <cfRule type="cellIs" dxfId="4" priority="1"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outlinePr summaryBelow="0" summaryRight="0"/>
  </sheetPr>
  <dimension ref="A1:T28"/>
  <sheetViews>
    <sheetView workbookViewId="0">
      <selection activeCell="B2" sqref="B2:H2"/>
    </sheetView>
  </sheetViews>
  <sheetFormatPr baseColWidth="10" defaultColWidth="12.6640625" defaultRowHeight="24" customHeight="1" x14ac:dyDescent="0.2"/>
  <cols>
    <col min="1" max="1" width="7" style="39" customWidth="1"/>
    <col min="2" max="2" width="34.6640625" style="39" customWidth="1"/>
    <col min="3" max="8" width="16.33203125" style="39" customWidth="1"/>
    <col min="9" max="20" width="7.33203125" style="39" customWidth="1"/>
    <col min="21" max="16384" width="12.6640625" style="39"/>
  </cols>
  <sheetData>
    <row r="1" spans="1:20" ht="24" customHeight="1" x14ac:dyDescent="0.2">
      <c r="A1" s="49"/>
      <c r="B1" s="134"/>
      <c r="C1" s="109"/>
      <c r="D1" s="109"/>
      <c r="E1" s="109"/>
      <c r="F1" s="109"/>
      <c r="G1" s="109"/>
      <c r="H1" s="50"/>
      <c r="I1" s="49"/>
      <c r="J1" s="41"/>
      <c r="K1" s="41"/>
      <c r="L1" s="41"/>
      <c r="M1" s="41"/>
      <c r="N1" s="41"/>
      <c r="O1" s="41"/>
      <c r="P1" s="41"/>
      <c r="Q1" s="41"/>
      <c r="R1" s="41"/>
      <c r="S1" s="41"/>
      <c r="T1" s="41"/>
    </row>
    <row r="2" spans="1:20" ht="35" customHeight="1" x14ac:dyDescent="0.25">
      <c r="A2" s="49"/>
      <c r="B2" s="127" t="s">
        <v>66</v>
      </c>
      <c r="C2" s="128"/>
      <c r="D2" s="128"/>
      <c r="E2" s="128"/>
      <c r="F2" s="128"/>
      <c r="G2" s="128"/>
      <c r="H2" s="128"/>
      <c r="I2" s="41"/>
      <c r="J2" s="41"/>
      <c r="K2" s="41"/>
      <c r="L2" s="41"/>
      <c r="M2" s="41"/>
      <c r="N2" s="41"/>
      <c r="O2" s="41"/>
      <c r="P2" s="41"/>
      <c r="Q2" s="41"/>
      <c r="R2" s="41"/>
      <c r="S2" s="41"/>
      <c r="T2" s="41"/>
    </row>
    <row r="3" spans="1:20" ht="24" customHeight="1" x14ac:dyDescent="0.2">
      <c r="A3" s="41"/>
      <c r="B3" s="130"/>
      <c r="C3" s="131"/>
      <c r="D3" s="131"/>
      <c r="E3" s="131"/>
      <c r="F3" s="131"/>
      <c r="G3" s="131"/>
      <c r="H3" s="132"/>
      <c r="I3" s="41"/>
      <c r="J3" s="41"/>
      <c r="K3" s="41"/>
      <c r="L3" s="41"/>
      <c r="M3" s="41"/>
      <c r="N3" s="41"/>
      <c r="O3" s="41"/>
      <c r="P3" s="41"/>
      <c r="Q3" s="41"/>
      <c r="R3" s="41"/>
      <c r="S3" s="41"/>
      <c r="T3" s="41"/>
    </row>
    <row r="4" spans="1:20" ht="24" customHeight="1" x14ac:dyDescent="0.2">
      <c r="A4" s="41"/>
      <c r="B4" s="52"/>
      <c r="C4" s="51" t="s">
        <v>23</v>
      </c>
      <c r="D4" s="51" t="s">
        <v>24</v>
      </c>
      <c r="E4" s="51" t="s">
        <v>25</v>
      </c>
      <c r="F4" s="51" t="s">
        <v>26</v>
      </c>
      <c r="G4" s="51" t="s">
        <v>27</v>
      </c>
      <c r="H4" s="51" t="s">
        <v>67</v>
      </c>
      <c r="I4" s="41"/>
      <c r="J4" s="41"/>
      <c r="K4" s="41"/>
      <c r="L4" s="41"/>
      <c r="M4" s="41"/>
      <c r="N4" s="41"/>
      <c r="O4" s="41"/>
      <c r="P4" s="41"/>
      <c r="Q4" s="41"/>
      <c r="R4" s="41"/>
      <c r="S4" s="41"/>
      <c r="T4" s="41"/>
    </row>
    <row r="5" spans="1:20" ht="24" customHeight="1" x14ac:dyDescent="0.2">
      <c r="A5" s="41"/>
      <c r="B5" s="53" t="s">
        <v>68</v>
      </c>
      <c r="C5" s="54">
        <f>'Assumptions &amp; Analysis'!C3*'Assumptions &amp; Analysis'!C5</f>
        <v>180000</v>
      </c>
      <c r="D5" s="54">
        <f>'Assumptions &amp; Analysis'!D3*'Assumptions &amp; Analysis'!D5</f>
        <v>190800</v>
      </c>
      <c r="E5" s="54">
        <f>'Assumptions &amp; Analysis'!E3*'Assumptions &amp; Analysis'!E5</f>
        <v>269664</v>
      </c>
      <c r="F5" s="54">
        <f>'Assumptions &amp; Analysis'!F3*'Assumptions &amp; Analysis'!F5</f>
        <v>285843.84000000003</v>
      </c>
      <c r="G5" s="54">
        <f>'Assumptions &amp; Analysis'!G3*'Assumptions &amp; Analysis'!G5</f>
        <v>302994.47040000005</v>
      </c>
      <c r="H5" s="54">
        <f>SUM(C5:G5)</f>
        <v>1229302.3104000001</v>
      </c>
      <c r="I5" s="41"/>
      <c r="J5" s="41"/>
      <c r="K5" s="41"/>
      <c r="L5" s="41"/>
      <c r="M5" s="41"/>
      <c r="N5" s="41"/>
      <c r="O5" s="41"/>
      <c r="P5" s="41"/>
      <c r="Q5" s="41"/>
      <c r="R5" s="41"/>
      <c r="S5" s="41"/>
      <c r="T5" s="41"/>
    </row>
    <row r="6" spans="1:20" ht="24" customHeight="1" x14ac:dyDescent="0.2">
      <c r="A6" s="41"/>
      <c r="B6" s="129" t="s">
        <v>69</v>
      </c>
      <c r="C6" s="117"/>
      <c r="D6" s="117"/>
      <c r="E6" s="117"/>
      <c r="F6" s="117"/>
      <c r="G6" s="117"/>
      <c r="H6" s="56"/>
      <c r="I6" s="41"/>
      <c r="J6" s="41"/>
      <c r="K6" s="41"/>
      <c r="L6" s="41"/>
      <c r="M6" s="41"/>
      <c r="N6" s="41"/>
      <c r="O6" s="41"/>
      <c r="P6" s="41"/>
      <c r="Q6" s="41"/>
      <c r="R6" s="41"/>
      <c r="S6" s="41"/>
      <c r="T6" s="41"/>
    </row>
    <row r="7" spans="1:20" ht="24" customHeight="1" x14ac:dyDescent="0.2">
      <c r="A7" s="41"/>
      <c r="B7" s="57" t="s">
        <v>70</v>
      </c>
      <c r="C7" s="58">
        <f>'Assumptions &amp; Analysis'!C3*'Assumptions &amp; Analysis'!$B$8*'Assumptions &amp; Analysis'!$B$9</f>
        <v>30000</v>
      </c>
      <c r="D7" s="58">
        <f>'Assumptions &amp; Analysis'!D3*'Assumptions &amp; Analysis'!$B$8*'Assumptions &amp; Analysis'!$B$9</f>
        <v>31800</v>
      </c>
      <c r="E7" s="58">
        <f>'Assumptions &amp; Analysis'!E3*'Assumptions &amp; Analysis'!$B$8*'Assumptions &amp; Analysis'!$B$9</f>
        <v>33708</v>
      </c>
      <c r="F7" s="58">
        <f>'Assumptions &amp; Analysis'!F3*'Assumptions &amp; Analysis'!$B$8*'Assumptions &amp; Analysis'!$B$9</f>
        <v>35730.480000000003</v>
      </c>
      <c r="G7" s="58">
        <f>'Assumptions &amp; Analysis'!G3*'Assumptions &amp; Analysis'!$B$8*'Assumptions &amp; Analysis'!$B$9</f>
        <v>37874.308800000006</v>
      </c>
      <c r="H7" s="58">
        <f t="shared" ref="H7:H10" si="0">SUM(C7:G7)</f>
        <v>169112.78880000001</v>
      </c>
      <c r="I7" s="41"/>
      <c r="J7" s="41"/>
      <c r="K7" s="41"/>
      <c r="L7" s="41"/>
      <c r="M7" s="41"/>
      <c r="N7" s="41"/>
      <c r="O7" s="41"/>
      <c r="P7" s="41"/>
      <c r="Q7" s="41"/>
      <c r="R7" s="41"/>
      <c r="S7" s="41"/>
      <c r="T7" s="41"/>
    </row>
    <row r="8" spans="1:20" ht="24" customHeight="1" x14ac:dyDescent="0.2">
      <c r="A8" s="41"/>
      <c r="B8" s="57" t="s">
        <v>71</v>
      </c>
      <c r="C8" s="58">
        <f>'Assumptions &amp; Analysis'!C3*'Assumptions &amp; Analysis'!$B$10</f>
        <v>7500</v>
      </c>
      <c r="D8" s="58">
        <f>'Assumptions &amp; Analysis'!D3*'Assumptions &amp; Analysis'!$B$10</f>
        <v>7950</v>
      </c>
      <c r="E8" s="58">
        <f>'Assumptions &amp; Analysis'!E3*'Assumptions &amp; Analysis'!$B$10</f>
        <v>8427</v>
      </c>
      <c r="F8" s="58">
        <f>'Assumptions &amp; Analysis'!F3*'Assumptions &amp; Analysis'!$B$10</f>
        <v>8932.6200000000008</v>
      </c>
      <c r="G8" s="58">
        <f>'Assumptions &amp; Analysis'!G3*'Assumptions &amp; Analysis'!$B$10</f>
        <v>9468.5772000000015</v>
      </c>
      <c r="H8" s="58">
        <f t="shared" si="0"/>
        <v>42278.197200000002</v>
      </c>
      <c r="I8" s="41"/>
      <c r="J8" s="41"/>
      <c r="K8" s="41"/>
      <c r="L8" s="41"/>
      <c r="M8" s="41"/>
      <c r="N8" s="41"/>
      <c r="O8" s="41"/>
      <c r="P8" s="41"/>
      <c r="Q8" s="41"/>
      <c r="R8" s="41"/>
      <c r="S8" s="41"/>
      <c r="T8" s="41"/>
    </row>
    <row r="9" spans="1:20" ht="24" customHeight="1" x14ac:dyDescent="0.2">
      <c r="A9" s="41"/>
      <c r="B9" s="57" t="s">
        <v>72</v>
      </c>
      <c r="C9" s="58">
        <f>'Assumptions &amp; Analysis'!C3*'Assumptions &amp; Analysis'!$B$11</f>
        <v>4500</v>
      </c>
      <c r="D9" s="58">
        <f>'Assumptions &amp; Analysis'!D3*'Assumptions &amp; Analysis'!$B$11</f>
        <v>4770</v>
      </c>
      <c r="E9" s="58">
        <f>'Assumptions &amp; Analysis'!E3*'Assumptions &amp; Analysis'!$B$11</f>
        <v>5056.2000000000007</v>
      </c>
      <c r="F9" s="58">
        <f>'Assumptions &amp; Analysis'!F3*'Assumptions &amp; Analysis'!$B$11</f>
        <v>5359.5720000000001</v>
      </c>
      <c r="G9" s="58">
        <f>'Assumptions &amp; Analysis'!G3*'Assumptions &amp; Analysis'!$B$11</f>
        <v>5681.1463200000007</v>
      </c>
      <c r="H9" s="58">
        <f t="shared" si="0"/>
        <v>25366.918320000001</v>
      </c>
      <c r="I9" s="41"/>
      <c r="J9" s="41"/>
      <c r="K9" s="41"/>
      <c r="L9" s="41"/>
      <c r="M9" s="41"/>
      <c r="N9" s="41"/>
      <c r="O9" s="41"/>
      <c r="P9" s="41"/>
      <c r="Q9" s="41"/>
      <c r="R9" s="41"/>
      <c r="S9" s="41"/>
      <c r="T9" s="41"/>
    </row>
    <row r="10" spans="1:20" ht="24" customHeight="1" x14ac:dyDescent="0.2">
      <c r="A10" s="41"/>
      <c r="B10" s="57" t="s">
        <v>73</v>
      </c>
      <c r="C10" s="58">
        <f>'Assumptions &amp; Analysis'!$B$26/'Assumptions &amp; Analysis'!$B$16</f>
        <v>24000</v>
      </c>
      <c r="D10" s="58">
        <f>'Assumptions &amp; Analysis'!$B$26/'Assumptions &amp; Analysis'!$B$16</f>
        <v>24000</v>
      </c>
      <c r="E10" s="58">
        <f>'Assumptions &amp; Analysis'!$B$26/'Assumptions &amp; Analysis'!$B$16</f>
        <v>24000</v>
      </c>
      <c r="F10" s="58">
        <f>'Assumptions &amp; Analysis'!$B$26/'Assumptions &amp; Analysis'!$B$16</f>
        <v>24000</v>
      </c>
      <c r="G10" s="58">
        <f>'Assumptions &amp; Analysis'!$B$26/'Assumptions &amp; Analysis'!$B$16</f>
        <v>24000</v>
      </c>
      <c r="H10" s="58">
        <f t="shared" si="0"/>
        <v>120000</v>
      </c>
      <c r="I10" s="41"/>
      <c r="J10" s="41"/>
      <c r="K10" s="41"/>
      <c r="L10" s="41"/>
      <c r="M10" s="41"/>
      <c r="N10" s="41"/>
      <c r="O10" s="41"/>
      <c r="P10" s="41"/>
      <c r="Q10" s="41"/>
      <c r="R10" s="41"/>
      <c r="S10" s="41"/>
      <c r="T10" s="41"/>
    </row>
    <row r="11" spans="1:20" ht="24" customHeight="1" x14ac:dyDescent="0.2">
      <c r="A11" s="41"/>
      <c r="B11" s="59" t="s">
        <v>74</v>
      </c>
      <c r="C11" s="60">
        <f t="shared" ref="C11:H11" si="1">SUM(C7:C10)</f>
        <v>66000</v>
      </c>
      <c r="D11" s="60">
        <f t="shared" si="1"/>
        <v>68520</v>
      </c>
      <c r="E11" s="60">
        <f t="shared" si="1"/>
        <v>71191.199999999997</v>
      </c>
      <c r="F11" s="60">
        <f t="shared" si="1"/>
        <v>74022.672000000006</v>
      </c>
      <c r="G11" s="60">
        <f t="shared" si="1"/>
        <v>77024.032319999998</v>
      </c>
      <c r="H11" s="60">
        <f t="shared" si="1"/>
        <v>356757.90431999997</v>
      </c>
      <c r="I11" s="41"/>
      <c r="J11" s="41"/>
      <c r="K11" s="41"/>
      <c r="L11" s="41"/>
      <c r="M11" s="41"/>
      <c r="N11" s="41"/>
      <c r="O11" s="41"/>
      <c r="P11" s="41"/>
      <c r="Q11" s="41"/>
      <c r="R11" s="41"/>
      <c r="S11" s="41"/>
      <c r="T11" s="41"/>
    </row>
    <row r="12" spans="1:20" ht="24" customHeight="1" x14ac:dyDescent="0.2">
      <c r="A12" s="41"/>
      <c r="B12" s="53" t="s">
        <v>75</v>
      </c>
      <c r="C12" s="54">
        <f t="shared" ref="C12:H12" si="2">C5-C11</f>
        <v>114000</v>
      </c>
      <c r="D12" s="54">
        <f t="shared" si="2"/>
        <v>122280</v>
      </c>
      <c r="E12" s="54">
        <f t="shared" si="2"/>
        <v>198472.8</v>
      </c>
      <c r="F12" s="54">
        <f t="shared" si="2"/>
        <v>211821.16800000001</v>
      </c>
      <c r="G12" s="54">
        <f t="shared" si="2"/>
        <v>225970.43808000005</v>
      </c>
      <c r="H12" s="54">
        <f t="shared" si="2"/>
        <v>872544.4060800001</v>
      </c>
      <c r="I12" s="41"/>
      <c r="J12" s="41"/>
      <c r="K12" s="41"/>
      <c r="L12" s="41"/>
      <c r="M12" s="41"/>
      <c r="N12" s="41"/>
      <c r="O12" s="41"/>
      <c r="P12" s="41"/>
      <c r="Q12" s="41"/>
      <c r="R12" s="41"/>
      <c r="S12" s="41"/>
      <c r="T12" s="41"/>
    </row>
    <row r="13" spans="1:20" ht="24" customHeight="1" x14ac:dyDescent="0.2">
      <c r="A13" s="41"/>
      <c r="B13" s="129"/>
      <c r="C13" s="117"/>
      <c r="D13" s="117"/>
      <c r="E13" s="117"/>
      <c r="F13" s="117"/>
      <c r="G13" s="117"/>
      <c r="H13" s="56"/>
      <c r="I13" s="41"/>
      <c r="J13" s="41"/>
      <c r="K13" s="41"/>
      <c r="L13" s="41"/>
      <c r="M13" s="41"/>
      <c r="N13" s="41"/>
      <c r="O13" s="41"/>
      <c r="P13" s="41"/>
      <c r="Q13" s="41"/>
      <c r="R13" s="41"/>
      <c r="S13" s="41"/>
      <c r="T13" s="41"/>
    </row>
    <row r="14" spans="1:20" ht="24" customHeight="1" x14ac:dyDescent="0.2">
      <c r="A14" s="41"/>
      <c r="B14" s="129" t="s">
        <v>76</v>
      </c>
      <c r="C14" s="117"/>
      <c r="D14" s="117"/>
      <c r="E14" s="117"/>
      <c r="F14" s="117"/>
      <c r="G14" s="117"/>
      <c r="H14" s="56"/>
      <c r="I14" s="41"/>
      <c r="J14" s="41"/>
      <c r="K14" s="41"/>
      <c r="L14" s="41"/>
      <c r="M14" s="41"/>
      <c r="N14" s="41"/>
      <c r="O14" s="41"/>
      <c r="P14" s="41"/>
      <c r="Q14" s="41"/>
      <c r="R14" s="41"/>
      <c r="S14" s="41"/>
      <c r="T14" s="41"/>
    </row>
    <row r="15" spans="1:20" ht="24" customHeight="1" x14ac:dyDescent="0.2">
      <c r="A15" s="41"/>
      <c r="B15" s="57" t="s">
        <v>46</v>
      </c>
      <c r="C15" s="58">
        <f>'Assumptions &amp; Analysis'!C14</f>
        <v>70000</v>
      </c>
      <c r="D15" s="58">
        <f>'Assumptions &amp; Analysis'!D14</f>
        <v>71400</v>
      </c>
      <c r="E15" s="58">
        <f>'Assumptions &amp; Analysis'!E14</f>
        <v>72828</v>
      </c>
      <c r="F15" s="58">
        <f>'Assumptions &amp; Analysis'!F14</f>
        <v>74284.56</v>
      </c>
      <c r="G15" s="58">
        <f>'Assumptions &amp; Analysis'!G14</f>
        <v>75770.251199999999</v>
      </c>
      <c r="H15" s="58">
        <f t="shared" ref="H15:H19" si="3">SUM(C15:G15)</f>
        <v>364282.8112</v>
      </c>
      <c r="I15" s="41"/>
      <c r="J15" s="41"/>
      <c r="K15" s="41"/>
      <c r="L15" s="41"/>
      <c r="M15" s="41"/>
      <c r="N15" s="41"/>
      <c r="O15" s="41"/>
      <c r="P15" s="41"/>
      <c r="Q15" s="41"/>
      <c r="R15" s="41"/>
      <c r="S15" s="41"/>
      <c r="T15" s="41"/>
    </row>
    <row r="16" spans="1:20" ht="24" customHeight="1" x14ac:dyDescent="0.2">
      <c r="A16" s="41"/>
      <c r="B16" s="57" t="s">
        <v>49</v>
      </c>
      <c r="C16" s="58">
        <f>'Assumptions &amp; Analysis'!C18</f>
        <v>30000</v>
      </c>
      <c r="D16" s="58">
        <f>'Assumptions &amp; Analysis'!D18</f>
        <v>30900</v>
      </c>
      <c r="E16" s="58">
        <f>'Assumptions &amp; Analysis'!E18</f>
        <v>31827</v>
      </c>
      <c r="F16" s="58">
        <f>'Assumptions &amp; Analysis'!F18</f>
        <v>32781.81</v>
      </c>
      <c r="G16" s="58">
        <f>'Assumptions &amp; Analysis'!G18</f>
        <v>33765.264299999995</v>
      </c>
      <c r="H16" s="58">
        <f t="shared" si="3"/>
        <v>159274.07429999998</v>
      </c>
      <c r="I16" s="41"/>
      <c r="J16" s="41"/>
      <c r="K16" s="41"/>
      <c r="L16" s="41"/>
      <c r="M16" s="41"/>
      <c r="N16" s="41"/>
      <c r="O16" s="41"/>
      <c r="P16" s="41"/>
      <c r="Q16" s="41"/>
      <c r="R16" s="41"/>
      <c r="S16" s="41"/>
      <c r="T16" s="41"/>
    </row>
    <row r="17" spans="1:20" ht="24" customHeight="1" x14ac:dyDescent="0.2">
      <c r="A17" s="41"/>
      <c r="B17" s="57" t="s">
        <v>77</v>
      </c>
      <c r="C17" s="58">
        <f>'Assumptions &amp; Analysis'!$B$22</f>
        <v>24000</v>
      </c>
      <c r="D17" s="58">
        <f>'Assumptions &amp; Analysis'!$B$22</f>
        <v>24000</v>
      </c>
      <c r="E17" s="58">
        <f>'Assumptions &amp; Analysis'!$B$22</f>
        <v>24000</v>
      </c>
      <c r="F17" s="58">
        <f>'Assumptions &amp; Analysis'!$B$22</f>
        <v>24000</v>
      </c>
      <c r="G17" s="58">
        <f>'Assumptions &amp; Analysis'!$B$22</f>
        <v>24000</v>
      </c>
      <c r="H17" s="58">
        <f t="shared" si="3"/>
        <v>120000</v>
      </c>
      <c r="I17" s="41"/>
      <c r="J17" s="41"/>
      <c r="K17" s="41"/>
      <c r="L17" s="41"/>
      <c r="M17" s="41"/>
      <c r="N17" s="41"/>
      <c r="O17" s="41"/>
      <c r="P17" s="41"/>
      <c r="Q17" s="41"/>
      <c r="R17" s="41"/>
      <c r="S17" s="41"/>
      <c r="T17" s="41"/>
    </row>
    <row r="18" spans="1:20" ht="24" customHeight="1" x14ac:dyDescent="0.2">
      <c r="A18" s="41"/>
      <c r="B18" s="57" t="s">
        <v>78</v>
      </c>
      <c r="C18" s="58">
        <f>'Assumptions &amp; Analysis'!$B$20</f>
        <v>20000</v>
      </c>
      <c r="D18" s="58">
        <f>'Assumptions &amp; Analysis'!$B$20</f>
        <v>20000</v>
      </c>
      <c r="E18" s="58">
        <f>'Assumptions &amp; Analysis'!$B$20</f>
        <v>20000</v>
      </c>
      <c r="F18" s="58">
        <f>'Assumptions &amp; Analysis'!$B$20</f>
        <v>20000</v>
      </c>
      <c r="G18" s="58">
        <f>'Assumptions &amp; Analysis'!$B$20</f>
        <v>20000</v>
      </c>
      <c r="H18" s="58">
        <f t="shared" si="3"/>
        <v>100000</v>
      </c>
      <c r="I18" s="41"/>
      <c r="J18" s="41"/>
      <c r="K18" s="41"/>
      <c r="L18" s="41"/>
      <c r="M18" s="41"/>
      <c r="N18" s="41"/>
      <c r="O18" s="41"/>
      <c r="P18" s="41"/>
      <c r="Q18" s="41"/>
      <c r="R18" s="41"/>
      <c r="S18" s="41"/>
      <c r="T18" s="41"/>
    </row>
    <row r="19" spans="1:20" ht="24" customHeight="1" x14ac:dyDescent="0.2">
      <c r="A19" s="41"/>
      <c r="B19" s="57" t="s">
        <v>73</v>
      </c>
      <c r="C19" s="58">
        <f>'Assumptions &amp; Analysis'!$B$27/'Assumptions &amp; Analysis'!$B$17</f>
        <v>20000</v>
      </c>
      <c r="D19" s="58">
        <f>'Assumptions &amp; Analysis'!$B$27/'Assumptions &amp; Analysis'!$B$17</f>
        <v>20000</v>
      </c>
      <c r="E19" s="58">
        <f>'Assumptions &amp; Analysis'!$B$27/'Assumptions &amp; Analysis'!$B$17</f>
        <v>20000</v>
      </c>
      <c r="F19" s="58">
        <f>'Assumptions &amp; Analysis'!$B$27/'Assumptions &amp; Analysis'!$B$17</f>
        <v>20000</v>
      </c>
      <c r="G19" s="58">
        <f>'Assumptions &amp; Analysis'!$B$27/'Assumptions &amp; Analysis'!$B$17</f>
        <v>20000</v>
      </c>
      <c r="H19" s="58">
        <f t="shared" si="3"/>
        <v>100000</v>
      </c>
      <c r="I19" s="41"/>
      <c r="J19" s="41"/>
      <c r="K19" s="41"/>
      <c r="L19" s="41"/>
      <c r="M19" s="41"/>
      <c r="N19" s="41"/>
      <c r="O19" s="41"/>
      <c r="P19" s="41"/>
      <c r="Q19" s="41"/>
      <c r="R19" s="41"/>
      <c r="S19" s="41"/>
      <c r="T19" s="41"/>
    </row>
    <row r="20" spans="1:20" ht="24" customHeight="1" x14ac:dyDescent="0.2">
      <c r="A20" s="41"/>
      <c r="B20" s="59" t="s">
        <v>79</v>
      </c>
      <c r="C20" s="60">
        <f t="shared" ref="C20:H20" si="4">SUM(C15:C19)</f>
        <v>164000</v>
      </c>
      <c r="D20" s="60">
        <f t="shared" si="4"/>
        <v>166300</v>
      </c>
      <c r="E20" s="60">
        <f t="shared" si="4"/>
        <v>168655</v>
      </c>
      <c r="F20" s="60">
        <f t="shared" si="4"/>
        <v>171066.37</v>
      </c>
      <c r="G20" s="60">
        <f t="shared" si="4"/>
        <v>173535.51549999998</v>
      </c>
      <c r="H20" s="60">
        <f t="shared" si="4"/>
        <v>843556.88549999997</v>
      </c>
      <c r="I20" s="41"/>
      <c r="J20" s="41"/>
      <c r="K20" s="41"/>
      <c r="L20" s="41"/>
      <c r="M20" s="41"/>
      <c r="N20" s="41"/>
      <c r="O20" s="41"/>
      <c r="P20" s="41"/>
      <c r="Q20" s="41"/>
      <c r="R20" s="41"/>
      <c r="S20" s="41"/>
      <c r="T20" s="41"/>
    </row>
    <row r="21" spans="1:20" ht="24" customHeight="1" x14ac:dyDescent="0.2">
      <c r="A21" s="41"/>
      <c r="B21" s="53" t="s">
        <v>80</v>
      </c>
      <c r="C21" s="54">
        <f t="shared" ref="C21:H21" si="5">C12-C20</f>
        <v>-50000</v>
      </c>
      <c r="D21" s="54">
        <f t="shared" si="5"/>
        <v>-44020</v>
      </c>
      <c r="E21" s="54">
        <f t="shared" si="5"/>
        <v>29817.799999999988</v>
      </c>
      <c r="F21" s="54">
        <f t="shared" si="5"/>
        <v>40754.79800000001</v>
      </c>
      <c r="G21" s="54">
        <f t="shared" si="5"/>
        <v>52434.922580000071</v>
      </c>
      <c r="H21" s="54">
        <f t="shared" si="5"/>
        <v>28987.520580000128</v>
      </c>
      <c r="I21" s="41"/>
      <c r="J21" s="41"/>
      <c r="K21" s="41"/>
      <c r="L21" s="41"/>
      <c r="M21" s="41"/>
      <c r="N21" s="41"/>
      <c r="O21" s="41"/>
      <c r="P21" s="41"/>
      <c r="Q21" s="41"/>
      <c r="R21" s="41"/>
      <c r="S21" s="41"/>
      <c r="T21" s="41"/>
    </row>
    <row r="22" spans="1:20" ht="24" customHeight="1" x14ac:dyDescent="0.2">
      <c r="A22" s="41"/>
      <c r="B22" s="129"/>
      <c r="C22" s="117"/>
      <c r="D22" s="117"/>
      <c r="E22" s="117"/>
      <c r="F22" s="117"/>
      <c r="G22" s="117"/>
      <c r="H22" s="61"/>
      <c r="I22" s="41"/>
      <c r="J22" s="41"/>
      <c r="K22" s="41"/>
      <c r="L22" s="41"/>
      <c r="M22" s="41"/>
      <c r="N22" s="41"/>
      <c r="O22" s="41"/>
      <c r="P22" s="41"/>
      <c r="Q22" s="41"/>
      <c r="R22" s="41"/>
      <c r="S22" s="41"/>
      <c r="T22" s="41"/>
    </row>
    <row r="23" spans="1:20" ht="24" customHeight="1" x14ac:dyDescent="0.2">
      <c r="A23" s="41"/>
      <c r="B23" s="57" t="s">
        <v>81</v>
      </c>
      <c r="C23" s="58">
        <f>'Assumptions &amp; Analysis'!$B$30*'Projected Balance Sheet'!D17</f>
        <v>387.5</v>
      </c>
      <c r="D23" s="58">
        <f>'Assumptions &amp; Analysis'!$B$30*'Projected Balance Sheet'!E17</f>
        <v>515.125</v>
      </c>
      <c r="E23" s="58">
        <f>'Assumptions &amp; Analysis'!$B$30*'Projected Balance Sheet'!F17</f>
        <v>0</v>
      </c>
      <c r="F23" s="58">
        <f>'Assumptions &amp; Analysis'!$B$30*'Projected Balance Sheet'!G17</f>
        <v>0</v>
      </c>
      <c r="G23" s="58">
        <f>'Assumptions &amp; Analysis'!$B$30*'Projected Balance Sheet'!H17</f>
        <v>0</v>
      </c>
      <c r="H23" s="58">
        <f>SUM(C23:G23)</f>
        <v>902.625</v>
      </c>
      <c r="I23" s="41"/>
      <c r="J23" s="41"/>
      <c r="K23" s="41"/>
      <c r="L23" s="41"/>
      <c r="M23" s="41"/>
      <c r="N23" s="41"/>
      <c r="O23" s="41"/>
      <c r="P23" s="41"/>
      <c r="Q23" s="41"/>
      <c r="R23" s="41"/>
      <c r="S23" s="41"/>
      <c r="T23" s="41"/>
    </row>
    <row r="24" spans="1:20" ht="24" customHeight="1" x14ac:dyDescent="0.2">
      <c r="A24" s="41"/>
      <c r="B24" s="53" t="s">
        <v>82</v>
      </c>
      <c r="C24" s="54">
        <f t="shared" ref="C24:H24" si="6">C21-C23</f>
        <v>-50387.5</v>
      </c>
      <c r="D24" s="54">
        <f t="shared" si="6"/>
        <v>-44535.125</v>
      </c>
      <c r="E24" s="54">
        <f t="shared" si="6"/>
        <v>29817.799999999988</v>
      </c>
      <c r="F24" s="54">
        <f t="shared" si="6"/>
        <v>40754.79800000001</v>
      </c>
      <c r="G24" s="54">
        <f t="shared" si="6"/>
        <v>52434.922580000071</v>
      </c>
      <c r="H24" s="54">
        <f t="shared" si="6"/>
        <v>28084.895580000128</v>
      </c>
      <c r="I24" s="41"/>
      <c r="J24" s="41"/>
      <c r="K24" s="41"/>
      <c r="L24" s="41"/>
      <c r="M24" s="41"/>
      <c r="N24" s="41"/>
      <c r="O24" s="41"/>
      <c r="P24" s="41"/>
      <c r="Q24" s="41"/>
      <c r="R24" s="41"/>
      <c r="S24" s="41"/>
      <c r="T24" s="41"/>
    </row>
    <row r="25" spans="1:20" ht="24" customHeight="1" x14ac:dyDescent="0.2">
      <c r="A25" s="41"/>
      <c r="B25" s="129"/>
      <c r="C25" s="117"/>
      <c r="D25" s="117"/>
      <c r="E25" s="117"/>
      <c r="F25" s="117"/>
      <c r="G25" s="117"/>
      <c r="H25" s="61"/>
      <c r="I25" s="41"/>
      <c r="J25" s="41"/>
      <c r="K25" s="41"/>
      <c r="L25" s="41"/>
      <c r="M25" s="41"/>
      <c r="N25" s="41"/>
      <c r="O25" s="41"/>
      <c r="P25" s="41"/>
      <c r="Q25" s="41"/>
      <c r="R25" s="41"/>
      <c r="S25" s="41"/>
      <c r="T25" s="41"/>
    </row>
    <row r="26" spans="1:20" ht="24" customHeight="1" x14ac:dyDescent="0.2">
      <c r="A26" s="41"/>
      <c r="B26" s="57" t="s">
        <v>83</v>
      </c>
      <c r="C26" s="58">
        <f>'Assumptions &amp; Analysis'!C31*C24</f>
        <v>0</v>
      </c>
      <c r="D26" s="58">
        <f>'Assumptions &amp; Analysis'!D31*D24</f>
        <v>0</v>
      </c>
      <c r="E26" s="58">
        <f>'Assumptions &amp; Analysis'!E31*E24</f>
        <v>4472.6699999999983</v>
      </c>
      <c r="F26" s="58">
        <f>'Assumptions &amp; Analysis'!F31*F24</f>
        <v>6113.2197000000015</v>
      </c>
      <c r="G26" s="58">
        <f>'Assumptions &amp; Analysis'!G31*G24</f>
        <v>7865.2383870000103</v>
      </c>
      <c r="H26" s="58">
        <f>SUM(C26:G26)</f>
        <v>18451.128087000012</v>
      </c>
      <c r="I26" s="41"/>
      <c r="J26" s="41"/>
      <c r="K26" s="41"/>
      <c r="L26" s="41"/>
      <c r="M26" s="41"/>
      <c r="N26" s="41"/>
      <c r="O26" s="41"/>
      <c r="P26" s="41"/>
      <c r="Q26" s="41"/>
      <c r="R26" s="41"/>
      <c r="S26" s="41"/>
      <c r="T26" s="41"/>
    </row>
    <row r="27" spans="1:20" ht="24" customHeight="1" x14ac:dyDescent="0.2">
      <c r="A27" s="41"/>
      <c r="B27" s="53" t="s">
        <v>84</v>
      </c>
      <c r="C27" s="54">
        <f t="shared" ref="C27:H27" si="7">C24-C26</f>
        <v>-50387.5</v>
      </c>
      <c r="D27" s="54">
        <f t="shared" si="7"/>
        <v>-44535.125</v>
      </c>
      <c r="E27" s="54">
        <f t="shared" si="7"/>
        <v>25345.12999999999</v>
      </c>
      <c r="F27" s="54">
        <f t="shared" si="7"/>
        <v>34641.578300000008</v>
      </c>
      <c r="G27" s="54">
        <f t="shared" si="7"/>
        <v>44569.684193000059</v>
      </c>
      <c r="H27" s="54">
        <f t="shared" si="7"/>
        <v>9633.7674930001158</v>
      </c>
      <c r="I27" s="41"/>
      <c r="J27" s="41"/>
      <c r="K27" s="41"/>
      <c r="L27" s="41"/>
      <c r="M27" s="41"/>
      <c r="N27" s="41"/>
      <c r="O27" s="41"/>
      <c r="P27" s="41"/>
      <c r="Q27" s="41"/>
      <c r="R27" s="41"/>
      <c r="S27" s="41"/>
      <c r="T27" s="41"/>
    </row>
    <row r="28" spans="1:20" ht="24" customHeight="1" x14ac:dyDescent="0.2">
      <c r="A28" s="41"/>
      <c r="B28" s="133"/>
      <c r="C28" s="123"/>
      <c r="D28" s="123"/>
      <c r="E28" s="123"/>
      <c r="F28" s="123"/>
      <c r="G28" s="123"/>
      <c r="H28" s="49"/>
      <c r="I28" s="41"/>
      <c r="J28" s="41"/>
      <c r="K28" s="41"/>
      <c r="L28" s="41"/>
      <c r="M28" s="41"/>
      <c r="N28" s="41"/>
      <c r="O28" s="41"/>
      <c r="P28" s="41"/>
      <c r="Q28" s="41"/>
      <c r="R28" s="41"/>
      <c r="S28" s="41"/>
      <c r="T28" s="41"/>
    </row>
  </sheetData>
  <sheetProtection sheet="1" objects="1" scenarios="1"/>
  <mergeCells count="9">
    <mergeCell ref="B22:G22"/>
    <mergeCell ref="B25:G25"/>
    <mergeCell ref="B28:G28"/>
    <mergeCell ref="B1:G1"/>
    <mergeCell ref="B2:H2"/>
    <mergeCell ref="B6:G6"/>
    <mergeCell ref="B13:G13"/>
    <mergeCell ref="B3:H3"/>
    <mergeCell ref="B14:G14"/>
  </mergeCells>
  <conditionalFormatting sqref="A1:T2 A3:B3 I3:T3 A4:T28">
    <cfRule type="cellIs" dxfId="3" priority="1" operator="less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7"/>
  <sheetViews>
    <sheetView workbookViewId="0"/>
  </sheetViews>
  <sheetFormatPr baseColWidth="10" defaultColWidth="12.6640625" defaultRowHeight="15.75" customHeight="1" x14ac:dyDescent="0.15"/>
  <sheetData>
    <row r="2" spans="1:6" ht="15.75" customHeight="1" x14ac:dyDescent="0.15">
      <c r="A2" s="1" t="s">
        <v>85</v>
      </c>
      <c r="B2" s="2" t="s">
        <v>86</v>
      </c>
      <c r="C2" s="2" t="s">
        <v>87</v>
      </c>
      <c r="D2" s="2" t="s">
        <v>88</v>
      </c>
      <c r="E2" s="2" t="s">
        <v>89</v>
      </c>
      <c r="F2" s="3" t="s">
        <v>90</v>
      </c>
    </row>
    <row r="3" spans="1:6" ht="15.75" customHeight="1" x14ac:dyDescent="0.15">
      <c r="A3" s="4" t="s">
        <v>23</v>
      </c>
      <c r="B3" s="5">
        <f t="shared" ref="B3:B7" si="0">D3/F3</f>
        <v>0.23333333333333334</v>
      </c>
      <c r="C3" s="5">
        <f t="shared" ref="C3:C7" si="1">E3/F3</f>
        <v>0.8</v>
      </c>
      <c r="D3" s="6">
        <f>SUM('Income Statement Forecasts'!C7:C9)</f>
        <v>42000</v>
      </c>
      <c r="E3" s="6">
        <f>SUM('Income Statement Forecasts'!C15:C18)</f>
        <v>144000</v>
      </c>
      <c r="F3" s="7">
        <f>'Income Statement Forecasts'!C5</f>
        <v>180000</v>
      </c>
    </row>
    <row r="4" spans="1:6" ht="15.75" customHeight="1" x14ac:dyDescent="0.15">
      <c r="A4" s="4" t="s">
        <v>24</v>
      </c>
      <c r="B4" s="5">
        <f t="shared" si="0"/>
        <v>0.23333333333333334</v>
      </c>
      <c r="C4" s="5">
        <f t="shared" si="1"/>
        <v>0.76677148846960164</v>
      </c>
      <c r="D4" s="6">
        <f>SUM('Income Statement Forecasts'!D7:D9)</f>
        <v>44520</v>
      </c>
      <c r="E4" s="6">
        <f>SUM('Income Statement Forecasts'!D15:D18)</f>
        <v>146300</v>
      </c>
      <c r="F4" s="7">
        <f>'Income Statement Forecasts'!D5</f>
        <v>190800</v>
      </c>
    </row>
    <row r="5" spans="1:6" ht="15.75" customHeight="1" x14ac:dyDescent="0.15">
      <c r="A5" s="4" t="s">
        <v>25</v>
      </c>
      <c r="B5" s="5">
        <f t="shared" si="0"/>
        <v>0.17499999999999999</v>
      </c>
      <c r="C5" s="5">
        <f t="shared" si="1"/>
        <v>0.5512600866263202</v>
      </c>
      <c r="D5" s="6">
        <f>SUM('Income Statement Forecasts'!E7:E9)</f>
        <v>47191.199999999997</v>
      </c>
      <c r="E5" s="6">
        <f>SUM('Income Statement Forecasts'!E15:E18)</f>
        <v>148655</v>
      </c>
      <c r="F5" s="7">
        <f>'Income Statement Forecasts'!E5</f>
        <v>269664</v>
      </c>
    </row>
    <row r="6" spans="1:6" ht="15.75" customHeight="1" x14ac:dyDescent="0.15">
      <c r="A6" s="4" t="s">
        <v>26</v>
      </c>
      <c r="B6" s="5">
        <f t="shared" si="0"/>
        <v>0.17500000000000002</v>
      </c>
      <c r="C6" s="5">
        <f t="shared" si="1"/>
        <v>0.52849265529038503</v>
      </c>
      <c r="D6" s="6">
        <f>SUM('Income Statement Forecasts'!F7:F9)</f>
        <v>50022.672000000006</v>
      </c>
      <c r="E6" s="6">
        <f>SUM('Income Statement Forecasts'!F15:F18)</f>
        <v>151066.37</v>
      </c>
      <c r="F6" s="7">
        <f>'Income Statement Forecasts'!F5</f>
        <v>285843.84000000003</v>
      </c>
    </row>
    <row r="7" spans="1:6" ht="15.75" customHeight="1" x14ac:dyDescent="0.15">
      <c r="A7" s="8" t="s">
        <v>27</v>
      </c>
      <c r="B7" s="9">
        <f t="shared" si="0"/>
        <v>0.17499999999999999</v>
      </c>
      <c r="C7" s="9">
        <f t="shared" si="1"/>
        <v>0.5067271204563869</v>
      </c>
      <c r="D7" s="10">
        <f>SUM('Income Statement Forecasts'!G7:G9)</f>
        <v>53024.032320000006</v>
      </c>
      <c r="E7" s="10">
        <f>SUM('Income Statement Forecasts'!G15:G18)</f>
        <v>153535.51549999998</v>
      </c>
      <c r="F7" s="11">
        <f>'Income Statement Forecasts'!G5</f>
        <v>302994.47040000005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outlinePr summaryBelow="0" summaryRight="0"/>
  </sheetPr>
  <dimension ref="A1:R28"/>
  <sheetViews>
    <sheetView workbookViewId="0">
      <selection activeCell="B2" sqref="B2:H2"/>
    </sheetView>
  </sheetViews>
  <sheetFormatPr baseColWidth="10" defaultColWidth="12.6640625" defaultRowHeight="22" customHeight="1" x14ac:dyDescent="0.2"/>
  <cols>
    <col min="1" max="1" width="6.1640625" style="39" customWidth="1"/>
    <col min="2" max="2" width="33.6640625" style="39" customWidth="1"/>
    <col min="3" max="8" width="17.5" style="39" customWidth="1"/>
    <col min="9" max="18" width="7" style="39" customWidth="1"/>
    <col min="19" max="16384" width="12.6640625" style="39"/>
  </cols>
  <sheetData>
    <row r="1" spans="1:18" ht="22" customHeight="1" x14ac:dyDescent="0.25">
      <c r="A1" s="135"/>
      <c r="B1" s="136"/>
      <c r="C1" s="109"/>
      <c r="D1" s="109"/>
      <c r="E1" s="109"/>
      <c r="F1" s="109"/>
      <c r="G1" s="109"/>
      <c r="H1" s="109"/>
      <c r="I1" s="80"/>
      <c r="J1" s="41"/>
      <c r="K1" s="41"/>
      <c r="L1" s="41"/>
      <c r="M1" s="41"/>
      <c r="N1" s="41"/>
      <c r="O1" s="41"/>
      <c r="P1" s="41"/>
      <c r="Q1" s="41"/>
      <c r="R1" s="41"/>
    </row>
    <row r="2" spans="1:18" ht="33" customHeight="1" x14ac:dyDescent="0.25">
      <c r="A2" s="109"/>
      <c r="B2" s="127" t="s">
        <v>91</v>
      </c>
      <c r="C2" s="128"/>
      <c r="D2" s="128"/>
      <c r="E2" s="128"/>
      <c r="F2" s="128"/>
      <c r="G2" s="128"/>
      <c r="H2" s="128"/>
      <c r="I2" s="41"/>
      <c r="J2" s="41"/>
      <c r="K2" s="41"/>
      <c r="L2" s="41"/>
      <c r="M2" s="41"/>
      <c r="N2" s="41"/>
      <c r="O2" s="41"/>
      <c r="P2" s="41"/>
      <c r="Q2" s="41"/>
      <c r="R2" s="41"/>
    </row>
    <row r="3" spans="1:18" ht="22" customHeight="1" x14ac:dyDescent="0.2">
      <c r="A3" s="109"/>
      <c r="B3" s="136"/>
      <c r="C3" s="109"/>
      <c r="D3" s="109"/>
      <c r="E3" s="109"/>
      <c r="F3" s="109"/>
      <c r="G3" s="109"/>
      <c r="H3" s="109"/>
      <c r="I3" s="41"/>
      <c r="J3" s="41"/>
      <c r="K3" s="41"/>
      <c r="L3" s="41"/>
      <c r="M3" s="41"/>
      <c r="N3" s="41"/>
      <c r="O3" s="41"/>
      <c r="P3" s="41"/>
      <c r="Q3" s="41"/>
      <c r="R3" s="41"/>
    </row>
    <row r="4" spans="1:18" s="82" customFormat="1" ht="25" customHeight="1" x14ac:dyDescent="0.2">
      <c r="A4" s="109"/>
      <c r="B4" s="52"/>
      <c r="C4" s="63" t="s">
        <v>108</v>
      </c>
      <c r="D4" s="51" t="s">
        <v>23</v>
      </c>
      <c r="E4" s="51" t="s">
        <v>24</v>
      </c>
      <c r="F4" s="51" t="s">
        <v>25</v>
      </c>
      <c r="G4" s="51" t="s">
        <v>26</v>
      </c>
      <c r="H4" s="51" t="s">
        <v>27</v>
      </c>
      <c r="I4" s="41"/>
      <c r="J4" s="41"/>
      <c r="K4" s="41"/>
      <c r="L4" s="41"/>
      <c r="M4" s="41"/>
      <c r="N4" s="41"/>
      <c r="O4" s="41"/>
      <c r="P4" s="41"/>
      <c r="Q4" s="41"/>
      <c r="R4" s="41"/>
    </row>
    <row r="5" spans="1:18" s="82" customFormat="1" ht="25" customHeight="1" x14ac:dyDescent="0.2">
      <c r="A5" s="109"/>
      <c r="B5" s="55" t="s">
        <v>92</v>
      </c>
      <c r="C5" s="75"/>
      <c r="D5" s="75"/>
      <c r="E5" s="75"/>
      <c r="F5" s="75"/>
      <c r="G5" s="75"/>
      <c r="H5" s="75"/>
      <c r="I5" s="41"/>
      <c r="J5" s="41"/>
      <c r="K5" s="41"/>
      <c r="L5" s="41"/>
      <c r="M5" s="41"/>
      <c r="N5" s="41"/>
      <c r="O5" s="41"/>
      <c r="P5" s="41"/>
      <c r="Q5" s="41"/>
      <c r="R5" s="41"/>
    </row>
    <row r="6" spans="1:18" s="82" customFormat="1" ht="25" customHeight="1" x14ac:dyDescent="0.2">
      <c r="A6" s="109"/>
      <c r="B6" s="57" t="s">
        <v>93</v>
      </c>
      <c r="C6" s="69">
        <f>'Assumptions &amp; Analysis'!B25</f>
        <v>425000</v>
      </c>
      <c r="D6" s="83">
        <v>0</v>
      </c>
      <c r="E6" s="83">
        <v>0</v>
      </c>
      <c r="F6" s="83">
        <v>0</v>
      </c>
      <c r="G6" s="83">
        <v>0</v>
      </c>
      <c r="H6" s="83">
        <v>0</v>
      </c>
      <c r="I6" s="41"/>
      <c r="J6" s="41"/>
      <c r="K6" s="41"/>
      <c r="L6" s="41"/>
      <c r="M6" s="41"/>
      <c r="N6" s="41"/>
      <c r="O6" s="41"/>
      <c r="P6" s="41"/>
      <c r="Q6" s="41"/>
      <c r="R6" s="41"/>
    </row>
    <row r="7" spans="1:18" s="82" customFormat="1" ht="25" customHeight="1" x14ac:dyDescent="0.2">
      <c r="A7" s="109"/>
      <c r="B7" s="57" t="s">
        <v>94</v>
      </c>
      <c r="C7" s="69"/>
      <c r="D7" s="58">
        <f>'Assumptions &amp; Analysis'!B35*'Income Statement Forecasts'!C5</f>
        <v>27000</v>
      </c>
      <c r="E7" s="58">
        <f>'Assumptions &amp; Analysis'!$B$35*'Income Statement Forecasts'!D5</f>
        <v>28620</v>
      </c>
      <c r="F7" s="58">
        <f>'Assumptions &amp; Analysis'!$B$35*'Income Statement Forecasts'!E5</f>
        <v>40449.599999999999</v>
      </c>
      <c r="G7" s="58">
        <f>'Assumptions &amp; Analysis'!$B$35*'Income Statement Forecasts'!F5</f>
        <v>42876.576000000001</v>
      </c>
      <c r="H7" s="58">
        <f>'Assumptions &amp; Analysis'!$B$35*'Income Statement Forecasts'!G5</f>
        <v>45449.170560000006</v>
      </c>
      <c r="I7" s="41"/>
      <c r="J7" s="41"/>
      <c r="K7" s="41"/>
      <c r="L7" s="41"/>
      <c r="M7" s="41"/>
      <c r="N7" s="41"/>
      <c r="O7" s="41"/>
      <c r="P7" s="41"/>
      <c r="Q7" s="41"/>
      <c r="R7" s="41"/>
    </row>
    <row r="8" spans="1:18" s="82" customFormat="1" ht="25" customHeight="1" x14ac:dyDescent="0.2">
      <c r="A8" s="109"/>
      <c r="B8" s="57" t="s">
        <v>95</v>
      </c>
      <c r="C8" s="69"/>
      <c r="D8" s="58">
        <f>('Assumptions &amp; Analysis'!$B$36*'Income Statement Forecasts'!C5)/12*9</f>
        <v>114750</v>
      </c>
      <c r="E8" s="58">
        <f>('Assumptions &amp; Analysis'!$B$36*'Income Statement Forecasts'!C5)/12*3+('Assumptions &amp; Analysis'!$B$36*'Income Statement Forecasts'!D5)/12*9</f>
        <v>159885</v>
      </c>
      <c r="F8" s="58">
        <f>('Assumptions &amp; Analysis'!$B$36*'Income Statement Forecasts'!D5)/12*3+('Assumptions &amp; Analysis'!$B$36*'Income Statement Forecasts'!E5)/12*9</f>
        <v>212455.80000000002</v>
      </c>
      <c r="G8" s="58">
        <f>('Assumptions &amp; Analysis'!$B$36*'Income Statement Forecasts'!E5)/12*3+('Assumptions &amp; Analysis'!$B$36*'Income Statement Forecasts'!F5)/12*9</f>
        <v>239529.04800000001</v>
      </c>
      <c r="H8" s="58">
        <f>('Assumptions &amp; Analysis'!$B$36*'Income Statement Forecasts'!F5)/12*3+('Assumptions &amp; Analysis'!$B$36*'Income Statement Forecasts'!G5)/12*9</f>
        <v>253900.79088000004</v>
      </c>
      <c r="I8" s="41"/>
      <c r="J8" s="41"/>
      <c r="K8" s="41"/>
      <c r="L8" s="41"/>
      <c r="M8" s="41"/>
      <c r="N8" s="41"/>
      <c r="O8" s="41"/>
      <c r="P8" s="41"/>
      <c r="Q8" s="41"/>
      <c r="R8" s="41"/>
    </row>
    <row r="9" spans="1:18" s="82" customFormat="1" ht="25" customHeight="1" x14ac:dyDescent="0.2">
      <c r="A9" s="109"/>
      <c r="B9" s="79" t="s">
        <v>96</v>
      </c>
      <c r="C9" s="63">
        <f t="shared" ref="C9:H9" si="0">SUM(C6:C8)</f>
        <v>425000</v>
      </c>
      <c r="D9" s="51">
        <f t="shared" si="0"/>
        <v>141750</v>
      </c>
      <c r="E9" s="51">
        <f t="shared" si="0"/>
        <v>188505</v>
      </c>
      <c r="F9" s="51">
        <f t="shared" si="0"/>
        <v>252905.40000000002</v>
      </c>
      <c r="G9" s="51">
        <f t="shared" si="0"/>
        <v>282405.62400000001</v>
      </c>
      <c r="H9" s="51">
        <f t="shared" si="0"/>
        <v>299349.96144000004</v>
      </c>
      <c r="I9" s="41"/>
      <c r="J9" s="41"/>
      <c r="K9" s="41"/>
      <c r="L9" s="41"/>
      <c r="M9" s="41"/>
      <c r="N9" s="41"/>
      <c r="O9" s="41"/>
      <c r="P9" s="41"/>
      <c r="Q9" s="41"/>
      <c r="R9" s="41"/>
    </row>
    <row r="10" spans="1:18" s="82" customFormat="1" ht="25" customHeight="1" x14ac:dyDescent="0.2">
      <c r="A10" s="109"/>
      <c r="B10" s="137"/>
      <c r="C10" s="138"/>
      <c r="D10" s="138"/>
      <c r="E10" s="138"/>
      <c r="F10" s="138"/>
      <c r="G10" s="138"/>
      <c r="H10" s="138"/>
      <c r="I10" s="41"/>
      <c r="J10" s="41"/>
      <c r="K10" s="41"/>
      <c r="L10" s="41"/>
      <c r="M10" s="41"/>
      <c r="N10" s="41"/>
      <c r="O10" s="41"/>
      <c r="P10" s="41"/>
      <c r="Q10" s="41"/>
      <c r="R10" s="41"/>
    </row>
    <row r="11" spans="1:18" s="82" customFormat="1" ht="25" customHeight="1" x14ac:dyDescent="0.2">
      <c r="A11" s="109"/>
      <c r="B11" s="55" t="s">
        <v>97</v>
      </c>
      <c r="C11" s="75"/>
      <c r="D11" s="75"/>
      <c r="E11" s="75"/>
      <c r="F11" s="75"/>
      <c r="G11" s="75"/>
      <c r="H11" s="75"/>
      <c r="I11" s="41"/>
      <c r="J11" s="41"/>
      <c r="K11" s="41"/>
      <c r="L11" s="41"/>
      <c r="M11" s="41"/>
      <c r="N11" s="41"/>
      <c r="O11" s="41"/>
      <c r="P11" s="41"/>
      <c r="Q11" s="41"/>
      <c r="R11" s="41"/>
    </row>
    <row r="12" spans="1:18" s="82" customFormat="1" ht="25" customHeight="1" x14ac:dyDescent="0.2">
      <c r="A12" s="109"/>
      <c r="B12" s="57" t="s">
        <v>98</v>
      </c>
      <c r="C12" s="69">
        <f>'Assumptions &amp; Analysis'!B34</f>
        <v>12000</v>
      </c>
      <c r="D12" s="58">
        <f>'Income Statement Forecasts'!C7/12*11</f>
        <v>27500</v>
      </c>
      <c r="E12" s="58">
        <f>'Income Statement Forecasts'!D7/12*11+'Income Statement Forecasts'!C7/12</f>
        <v>31650</v>
      </c>
      <c r="F12" s="58">
        <f>'Income Statement Forecasts'!E7/12*11+'Income Statement Forecasts'!D7/12</f>
        <v>33549</v>
      </c>
      <c r="G12" s="58">
        <f>'Income Statement Forecasts'!F7/12*11+'Income Statement Forecasts'!E7/12</f>
        <v>35561.94</v>
      </c>
      <c r="H12" s="58">
        <f>'Income Statement Forecasts'!G7/12*11+'Income Statement Forecasts'!F7/12</f>
        <v>37695.656400000007</v>
      </c>
      <c r="I12" s="41"/>
      <c r="J12" s="41"/>
      <c r="K12" s="41"/>
      <c r="L12" s="41"/>
      <c r="M12" s="41"/>
      <c r="N12" s="41"/>
      <c r="O12" s="41"/>
      <c r="P12" s="41"/>
      <c r="Q12" s="41"/>
      <c r="R12" s="41"/>
    </row>
    <row r="13" spans="1:18" s="82" customFormat="1" ht="25" customHeight="1" x14ac:dyDescent="0.2">
      <c r="A13" s="109"/>
      <c r="B13" s="57" t="s">
        <v>71</v>
      </c>
      <c r="C13" s="83">
        <v>0</v>
      </c>
      <c r="D13" s="58">
        <f>'Income Statement Forecasts'!C8</f>
        <v>7500</v>
      </c>
      <c r="E13" s="58">
        <f>'Income Statement Forecasts'!D8</f>
        <v>7950</v>
      </c>
      <c r="F13" s="58">
        <f>'Income Statement Forecasts'!E8</f>
        <v>8427</v>
      </c>
      <c r="G13" s="58">
        <f>'Income Statement Forecasts'!F8</f>
        <v>8932.6200000000008</v>
      </c>
      <c r="H13" s="58">
        <f>'Income Statement Forecasts'!G8</f>
        <v>9468.5772000000015</v>
      </c>
      <c r="I13" s="41"/>
      <c r="J13" s="41"/>
      <c r="K13" s="41"/>
      <c r="L13" s="41"/>
      <c r="M13" s="41"/>
      <c r="N13" s="41"/>
      <c r="O13" s="41"/>
      <c r="P13" s="41"/>
      <c r="Q13" s="41"/>
      <c r="R13" s="41"/>
    </row>
    <row r="14" spans="1:18" s="82" customFormat="1" ht="25" customHeight="1" x14ac:dyDescent="0.2">
      <c r="A14" s="109"/>
      <c r="B14" s="57" t="s">
        <v>72</v>
      </c>
      <c r="C14" s="83">
        <v>0</v>
      </c>
      <c r="D14" s="58">
        <f>'Income Statement Forecasts'!C9</f>
        <v>4500</v>
      </c>
      <c r="E14" s="58">
        <f>'Income Statement Forecasts'!D9</f>
        <v>4770</v>
      </c>
      <c r="F14" s="58">
        <f>'Income Statement Forecasts'!E9</f>
        <v>5056.2000000000007</v>
      </c>
      <c r="G14" s="58">
        <f>'Income Statement Forecasts'!F9</f>
        <v>5359.5720000000001</v>
      </c>
      <c r="H14" s="58">
        <f>'Income Statement Forecasts'!G9</f>
        <v>5681.1463200000007</v>
      </c>
      <c r="I14" s="41"/>
      <c r="J14" s="41"/>
      <c r="K14" s="41"/>
      <c r="L14" s="41"/>
      <c r="M14" s="41"/>
      <c r="N14" s="41"/>
      <c r="O14" s="41"/>
      <c r="P14" s="41"/>
      <c r="Q14" s="41"/>
      <c r="R14" s="41"/>
    </row>
    <row r="15" spans="1:18" s="82" customFormat="1" ht="25" customHeight="1" x14ac:dyDescent="0.2">
      <c r="A15" s="109"/>
      <c r="B15" s="57" t="s">
        <v>46</v>
      </c>
      <c r="C15" s="83">
        <v>0</v>
      </c>
      <c r="D15" s="58">
        <f>'Income Statement Forecasts'!C15</f>
        <v>70000</v>
      </c>
      <c r="E15" s="58">
        <f>'Income Statement Forecasts'!D15</f>
        <v>71400</v>
      </c>
      <c r="F15" s="58">
        <f>'Income Statement Forecasts'!E15</f>
        <v>72828</v>
      </c>
      <c r="G15" s="58">
        <f>'Income Statement Forecasts'!F15</f>
        <v>74284.56</v>
      </c>
      <c r="H15" s="58">
        <f>'Income Statement Forecasts'!G15</f>
        <v>75770.251199999999</v>
      </c>
      <c r="I15" s="41"/>
      <c r="J15" s="41"/>
      <c r="K15" s="41"/>
      <c r="L15" s="41"/>
      <c r="M15" s="41"/>
      <c r="N15" s="41"/>
      <c r="O15" s="41"/>
      <c r="P15" s="41"/>
      <c r="Q15" s="41"/>
      <c r="R15" s="41"/>
    </row>
    <row r="16" spans="1:18" s="82" customFormat="1" ht="25" customHeight="1" x14ac:dyDescent="0.2">
      <c r="A16" s="109"/>
      <c r="B16" s="57" t="s">
        <v>49</v>
      </c>
      <c r="C16" s="83">
        <v>0</v>
      </c>
      <c r="D16" s="58">
        <f>'Income Statement Forecasts'!C16</f>
        <v>30000</v>
      </c>
      <c r="E16" s="58">
        <f>'Income Statement Forecasts'!D16</f>
        <v>30900</v>
      </c>
      <c r="F16" s="58">
        <f>'Income Statement Forecasts'!E16</f>
        <v>31827</v>
      </c>
      <c r="G16" s="58">
        <f>'Income Statement Forecasts'!F16</f>
        <v>32781.81</v>
      </c>
      <c r="H16" s="58">
        <f>'Income Statement Forecasts'!G16</f>
        <v>33765.264299999995</v>
      </c>
      <c r="I16" s="41"/>
      <c r="J16" s="41"/>
      <c r="K16" s="41"/>
      <c r="L16" s="41"/>
      <c r="M16" s="41"/>
      <c r="N16" s="41"/>
      <c r="O16" s="41"/>
      <c r="P16" s="41"/>
      <c r="Q16" s="41"/>
      <c r="R16" s="41"/>
    </row>
    <row r="17" spans="1:18" s="82" customFormat="1" ht="25" customHeight="1" x14ac:dyDescent="0.2">
      <c r="A17" s="109"/>
      <c r="B17" s="57" t="s">
        <v>78</v>
      </c>
      <c r="C17" s="83">
        <v>0</v>
      </c>
      <c r="D17" s="58">
        <f>'Assumptions &amp; Analysis'!C21</f>
        <v>15000</v>
      </c>
      <c r="E17" s="58">
        <f>'Assumptions &amp; Analysis'!D21</f>
        <v>20000</v>
      </c>
      <c r="F17" s="58">
        <f>'Assumptions &amp; Analysis'!E21</f>
        <v>20000</v>
      </c>
      <c r="G17" s="58">
        <f>'Assumptions &amp; Analysis'!F21</f>
        <v>20000</v>
      </c>
      <c r="H17" s="58">
        <f>'Assumptions &amp; Analysis'!G21</f>
        <v>20000</v>
      </c>
      <c r="I17" s="41"/>
      <c r="J17" s="41"/>
      <c r="K17" s="41"/>
      <c r="L17" s="41"/>
      <c r="M17" s="41"/>
      <c r="N17" s="41"/>
      <c r="O17" s="41"/>
      <c r="P17" s="41"/>
      <c r="Q17" s="41"/>
      <c r="R17" s="41"/>
    </row>
    <row r="18" spans="1:18" s="82" customFormat="1" ht="25" customHeight="1" x14ac:dyDescent="0.2">
      <c r="A18" s="109"/>
      <c r="B18" s="57" t="s">
        <v>77</v>
      </c>
      <c r="C18" s="83">
        <v>0</v>
      </c>
      <c r="D18" s="58">
        <f>'Assumptions &amp; Analysis'!$B$22+'Assumptions &amp; Analysis'!$B$22</f>
        <v>48000</v>
      </c>
      <c r="E18" s="58">
        <f>'Assumptions &amp; Analysis'!$B$22</f>
        <v>24000</v>
      </c>
      <c r="F18" s="58">
        <f>'Assumptions &amp; Analysis'!$B$22</f>
        <v>24000</v>
      </c>
      <c r="G18" s="58">
        <f>'Assumptions &amp; Analysis'!$B$22</f>
        <v>24000</v>
      </c>
      <c r="H18" s="58">
        <f>'Assumptions &amp; Analysis'!$B$22</f>
        <v>24000</v>
      </c>
      <c r="I18" s="41"/>
      <c r="J18" s="41"/>
      <c r="K18" s="41"/>
      <c r="L18" s="41"/>
      <c r="M18" s="41"/>
      <c r="N18" s="41"/>
      <c r="O18" s="41"/>
      <c r="P18" s="41"/>
      <c r="Q18" s="41"/>
      <c r="R18" s="41"/>
    </row>
    <row r="19" spans="1:18" s="82" customFormat="1" ht="25" customHeight="1" x14ac:dyDescent="0.2">
      <c r="A19" s="109"/>
      <c r="B19" s="57" t="s">
        <v>99</v>
      </c>
      <c r="C19" s="83">
        <v>0</v>
      </c>
      <c r="D19" s="58">
        <f>'Projected Balance Sheet'!C20</f>
        <v>0</v>
      </c>
      <c r="E19" s="58">
        <f>'Projected Balance Sheet'!D20</f>
        <v>387.5</v>
      </c>
      <c r="F19" s="58">
        <f>'Projected Balance Sheet'!E20</f>
        <v>515.125</v>
      </c>
      <c r="G19" s="58">
        <f>'Projected Balance Sheet'!F20</f>
        <v>0</v>
      </c>
      <c r="H19" s="58">
        <f>'Projected Balance Sheet'!G20</f>
        <v>0</v>
      </c>
      <c r="I19" s="41"/>
      <c r="J19" s="41"/>
      <c r="K19" s="41"/>
      <c r="L19" s="41"/>
      <c r="M19" s="41"/>
      <c r="N19" s="41"/>
      <c r="O19" s="41"/>
      <c r="P19" s="41"/>
      <c r="Q19" s="41"/>
      <c r="R19" s="41"/>
    </row>
    <row r="20" spans="1:18" s="82" customFormat="1" ht="25" customHeight="1" x14ac:dyDescent="0.2">
      <c r="A20" s="109"/>
      <c r="B20" s="57" t="s">
        <v>100</v>
      </c>
      <c r="C20" s="83">
        <v>0</v>
      </c>
      <c r="D20" s="58">
        <v>0</v>
      </c>
      <c r="E20" s="58">
        <v>0</v>
      </c>
      <c r="F20" s="58">
        <v>0</v>
      </c>
      <c r="G20" s="58">
        <f>'Assumptions &amp; Analysis'!$B$31*'Income Statement Forecasts'!E24</f>
        <v>4472.6699999999983</v>
      </c>
      <c r="H20" s="58">
        <f>'Assumptions &amp; Analysis'!$B$31*'Income Statement Forecasts'!F24</f>
        <v>6113.2197000000015</v>
      </c>
      <c r="I20" s="41"/>
      <c r="J20" s="41"/>
      <c r="K20" s="41"/>
      <c r="L20" s="41"/>
      <c r="M20" s="41"/>
      <c r="N20" s="41"/>
      <c r="O20" s="41"/>
      <c r="P20" s="41"/>
      <c r="Q20" s="41"/>
      <c r="R20" s="41"/>
    </row>
    <row r="21" spans="1:18" s="82" customFormat="1" ht="25" customHeight="1" x14ac:dyDescent="0.2">
      <c r="A21" s="109"/>
      <c r="B21" s="57" t="s">
        <v>101</v>
      </c>
      <c r="C21" s="69">
        <f>'Assumptions &amp; Analysis'!B26</f>
        <v>240000</v>
      </c>
      <c r="D21" s="58"/>
      <c r="E21" s="58"/>
      <c r="F21" s="58"/>
      <c r="G21" s="58"/>
      <c r="H21" s="58"/>
      <c r="I21" s="41"/>
      <c r="J21" s="41"/>
      <c r="K21" s="41"/>
      <c r="L21" s="41"/>
      <c r="M21" s="41"/>
      <c r="N21" s="41"/>
      <c r="O21" s="41"/>
      <c r="P21" s="41"/>
      <c r="Q21" s="41"/>
      <c r="R21" s="41"/>
    </row>
    <row r="22" spans="1:18" s="82" customFormat="1" ht="25" customHeight="1" x14ac:dyDescent="0.2">
      <c r="A22" s="109"/>
      <c r="B22" s="57" t="s">
        <v>102</v>
      </c>
      <c r="C22" s="69">
        <f>'Assumptions &amp; Analysis'!B27</f>
        <v>120000</v>
      </c>
      <c r="D22" s="58"/>
      <c r="E22" s="58"/>
      <c r="F22" s="58"/>
      <c r="G22" s="58"/>
      <c r="H22" s="58"/>
      <c r="I22" s="41"/>
      <c r="J22" s="41"/>
      <c r="K22" s="41"/>
      <c r="L22" s="41"/>
      <c r="M22" s="41"/>
      <c r="N22" s="41"/>
      <c r="O22" s="41"/>
      <c r="P22" s="41"/>
      <c r="Q22" s="41"/>
      <c r="R22" s="41"/>
    </row>
    <row r="23" spans="1:18" s="82" customFormat="1" ht="25" customHeight="1" x14ac:dyDescent="0.2">
      <c r="A23" s="109"/>
      <c r="B23" s="79" t="s">
        <v>103</v>
      </c>
      <c r="C23" s="63">
        <f t="shared" ref="C23:H23" si="1">SUM(C12:C22)</f>
        <v>372000</v>
      </c>
      <c r="D23" s="51">
        <f t="shared" si="1"/>
        <v>202500</v>
      </c>
      <c r="E23" s="51">
        <f t="shared" si="1"/>
        <v>191057.5</v>
      </c>
      <c r="F23" s="51">
        <f t="shared" si="1"/>
        <v>196202.32500000001</v>
      </c>
      <c r="G23" s="51">
        <f t="shared" si="1"/>
        <v>205393.17200000002</v>
      </c>
      <c r="H23" s="51">
        <f t="shared" si="1"/>
        <v>212494.11512000003</v>
      </c>
      <c r="I23" s="41"/>
      <c r="J23" s="41"/>
      <c r="K23" s="41"/>
      <c r="L23" s="41"/>
      <c r="M23" s="41"/>
      <c r="N23" s="41"/>
      <c r="O23" s="41"/>
      <c r="P23" s="41"/>
      <c r="Q23" s="41"/>
      <c r="R23" s="41"/>
    </row>
    <row r="24" spans="1:18" s="82" customFormat="1" ht="25" customHeight="1" x14ac:dyDescent="0.2">
      <c r="A24" s="109"/>
      <c r="B24" s="137"/>
      <c r="C24" s="138"/>
      <c r="D24" s="138"/>
      <c r="E24" s="138"/>
      <c r="F24" s="138"/>
      <c r="G24" s="138"/>
      <c r="H24" s="138"/>
      <c r="I24" s="41"/>
      <c r="J24" s="41"/>
      <c r="K24" s="41"/>
      <c r="L24" s="41"/>
      <c r="M24" s="41"/>
      <c r="N24" s="41"/>
      <c r="O24" s="41"/>
      <c r="P24" s="41"/>
      <c r="Q24" s="41"/>
      <c r="R24" s="41"/>
    </row>
    <row r="25" spans="1:18" s="82" customFormat="1" ht="25" customHeight="1" x14ac:dyDescent="0.2">
      <c r="A25" s="109"/>
      <c r="B25" s="55" t="s">
        <v>104</v>
      </c>
      <c r="C25" s="71">
        <f t="shared" ref="C25:H25" si="2">C9-C23</f>
        <v>53000</v>
      </c>
      <c r="D25" s="60">
        <f t="shared" si="2"/>
        <v>-60750</v>
      </c>
      <c r="E25" s="60">
        <f t="shared" si="2"/>
        <v>-2552.5</v>
      </c>
      <c r="F25" s="60">
        <f t="shared" si="2"/>
        <v>56703.075000000012</v>
      </c>
      <c r="G25" s="60">
        <f t="shared" si="2"/>
        <v>77012.45199999999</v>
      </c>
      <c r="H25" s="60">
        <f t="shared" si="2"/>
        <v>86855.846320000011</v>
      </c>
      <c r="I25" s="41"/>
      <c r="J25" s="41"/>
      <c r="K25" s="41"/>
      <c r="L25" s="41"/>
      <c r="M25" s="41"/>
      <c r="N25" s="41"/>
      <c r="O25" s="41"/>
      <c r="P25" s="41"/>
      <c r="Q25" s="41"/>
      <c r="R25" s="41"/>
    </row>
    <row r="26" spans="1:18" s="82" customFormat="1" ht="25" customHeight="1" x14ac:dyDescent="0.2">
      <c r="A26" s="109"/>
      <c r="B26" s="55" t="s">
        <v>105</v>
      </c>
      <c r="C26" s="75">
        <f>'Assumptions &amp; Analysis'!B39</f>
        <v>53000</v>
      </c>
      <c r="D26" s="56">
        <f t="shared" ref="D26:H26" si="3">C27</f>
        <v>53000</v>
      </c>
      <c r="E26" s="56">
        <f t="shared" si="3"/>
        <v>-7750</v>
      </c>
      <c r="F26" s="56">
        <f t="shared" si="3"/>
        <v>-10302.5</v>
      </c>
      <c r="G26" s="56">
        <f t="shared" si="3"/>
        <v>46400.575000000012</v>
      </c>
      <c r="H26" s="56">
        <f t="shared" si="3"/>
        <v>123413.027</v>
      </c>
      <c r="I26" s="41"/>
      <c r="J26" s="41"/>
      <c r="K26" s="41"/>
      <c r="L26" s="41"/>
      <c r="M26" s="41"/>
      <c r="N26" s="41"/>
      <c r="O26" s="41"/>
      <c r="P26" s="41"/>
      <c r="Q26" s="41"/>
      <c r="R26" s="41"/>
    </row>
    <row r="27" spans="1:18" s="82" customFormat="1" ht="25" customHeight="1" x14ac:dyDescent="0.2">
      <c r="A27" s="109"/>
      <c r="B27" s="55" t="s">
        <v>106</v>
      </c>
      <c r="C27" s="71">
        <f>C26</f>
        <v>53000</v>
      </c>
      <c r="D27" s="60">
        <f t="shared" ref="D27:H27" si="4">D25+D26</f>
        <v>-7750</v>
      </c>
      <c r="E27" s="60">
        <f t="shared" si="4"/>
        <v>-10302.5</v>
      </c>
      <c r="F27" s="60">
        <f t="shared" si="4"/>
        <v>46400.575000000012</v>
      </c>
      <c r="G27" s="60">
        <f t="shared" si="4"/>
        <v>123413.027</v>
      </c>
      <c r="H27" s="60">
        <f t="shared" si="4"/>
        <v>210268.87332000001</v>
      </c>
      <c r="I27" s="41"/>
      <c r="J27" s="41"/>
      <c r="K27" s="41"/>
      <c r="L27" s="41"/>
      <c r="M27" s="41"/>
      <c r="N27" s="41"/>
      <c r="O27" s="41"/>
      <c r="P27" s="41"/>
      <c r="Q27" s="41"/>
      <c r="R27" s="41"/>
    </row>
    <row r="28" spans="1:18" ht="22" customHeight="1" x14ac:dyDescent="0.25">
      <c r="A28" s="109"/>
      <c r="B28" s="139"/>
      <c r="C28" s="109"/>
      <c r="D28" s="109"/>
      <c r="E28" s="109"/>
      <c r="F28" s="109"/>
      <c r="G28" s="109"/>
      <c r="H28" s="109"/>
      <c r="I28" s="41"/>
      <c r="J28" s="41"/>
      <c r="K28" s="41"/>
      <c r="L28" s="41"/>
      <c r="M28" s="41"/>
      <c r="N28" s="41"/>
      <c r="O28" s="41"/>
      <c r="P28" s="41"/>
      <c r="Q28" s="41"/>
      <c r="R28" s="41"/>
    </row>
  </sheetData>
  <sheetProtection sheet="1" objects="1" scenarios="1"/>
  <mergeCells count="7">
    <mergeCell ref="A1:A28"/>
    <mergeCell ref="B1:H1"/>
    <mergeCell ref="B2:H2"/>
    <mergeCell ref="B3:H3"/>
    <mergeCell ref="B10:H10"/>
    <mergeCell ref="B24:H24"/>
    <mergeCell ref="B28:H28"/>
  </mergeCells>
  <conditionalFormatting sqref="A1:R28">
    <cfRule type="cellIs" dxfId="2" priority="1" operator="lessThan">
      <formula>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outlinePr summaryBelow="0" summaryRight="0"/>
  </sheetPr>
  <dimension ref="A1:U31"/>
  <sheetViews>
    <sheetView workbookViewId="0">
      <selection activeCell="B2" sqref="B2:H2"/>
    </sheetView>
  </sheetViews>
  <sheetFormatPr baseColWidth="10" defaultColWidth="12.6640625" defaultRowHeight="19" x14ac:dyDescent="0.25"/>
  <cols>
    <col min="1" max="1" width="5.6640625" style="22" customWidth="1"/>
    <col min="2" max="2" width="35.33203125" style="91" customWidth="1"/>
    <col min="3" max="9" width="17" style="22" customWidth="1"/>
    <col min="10" max="10" width="8" style="22" customWidth="1"/>
    <col min="11" max="21" width="6.1640625" style="22" customWidth="1"/>
    <col min="22" max="16384" width="12.6640625" style="22"/>
  </cols>
  <sheetData>
    <row r="1" spans="1:21" x14ac:dyDescent="0.25">
      <c r="A1" s="49"/>
      <c r="B1" s="143"/>
      <c r="C1" s="141"/>
      <c r="D1" s="141"/>
      <c r="E1" s="141"/>
      <c r="F1" s="141"/>
      <c r="G1" s="141"/>
      <c r="H1" s="141"/>
      <c r="I1" s="140"/>
      <c r="J1" s="141"/>
      <c r="K1" s="141"/>
      <c r="L1" s="141"/>
      <c r="M1" s="141"/>
      <c r="N1" s="141"/>
      <c r="O1" s="141"/>
      <c r="P1" s="141"/>
      <c r="Q1" s="141"/>
      <c r="R1" s="141"/>
      <c r="S1" s="141"/>
      <c r="T1" s="141"/>
      <c r="U1" s="141"/>
    </row>
    <row r="2" spans="1:21" ht="32" customHeight="1" x14ac:dyDescent="0.3">
      <c r="A2" s="81"/>
      <c r="B2" s="144" t="s">
        <v>107</v>
      </c>
      <c r="C2" s="145"/>
      <c r="D2" s="145"/>
      <c r="E2" s="145"/>
      <c r="F2" s="145"/>
      <c r="G2" s="145"/>
      <c r="H2" s="145"/>
      <c r="I2" s="141"/>
      <c r="J2" s="141"/>
      <c r="K2" s="141"/>
      <c r="L2" s="141"/>
      <c r="M2" s="141"/>
      <c r="N2" s="141"/>
      <c r="O2" s="141"/>
      <c r="P2" s="141"/>
      <c r="Q2" s="141"/>
      <c r="R2" s="141"/>
      <c r="S2" s="141"/>
      <c r="T2" s="141"/>
      <c r="U2" s="141"/>
    </row>
    <row r="3" spans="1:21" x14ac:dyDescent="0.25">
      <c r="A3" s="81"/>
      <c r="B3" s="143"/>
      <c r="C3" s="141"/>
      <c r="D3" s="141"/>
      <c r="E3" s="141"/>
      <c r="F3" s="141"/>
      <c r="G3" s="141"/>
      <c r="H3" s="141"/>
      <c r="I3" s="141"/>
      <c r="J3" s="141"/>
      <c r="K3" s="141"/>
      <c r="L3" s="141"/>
      <c r="M3" s="141"/>
      <c r="N3" s="141"/>
      <c r="O3" s="141"/>
      <c r="P3" s="141"/>
      <c r="Q3" s="141"/>
      <c r="R3" s="141"/>
      <c r="S3" s="141"/>
      <c r="T3" s="141"/>
      <c r="U3" s="141"/>
    </row>
    <row r="4" spans="1:21" ht="25" customHeight="1" x14ac:dyDescent="0.25">
      <c r="A4" s="81"/>
      <c r="B4" s="67"/>
      <c r="C4" s="63" t="s">
        <v>108</v>
      </c>
      <c r="D4" s="51" t="s">
        <v>23</v>
      </c>
      <c r="E4" s="51" t="s">
        <v>24</v>
      </c>
      <c r="F4" s="51" t="s">
        <v>25</v>
      </c>
      <c r="G4" s="51" t="s">
        <v>26</v>
      </c>
      <c r="H4" s="51" t="s">
        <v>27</v>
      </c>
      <c r="I4" s="141"/>
      <c r="J4" s="141"/>
      <c r="K4" s="141"/>
      <c r="L4" s="141"/>
      <c r="M4" s="141"/>
      <c r="N4" s="141"/>
      <c r="O4" s="141"/>
      <c r="P4" s="141"/>
      <c r="Q4" s="141"/>
      <c r="R4" s="141"/>
      <c r="S4" s="141"/>
      <c r="T4" s="141"/>
      <c r="U4" s="141"/>
    </row>
    <row r="5" spans="1:21" ht="25" customHeight="1" x14ac:dyDescent="0.25">
      <c r="A5" s="81"/>
      <c r="B5" s="68" t="s">
        <v>101</v>
      </c>
      <c r="C5" s="69">
        <f>'Assumptions &amp; Analysis'!B26</f>
        <v>240000</v>
      </c>
      <c r="D5" s="58">
        <f>'Assumptions &amp; Analysis'!$B$26-'Assumptions &amp; Analysis'!C16</f>
        <v>216000</v>
      </c>
      <c r="E5" s="58">
        <f>D5-'Assumptions &amp; Analysis'!D16</f>
        <v>192000</v>
      </c>
      <c r="F5" s="58">
        <f>E5-'Assumptions &amp; Analysis'!E16</f>
        <v>168000</v>
      </c>
      <c r="G5" s="58">
        <f>F5-'Assumptions &amp; Analysis'!F16</f>
        <v>144000</v>
      </c>
      <c r="H5" s="58">
        <f>G5-'Assumptions &amp; Analysis'!G16</f>
        <v>120000</v>
      </c>
      <c r="I5" s="141"/>
      <c r="J5" s="141"/>
      <c r="K5" s="141"/>
      <c r="L5" s="141"/>
      <c r="M5" s="141"/>
      <c r="N5" s="141"/>
      <c r="O5" s="141"/>
      <c r="P5" s="141"/>
      <c r="Q5" s="141"/>
      <c r="R5" s="141"/>
      <c r="S5" s="141"/>
      <c r="T5" s="141"/>
      <c r="U5" s="141"/>
    </row>
    <row r="6" spans="1:21" ht="25" customHeight="1" x14ac:dyDescent="0.25">
      <c r="A6" s="81"/>
      <c r="B6" s="68" t="s">
        <v>102</v>
      </c>
      <c r="C6" s="69">
        <f>'Assumptions &amp; Analysis'!B27</f>
        <v>120000</v>
      </c>
      <c r="D6" s="58">
        <f>'Assumptions &amp; Analysis'!$B$27-'Assumptions &amp; Analysis'!C17</f>
        <v>100000</v>
      </c>
      <c r="E6" s="58">
        <f>D6-'Assumptions &amp; Analysis'!D17</f>
        <v>80000</v>
      </c>
      <c r="F6" s="58">
        <f>E6-'Assumptions &amp; Analysis'!E17</f>
        <v>60000</v>
      </c>
      <c r="G6" s="58">
        <f>F6-'Assumptions &amp; Analysis'!F17</f>
        <v>40000</v>
      </c>
      <c r="H6" s="58">
        <f>G6-'Assumptions &amp; Analysis'!G17</f>
        <v>20000</v>
      </c>
      <c r="I6" s="141"/>
      <c r="J6" s="141"/>
      <c r="K6" s="141"/>
      <c r="L6" s="141"/>
      <c r="M6" s="141"/>
      <c r="N6" s="141"/>
      <c r="O6" s="141"/>
      <c r="P6" s="141"/>
      <c r="Q6" s="141"/>
      <c r="R6" s="141"/>
      <c r="S6" s="141"/>
      <c r="T6" s="141"/>
      <c r="U6" s="141"/>
    </row>
    <row r="7" spans="1:21" ht="25" customHeight="1" x14ac:dyDescent="0.25">
      <c r="A7" s="81"/>
      <c r="B7" s="70" t="s">
        <v>109</v>
      </c>
      <c r="C7" s="71">
        <f t="shared" ref="C7:H7" si="0">SUM(C5:C6)</f>
        <v>360000</v>
      </c>
      <c r="D7" s="60">
        <f t="shared" si="0"/>
        <v>316000</v>
      </c>
      <c r="E7" s="60">
        <f t="shared" si="0"/>
        <v>272000</v>
      </c>
      <c r="F7" s="60">
        <f t="shared" si="0"/>
        <v>228000</v>
      </c>
      <c r="G7" s="60">
        <f t="shared" si="0"/>
        <v>184000</v>
      </c>
      <c r="H7" s="60">
        <f t="shared" si="0"/>
        <v>140000</v>
      </c>
      <c r="I7" s="141"/>
      <c r="J7" s="141"/>
      <c r="K7" s="141"/>
      <c r="L7" s="141"/>
      <c r="M7" s="141"/>
      <c r="N7" s="141"/>
      <c r="O7" s="141"/>
      <c r="P7" s="141"/>
      <c r="Q7" s="141"/>
      <c r="R7" s="141"/>
      <c r="S7" s="141"/>
      <c r="T7" s="141"/>
      <c r="U7" s="141"/>
    </row>
    <row r="8" spans="1:21" ht="25" customHeight="1" x14ac:dyDescent="0.25">
      <c r="A8" s="81"/>
      <c r="B8" s="68"/>
      <c r="C8" s="69"/>
      <c r="D8" s="58"/>
      <c r="E8" s="58"/>
      <c r="F8" s="58"/>
      <c r="G8" s="58"/>
      <c r="H8" s="58"/>
      <c r="I8" s="141"/>
      <c r="J8" s="141"/>
      <c r="K8" s="141"/>
      <c r="L8" s="141"/>
      <c r="M8" s="141"/>
      <c r="N8" s="141"/>
      <c r="O8" s="141"/>
      <c r="P8" s="141"/>
      <c r="Q8" s="141"/>
      <c r="R8" s="141"/>
      <c r="S8" s="141"/>
      <c r="T8" s="141"/>
      <c r="U8" s="141"/>
    </row>
    <row r="9" spans="1:21" ht="25" customHeight="1" x14ac:dyDescent="0.25">
      <c r="A9" s="81"/>
      <c r="B9" s="68" t="s">
        <v>110</v>
      </c>
      <c r="C9" s="69">
        <f>'Assumptions &amp; Analysis'!B39</f>
        <v>53000</v>
      </c>
      <c r="D9" s="58">
        <f>IF('Cash Flow Forecasts'!D27&lt;0,0,'Cash Flow Forecasts'!D27)</f>
        <v>0</v>
      </c>
      <c r="E9" s="58">
        <f>IF('Cash Flow Forecasts'!E27&lt;0,0,'Cash Flow Forecasts'!E27)</f>
        <v>0</v>
      </c>
      <c r="F9" s="58">
        <f>IF('Cash Flow Forecasts'!F27&lt;0,0,'Cash Flow Forecasts'!F27)</f>
        <v>46400.575000000012</v>
      </c>
      <c r="G9" s="58">
        <f>IF('Cash Flow Forecasts'!G27&lt;0,0,'Cash Flow Forecasts'!G27)</f>
        <v>123413.027</v>
      </c>
      <c r="H9" s="58">
        <f>IF('Cash Flow Forecasts'!H27&lt;0,0,'Cash Flow Forecasts'!H27)</f>
        <v>210268.87332000001</v>
      </c>
      <c r="I9" s="141"/>
      <c r="J9" s="141"/>
      <c r="K9" s="141"/>
      <c r="L9" s="141"/>
      <c r="M9" s="141"/>
      <c r="N9" s="141"/>
      <c r="O9" s="141"/>
      <c r="P9" s="141"/>
      <c r="Q9" s="141"/>
      <c r="R9" s="141"/>
      <c r="S9" s="141"/>
      <c r="T9" s="141"/>
      <c r="U9" s="141"/>
    </row>
    <row r="10" spans="1:21" ht="25" customHeight="1" x14ac:dyDescent="0.25">
      <c r="A10" s="81"/>
      <c r="B10" s="68" t="s">
        <v>111</v>
      </c>
      <c r="C10" s="64">
        <v>0</v>
      </c>
      <c r="D10" s="58">
        <f>('Assumptions &amp; Analysis'!$B$36*'Income Statement Forecasts'!C5)/12*3</f>
        <v>38250</v>
      </c>
      <c r="E10" s="58">
        <f>('Assumptions &amp; Analysis'!$B$36*'Income Statement Forecasts'!D5)/12*3</f>
        <v>40545</v>
      </c>
      <c r="F10" s="58">
        <f>('Assumptions &amp; Analysis'!$B$36*'Income Statement Forecasts'!E5)/12*3</f>
        <v>57303.600000000006</v>
      </c>
      <c r="G10" s="58">
        <f>('Assumptions &amp; Analysis'!$B$36*'Income Statement Forecasts'!F5)/12*3</f>
        <v>60741.816000000006</v>
      </c>
      <c r="H10" s="58">
        <f>('Assumptions &amp; Analysis'!$B$36*'Income Statement Forecasts'!G5)/12*3</f>
        <v>64386.324960000013</v>
      </c>
      <c r="I10" s="141"/>
      <c r="J10" s="141"/>
      <c r="K10" s="141"/>
      <c r="L10" s="141"/>
      <c r="M10" s="141"/>
      <c r="N10" s="141"/>
      <c r="O10" s="141"/>
      <c r="P10" s="141"/>
      <c r="Q10" s="141"/>
      <c r="R10" s="141"/>
      <c r="S10" s="141"/>
      <c r="T10" s="141"/>
      <c r="U10" s="141"/>
    </row>
    <row r="11" spans="1:21" ht="25" customHeight="1" x14ac:dyDescent="0.25">
      <c r="A11" s="81"/>
      <c r="B11" s="68" t="s">
        <v>112</v>
      </c>
      <c r="C11" s="69">
        <f>'Assumptions &amp; Analysis'!B34</f>
        <v>12000</v>
      </c>
      <c r="D11" s="58">
        <f>'Assumptions &amp; Analysis'!$B$34</f>
        <v>12000</v>
      </c>
      <c r="E11" s="58">
        <f>'Assumptions &amp; Analysis'!$B$34</f>
        <v>12000</v>
      </c>
      <c r="F11" s="58">
        <f>'Assumptions &amp; Analysis'!$B$34</f>
        <v>12000</v>
      </c>
      <c r="G11" s="58">
        <f>'Assumptions &amp; Analysis'!$B$34</f>
        <v>12000</v>
      </c>
      <c r="H11" s="58">
        <f>'Assumptions &amp; Analysis'!$B$34</f>
        <v>12000</v>
      </c>
      <c r="I11" s="141"/>
      <c r="J11" s="141"/>
      <c r="K11" s="141"/>
      <c r="L11" s="141"/>
      <c r="M11" s="141"/>
      <c r="N11" s="141"/>
      <c r="O11" s="141"/>
      <c r="P11" s="141"/>
      <c r="Q11" s="141"/>
      <c r="R11" s="141"/>
      <c r="S11" s="141"/>
      <c r="T11" s="141"/>
      <c r="U11" s="141"/>
    </row>
    <row r="12" spans="1:21" ht="25" customHeight="1" x14ac:dyDescent="0.25">
      <c r="A12" s="81"/>
      <c r="B12" s="68" t="s">
        <v>113</v>
      </c>
      <c r="C12" s="64">
        <v>0</v>
      </c>
      <c r="D12" s="58">
        <f>'Assumptions &amp; Analysis'!$B$22</f>
        <v>24000</v>
      </c>
      <c r="E12" s="58">
        <f>'Assumptions &amp; Analysis'!$B$22</f>
        <v>24000</v>
      </c>
      <c r="F12" s="58">
        <f>'Assumptions &amp; Analysis'!$B$22</f>
        <v>24000</v>
      </c>
      <c r="G12" s="58">
        <f>'Assumptions &amp; Analysis'!$B$22</f>
        <v>24000</v>
      </c>
      <c r="H12" s="58">
        <f>'Assumptions &amp; Analysis'!$B$22</f>
        <v>24000</v>
      </c>
      <c r="I12" s="141"/>
      <c r="J12" s="141"/>
      <c r="K12" s="141"/>
      <c r="L12" s="141"/>
      <c r="M12" s="141"/>
      <c r="N12" s="141"/>
      <c r="O12" s="141"/>
      <c r="P12" s="141"/>
      <c r="Q12" s="141"/>
      <c r="R12" s="141"/>
      <c r="S12" s="141"/>
      <c r="T12" s="141"/>
      <c r="U12" s="141"/>
    </row>
    <row r="13" spans="1:21" ht="25" customHeight="1" x14ac:dyDescent="0.25">
      <c r="A13" s="81"/>
      <c r="B13" s="70" t="s">
        <v>114</v>
      </c>
      <c r="C13" s="71">
        <f t="shared" ref="C13:H13" si="1">SUM(C9:C12)</f>
        <v>65000</v>
      </c>
      <c r="D13" s="60">
        <f t="shared" si="1"/>
        <v>74250</v>
      </c>
      <c r="E13" s="60">
        <f t="shared" si="1"/>
        <v>76545</v>
      </c>
      <c r="F13" s="60">
        <f t="shared" si="1"/>
        <v>139704.17500000002</v>
      </c>
      <c r="G13" s="60">
        <f t="shared" si="1"/>
        <v>220154.84299999999</v>
      </c>
      <c r="H13" s="60">
        <f t="shared" si="1"/>
        <v>310655.19828000001</v>
      </c>
      <c r="I13" s="141"/>
      <c r="J13" s="141"/>
      <c r="K13" s="141"/>
      <c r="L13" s="141"/>
      <c r="M13" s="141"/>
      <c r="N13" s="141"/>
      <c r="O13" s="141"/>
      <c r="P13" s="141"/>
      <c r="Q13" s="141"/>
      <c r="R13" s="141"/>
      <c r="S13" s="141"/>
      <c r="T13" s="141"/>
      <c r="U13" s="141"/>
    </row>
    <row r="14" spans="1:21" ht="25" customHeight="1" x14ac:dyDescent="0.25">
      <c r="A14" s="81"/>
      <c r="B14" s="72" t="s">
        <v>115</v>
      </c>
      <c r="C14" s="73">
        <f t="shared" ref="C14:H14" si="2">C7+C13</f>
        <v>425000</v>
      </c>
      <c r="D14" s="54">
        <f t="shared" si="2"/>
        <v>390250</v>
      </c>
      <c r="E14" s="54">
        <f t="shared" si="2"/>
        <v>348545</v>
      </c>
      <c r="F14" s="54">
        <f t="shared" si="2"/>
        <v>367704.17500000005</v>
      </c>
      <c r="G14" s="54">
        <f t="shared" si="2"/>
        <v>404154.84299999999</v>
      </c>
      <c r="H14" s="54">
        <f t="shared" si="2"/>
        <v>450655.19828000001</v>
      </c>
      <c r="I14" s="141"/>
      <c r="J14" s="141"/>
      <c r="K14" s="141"/>
      <c r="L14" s="141"/>
      <c r="M14" s="141"/>
      <c r="N14" s="141"/>
      <c r="O14" s="141"/>
      <c r="P14" s="141"/>
      <c r="Q14" s="141"/>
      <c r="R14" s="141"/>
      <c r="S14" s="141"/>
      <c r="T14" s="141"/>
      <c r="U14" s="141"/>
    </row>
    <row r="15" spans="1:21" ht="25" customHeight="1" x14ac:dyDescent="0.25">
      <c r="A15" s="81"/>
      <c r="B15" s="146"/>
      <c r="C15" s="104"/>
      <c r="D15" s="104"/>
      <c r="E15" s="104"/>
      <c r="F15" s="104"/>
      <c r="G15" s="104"/>
      <c r="H15" s="104"/>
      <c r="I15" s="141"/>
      <c r="J15" s="141"/>
      <c r="K15" s="141"/>
      <c r="L15" s="141"/>
      <c r="M15" s="141"/>
      <c r="N15" s="141"/>
      <c r="O15" s="141"/>
      <c r="P15" s="141"/>
      <c r="Q15" s="141"/>
      <c r="R15" s="141"/>
      <c r="S15" s="141"/>
      <c r="T15" s="141"/>
      <c r="U15" s="141"/>
    </row>
    <row r="16" spans="1:21" ht="25" customHeight="1" x14ac:dyDescent="0.25">
      <c r="A16" s="81"/>
      <c r="B16" s="74" t="s">
        <v>116</v>
      </c>
      <c r="C16" s="142"/>
      <c r="D16" s="104"/>
      <c r="E16" s="104"/>
      <c r="F16" s="104"/>
      <c r="G16" s="104"/>
      <c r="H16" s="104"/>
      <c r="I16" s="141"/>
      <c r="J16" s="141"/>
      <c r="K16" s="141"/>
      <c r="L16" s="141"/>
      <c r="M16" s="141"/>
      <c r="N16" s="141"/>
      <c r="O16" s="141"/>
      <c r="P16" s="141"/>
      <c r="Q16" s="141"/>
      <c r="R16" s="141"/>
      <c r="S16" s="141"/>
      <c r="T16" s="141"/>
      <c r="U16" s="141"/>
    </row>
    <row r="17" spans="1:21" ht="25" customHeight="1" x14ac:dyDescent="0.25">
      <c r="A17" s="81"/>
      <c r="B17" s="68" t="s">
        <v>117</v>
      </c>
      <c r="C17" s="64">
        <v>0</v>
      </c>
      <c r="D17" s="58">
        <f>IF('Cash Flow Forecasts'!D27&lt;0,-'Cash Flow Forecasts'!D27,0)</f>
        <v>7750</v>
      </c>
      <c r="E17" s="58">
        <f>IF('Cash Flow Forecasts'!E27&lt;0,-'Cash Flow Forecasts'!E27,0)</f>
        <v>10302.5</v>
      </c>
      <c r="F17" s="58">
        <f>IF('Cash Flow Forecasts'!F27&lt;0,-'Cash Flow Forecasts'!F27,0)</f>
        <v>0</v>
      </c>
      <c r="G17" s="58">
        <f>IF('Cash Flow Forecasts'!G27&lt;0,-'Cash Flow Forecasts'!G27,0)</f>
        <v>0</v>
      </c>
      <c r="H17" s="58">
        <f>IF('Cash Flow Forecasts'!H27&lt;0,-'Cash Flow Forecasts'!H27,0)</f>
        <v>0</v>
      </c>
      <c r="I17" s="141"/>
      <c r="J17" s="141"/>
      <c r="K17" s="141"/>
      <c r="L17" s="141"/>
      <c r="M17" s="141"/>
      <c r="N17" s="141"/>
      <c r="O17" s="141"/>
      <c r="P17" s="141"/>
      <c r="Q17" s="141"/>
      <c r="R17" s="141"/>
      <c r="S17" s="141"/>
      <c r="T17" s="141"/>
      <c r="U17" s="141"/>
    </row>
    <row r="18" spans="1:21" ht="25" customHeight="1" x14ac:dyDescent="0.25">
      <c r="A18" s="81"/>
      <c r="B18" s="68" t="s">
        <v>118</v>
      </c>
      <c r="C18" s="64">
        <v>0</v>
      </c>
      <c r="D18" s="58">
        <f>'Income Statement Forecasts'!C7/12</f>
        <v>2500</v>
      </c>
      <c r="E18" s="58">
        <f>'Income Statement Forecasts'!D7/12</f>
        <v>2650</v>
      </c>
      <c r="F18" s="58">
        <f>'Income Statement Forecasts'!E7/12</f>
        <v>2809</v>
      </c>
      <c r="G18" s="58">
        <f>'Income Statement Forecasts'!F7/12</f>
        <v>2977.5400000000004</v>
      </c>
      <c r="H18" s="58">
        <f>'Income Statement Forecasts'!G7/12</f>
        <v>3156.1924000000004</v>
      </c>
      <c r="I18" s="141"/>
      <c r="J18" s="141"/>
      <c r="K18" s="141"/>
      <c r="L18" s="141"/>
      <c r="M18" s="141"/>
      <c r="N18" s="141"/>
      <c r="O18" s="141"/>
      <c r="P18" s="141"/>
      <c r="Q18" s="141"/>
      <c r="R18" s="141"/>
      <c r="S18" s="141"/>
      <c r="T18" s="141"/>
      <c r="U18" s="141"/>
    </row>
    <row r="19" spans="1:21" ht="25" customHeight="1" x14ac:dyDescent="0.25">
      <c r="A19" s="81"/>
      <c r="B19" s="68" t="s">
        <v>119</v>
      </c>
      <c r="C19" s="64">
        <v>0</v>
      </c>
      <c r="D19" s="58">
        <f>'Assumptions &amp; Analysis'!$B$20/'Assumptions &amp; Analysis'!$B$21</f>
        <v>5000</v>
      </c>
      <c r="E19" s="58">
        <f>'Assumptions &amp; Analysis'!$B$20/'Assumptions &amp; Analysis'!$B$21</f>
        <v>5000</v>
      </c>
      <c r="F19" s="58">
        <f>'Assumptions &amp; Analysis'!$B$20/'Assumptions &amp; Analysis'!$B$21</f>
        <v>5000</v>
      </c>
      <c r="G19" s="58">
        <f>'Assumptions &amp; Analysis'!$B$20/'Assumptions &amp; Analysis'!$B$21</f>
        <v>5000</v>
      </c>
      <c r="H19" s="58">
        <f>'Assumptions &amp; Analysis'!$B$20/'Assumptions &amp; Analysis'!$B$21</f>
        <v>5000</v>
      </c>
      <c r="I19" s="141"/>
      <c r="J19" s="141"/>
      <c r="K19" s="141"/>
      <c r="L19" s="141"/>
      <c r="M19" s="141"/>
      <c r="N19" s="141"/>
      <c r="O19" s="141"/>
      <c r="P19" s="141"/>
      <c r="Q19" s="141"/>
      <c r="R19" s="141"/>
      <c r="S19" s="141"/>
      <c r="T19" s="141"/>
      <c r="U19" s="141"/>
    </row>
    <row r="20" spans="1:21" ht="25" customHeight="1" x14ac:dyDescent="0.25">
      <c r="A20" s="81"/>
      <c r="B20" s="68" t="s">
        <v>120</v>
      </c>
      <c r="C20" s="64">
        <v>0</v>
      </c>
      <c r="D20" s="58">
        <f>'Assumptions &amp; Analysis'!$B$30*D17</f>
        <v>387.5</v>
      </c>
      <c r="E20" s="58">
        <f>'Assumptions &amp; Analysis'!$B$30*E17</f>
        <v>515.125</v>
      </c>
      <c r="F20" s="58">
        <f>'Assumptions &amp; Analysis'!$B$30*F17</f>
        <v>0</v>
      </c>
      <c r="G20" s="58">
        <f>'Assumptions &amp; Analysis'!$B$30*G17</f>
        <v>0</v>
      </c>
      <c r="H20" s="58">
        <f>'Assumptions &amp; Analysis'!$B$30*H17</f>
        <v>0</v>
      </c>
      <c r="I20" s="141"/>
      <c r="J20" s="141"/>
      <c r="K20" s="141"/>
      <c r="L20" s="141"/>
      <c r="M20" s="141"/>
      <c r="N20" s="141"/>
      <c r="O20" s="141"/>
      <c r="P20" s="141"/>
      <c r="Q20" s="141"/>
      <c r="R20" s="141"/>
      <c r="S20" s="141"/>
      <c r="T20" s="141"/>
      <c r="U20" s="141"/>
    </row>
    <row r="21" spans="1:21" ht="25" customHeight="1" x14ac:dyDescent="0.25">
      <c r="A21" s="81"/>
      <c r="B21" s="68" t="s">
        <v>121</v>
      </c>
      <c r="C21" s="64">
        <v>0</v>
      </c>
      <c r="D21" s="58">
        <f>'Income Statement Forecasts'!C26</f>
        <v>0</v>
      </c>
      <c r="E21" s="58">
        <f>'Income Statement Forecasts'!D26</f>
        <v>0</v>
      </c>
      <c r="F21" s="58">
        <f>'Income Statement Forecasts'!E26</f>
        <v>4472.6699999999983</v>
      </c>
      <c r="G21" s="58">
        <f>'Income Statement Forecasts'!F26</f>
        <v>6113.2197000000015</v>
      </c>
      <c r="H21" s="58">
        <f>'Income Statement Forecasts'!G26</f>
        <v>7865.2383870000103</v>
      </c>
      <c r="I21" s="141"/>
      <c r="J21" s="141"/>
      <c r="K21" s="141"/>
      <c r="L21" s="141"/>
      <c r="M21" s="141"/>
      <c r="N21" s="141"/>
      <c r="O21" s="141"/>
      <c r="P21" s="141"/>
      <c r="Q21" s="141"/>
      <c r="R21" s="141"/>
      <c r="S21" s="141"/>
      <c r="T21" s="141"/>
      <c r="U21" s="141"/>
    </row>
    <row r="22" spans="1:21" ht="25" customHeight="1" x14ac:dyDescent="0.25">
      <c r="A22" s="81"/>
      <c r="B22" s="70" t="s">
        <v>122</v>
      </c>
      <c r="C22" s="75"/>
      <c r="D22" s="60">
        <f t="shared" ref="D22:H22" si="3">SUM(D17:D21)</f>
        <v>15637.5</v>
      </c>
      <c r="E22" s="60">
        <f t="shared" si="3"/>
        <v>18467.625</v>
      </c>
      <c r="F22" s="60">
        <f t="shared" si="3"/>
        <v>12281.669999999998</v>
      </c>
      <c r="G22" s="60">
        <f t="shared" si="3"/>
        <v>14090.759700000002</v>
      </c>
      <c r="H22" s="60">
        <f t="shared" si="3"/>
        <v>16021.43078700001</v>
      </c>
      <c r="I22" s="141"/>
      <c r="J22" s="141"/>
      <c r="K22" s="141"/>
      <c r="L22" s="141"/>
      <c r="M22" s="141"/>
      <c r="N22" s="141"/>
      <c r="O22" s="141"/>
      <c r="P22" s="141"/>
      <c r="Q22" s="141"/>
      <c r="R22" s="141"/>
      <c r="S22" s="141"/>
      <c r="T22" s="141"/>
      <c r="U22" s="141"/>
    </row>
    <row r="23" spans="1:21" ht="25" customHeight="1" x14ac:dyDescent="0.25">
      <c r="A23" s="81"/>
      <c r="B23" s="76"/>
      <c r="C23" s="69"/>
      <c r="D23" s="58"/>
      <c r="E23" s="58"/>
      <c r="F23" s="58"/>
      <c r="G23" s="58"/>
      <c r="H23" s="58"/>
      <c r="I23" s="141"/>
      <c r="J23" s="141"/>
      <c r="K23" s="141"/>
      <c r="L23" s="141"/>
      <c r="M23" s="141"/>
      <c r="N23" s="141"/>
      <c r="O23" s="141"/>
      <c r="P23" s="141"/>
      <c r="Q23" s="141"/>
      <c r="R23" s="141"/>
      <c r="S23" s="141"/>
      <c r="T23" s="141"/>
      <c r="U23" s="141"/>
    </row>
    <row r="24" spans="1:21" ht="25" customHeight="1" x14ac:dyDescent="0.25">
      <c r="A24" s="81"/>
      <c r="B24" s="74" t="s">
        <v>123</v>
      </c>
      <c r="C24" s="142"/>
      <c r="D24" s="104"/>
      <c r="E24" s="104"/>
      <c r="F24" s="104"/>
      <c r="G24" s="104"/>
      <c r="H24" s="104"/>
      <c r="I24" s="141"/>
      <c r="J24" s="141"/>
      <c r="K24" s="141"/>
      <c r="L24" s="141"/>
      <c r="M24" s="141"/>
      <c r="N24" s="141"/>
      <c r="O24" s="141"/>
      <c r="P24" s="141"/>
      <c r="Q24" s="141"/>
      <c r="R24" s="141"/>
      <c r="S24" s="141"/>
      <c r="T24" s="141"/>
      <c r="U24" s="141"/>
    </row>
    <row r="25" spans="1:21" ht="25" customHeight="1" x14ac:dyDescent="0.25">
      <c r="A25" s="81"/>
      <c r="B25" s="68" t="s">
        <v>124</v>
      </c>
      <c r="C25" s="69">
        <f>'Assumptions &amp; Analysis'!$B$25</f>
        <v>425000</v>
      </c>
      <c r="D25" s="58">
        <f>'Assumptions &amp; Analysis'!$B$25</f>
        <v>425000</v>
      </c>
      <c r="E25" s="58">
        <f>'Assumptions &amp; Analysis'!$B$25</f>
        <v>425000</v>
      </c>
      <c r="F25" s="58">
        <f>'Assumptions &amp; Analysis'!$B$25</f>
        <v>425000</v>
      </c>
      <c r="G25" s="58">
        <f>'Assumptions &amp; Analysis'!$B$25</f>
        <v>425000</v>
      </c>
      <c r="H25" s="58">
        <f>'Assumptions &amp; Analysis'!$B$25</f>
        <v>425000</v>
      </c>
      <c r="I25" s="141"/>
      <c r="J25" s="141"/>
      <c r="K25" s="141"/>
      <c r="L25" s="141"/>
      <c r="M25" s="141"/>
      <c r="N25" s="141"/>
      <c r="O25" s="141"/>
      <c r="P25" s="141"/>
      <c r="Q25" s="141"/>
      <c r="R25" s="141"/>
      <c r="S25" s="141"/>
      <c r="T25" s="141"/>
      <c r="U25" s="141"/>
    </row>
    <row r="26" spans="1:21" ht="25" customHeight="1" x14ac:dyDescent="0.25">
      <c r="A26" s="81"/>
      <c r="B26" s="68" t="s">
        <v>125</v>
      </c>
      <c r="C26" s="64">
        <v>0</v>
      </c>
      <c r="D26" s="58">
        <f>'Income Statement Forecasts'!C27</f>
        <v>-50387.5</v>
      </c>
      <c r="E26" s="58">
        <f>'Income Statement Forecasts'!D27+D26</f>
        <v>-94922.625</v>
      </c>
      <c r="F26" s="58">
        <f>'Income Statement Forecasts'!E27+E26</f>
        <v>-69577.49500000001</v>
      </c>
      <c r="G26" s="58">
        <f>'Income Statement Forecasts'!F27+F26</f>
        <v>-34935.916700000002</v>
      </c>
      <c r="H26" s="58">
        <f>'Income Statement Forecasts'!G27+G26</f>
        <v>9633.7674930000576</v>
      </c>
      <c r="I26" s="141"/>
      <c r="J26" s="141"/>
      <c r="K26" s="141"/>
      <c r="L26" s="141"/>
      <c r="M26" s="141"/>
      <c r="N26" s="141"/>
      <c r="O26" s="141"/>
      <c r="P26" s="141"/>
      <c r="Q26" s="141"/>
      <c r="R26" s="141"/>
      <c r="S26" s="141"/>
      <c r="T26" s="141"/>
      <c r="U26" s="141"/>
    </row>
    <row r="27" spans="1:21" ht="25" customHeight="1" x14ac:dyDescent="0.25">
      <c r="A27" s="81"/>
      <c r="B27" s="70" t="s">
        <v>126</v>
      </c>
      <c r="C27" s="71">
        <f t="shared" ref="C27:H27" si="4">C25+C26</f>
        <v>425000</v>
      </c>
      <c r="D27" s="60">
        <f t="shared" si="4"/>
        <v>374612.5</v>
      </c>
      <c r="E27" s="60">
        <f t="shared" si="4"/>
        <v>330077.375</v>
      </c>
      <c r="F27" s="60">
        <f t="shared" si="4"/>
        <v>355422.505</v>
      </c>
      <c r="G27" s="60">
        <f t="shared" si="4"/>
        <v>390064.0833</v>
      </c>
      <c r="H27" s="60">
        <f t="shared" si="4"/>
        <v>434633.76749300008</v>
      </c>
      <c r="I27" s="141"/>
      <c r="J27" s="141"/>
      <c r="K27" s="141"/>
      <c r="L27" s="141"/>
      <c r="M27" s="141"/>
      <c r="N27" s="141"/>
      <c r="O27" s="141"/>
      <c r="P27" s="141"/>
      <c r="Q27" s="141"/>
      <c r="R27" s="141"/>
      <c r="S27" s="141"/>
      <c r="T27" s="141"/>
      <c r="U27" s="141"/>
    </row>
    <row r="28" spans="1:21" ht="40" x14ac:dyDescent="0.25">
      <c r="A28" s="81"/>
      <c r="B28" s="72" t="s">
        <v>127</v>
      </c>
      <c r="C28" s="73">
        <f>C27+C22</f>
        <v>425000</v>
      </c>
      <c r="D28" s="54">
        <f t="shared" ref="D28:H28" si="5">D22+D27</f>
        <v>390250</v>
      </c>
      <c r="E28" s="54">
        <f t="shared" si="5"/>
        <v>348545</v>
      </c>
      <c r="F28" s="54">
        <f t="shared" si="5"/>
        <v>367704.17499999999</v>
      </c>
      <c r="G28" s="54">
        <f t="shared" si="5"/>
        <v>404154.84299999999</v>
      </c>
      <c r="H28" s="54">
        <f t="shared" si="5"/>
        <v>450655.19828000007</v>
      </c>
      <c r="I28" s="141"/>
      <c r="J28" s="141"/>
      <c r="K28" s="141"/>
      <c r="L28" s="141"/>
      <c r="M28" s="141"/>
      <c r="N28" s="141"/>
      <c r="O28" s="141"/>
      <c r="P28" s="141"/>
      <c r="Q28" s="141"/>
      <c r="R28" s="141"/>
      <c r="S28" s="141"/>
      <c r="T28" s="141"/>
      <c r="U28" s="141"/>
    </row>
    <row r="29" spans="1:21" x14ac:dyDescent="0.25">
      <c r="A29" s="81"/>
      <c r="B29" s="65"/>
      <c r="C29" s="66"/>
      <c r="D29" s="66"/>
      <c r="E29" s="66"/>
      <c r="F29" s="66"/>
      <c r="G29" s="66"/>
      <c r="H29" s="66"/>
      <c r="I29" s="141"/>
      <c r="J29" s="141"/>
      <c r="K29" s="141"/>
      <c r="L29" s="141"/>
      <c r="M29" s="141"/>
      <c r="N29" s="141"/>
      <c r="O29" s="141"/>
      <c r="P29" s="141"/>
      <c r="Q29" s="141"/>
      <c r="R29" s="141"/>
      <c r="S29" s="141"/>
      <c r="T29" s="141"/>
      <c r="U29" s="141"/>
    </row>
    <row r="30" spans="1:21" ht="40" x14ac:dyDescent="0.25">
      <c r="A30" s="81"/>
      <c r="B30" s="77" t="s">
        <v>128</v>
      </c>
      <c r="C30" s="78">
        <f t="shared" ref="C30:H30" si="6">C14-C28</f>
        <v>0</v>
      </c>
      <c r="D30" s="78">
        <f t="shared" si="6"/>
        <v>0</v>
      </c>
      <c r="E30" s="78">
        <f t="shared" si="6"/>
        <v>0</v>
      </c>
      <c r="F30" s="78">
        <f t="shared" si="6"/>
        <v>0</v>
      </c>
      <c r="G30" s="78">
        <f t="shared" si="6"/>
        <v>0</v>
      </c>
      <c r="H30" s="78">
        <f t="shared" si="6"/>
        <v>0</v>
      </c>
      <c r="I30" s="141"/>
      <c r="J30" s="141"/>
      <c r="K30" s="141"/>
      <c r="L30" s="141"/>
      <c r="M30" s="141"/>
      <c r="N30" s="141"/>
      <c r="O30" s="141"/>
      <c r="P30" s="141"/>
      <c r="Q30" s="141"/>
      <c r="R30" s="141"/>
      <c r="S30" s="141"/>
      <c r="T30" s="141"/>
      <c r="U30" s="141"/>
    </row>
    <row r="31" spans="1:21" ht="31" customHeight="1" x14ac:dyDescent="0.25">
      <c r="A31" s="81"/>
      <c r="B31" s="143"/>
      <c r="C31" s="141"/>
      <c r="D31" s="141"/>
      <c r="E31" s="141"/>
      <c r="F31" s="141"/>
      <c r="G31" s="141"/>
      <c r="H31" s="141"/>
      <c r="I31" s="141"/>
      <c r="J31" s="141"/>
      <c r="K31" s="141"/>
      <c r="L31" s="141"/>
      <c r="M31" s="141"/>
      <c r="N31" s="141"/>
      <c r="O31" s="141"/>
      <c r="P31" s="141"/>
      <c r="Q31" s="141"/>
      <c r="R31" s="141"/>
      <c r="S31" s="141"/>
      <c r="T31" s="141"/>
      <c r="U31" s="141"/>
    </row>
  </sheetData>
  <sheetProtection sheet="1" objects="1" scenarios="1"/>
  <mergeCells count="8">
    <mergeCell ref="I1:U31"/>
    <mergeCell ref="C24:H24"/>
    <mergeCell ref="B31:H31"/>
    <mergeCell ref="B1:H1"/>
    <mergeCell ref="B2:H2"/>
    <mergeCell ref="B3:H3"/>
    <mergeCell ref="B15:H15"/>
    <mergeCell ref="C16:H16"/>
  </mergeCells>
  <conditionalFormatting sqref="A1:U28">
    <cfRule type="cellIs" dxfId="1" priority="1" operator="lessThan">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outlinePr summaryBelow="0" summaryRight="0"/>
  </sheetPr>
  <dimension ref="A1:F29"/>
  <sheetViews>
    <sheetView workbookViewId="0">
      <selection activeCell="B2" sqref="B2:E2"/>
    </sheetView>
  </sheetViews>
  <sheetFormatPr baseColWidth="10" defaultColWidth="12.6640625" defaultRowHeight="15.75" customHeight="1" x14ac:dyDescent="0.15"/>
  <cols>
    <col min="1" max="1" width="6" style="84" customWidth="1"/>
    <col min="2" max="2" width="31.1640625" style="84" customWidth="1"/>
    <col min="3" max="3" width="24.6640625" style="84" customWidth="1"/>
    <col min="4" max="5" width="18.5" style="84" customWidth="1"/>
    <col min="6" max="6" width="7.1640625" style="84" customWidth="1"/>
    <col min="7" max="16384" width="12.6640625" style="84"/>
  </cols>
  <sheetData>
    <row r="1" spans="1:6" ht="24" customHeight="1" x14ac:dyDescent="0.15">
      <c r="A1" s="49"/>
      <c r="B1" s="140"/>
      <c r="C1" s="147"/>
      <c r="D1" s="147"/>
      <c r="E1" s="147"/>
      <c r="F1" s="49"/>
    </row>
    <row r="2" spans="1:6" ht="31" customHeight="1" x14ac:dyDescent="0.15">
      <c r="A2" s="85"/>
      <c r="B2" s="144" t="s">
        <v>129</v>
      </c>
      <c r="C2" s="148"/>
      <c r="D2" s="148"/>
      <c r="E2" s="148"/>
      <c r="F2" s="85"/>
    </row>
    <row r="3" spans="1:6" ht="19" x14ac:dyDescent="0.15">
      <c r="A3" s="85"/>
      <c r="B3" s="149"/>
      <c r="C3" s="147"/>
      <c r="D3" s="147"/>
      <c r="E3" s="147"/>
      <c r="F3" s="85"/>
    </row>
    <row r="4" spans="1:6" ht="22" customHeight="1" x14ac:dyDescent="0.15">
      <c r="A4" s="85"/>
      <c r="B4" s="150" t="s">
        <v>130</v>
      </c>
      <c r="C4" s="151"/>
      <c r="D4" s="151"/>
      <c r="E4" s="151"/>
      <c r="F4" s="85"/>
    </row>
    <row r="5" spans="1:6" ht="22" customHeight="1" x14ac:dyDescent="0.15">
      <c r="A5" s="85"/>
      <c r="B5" s="86"/>
      <c r="C5" s="86" t="s">
        <v>80</v>
      </c>
      <c r="D5" s="58">
        <f>'Income Statement Forecasts'!H21</f>
        <v>28987.520580000128</v>
      </c>
      <c r="E5" s="58"/>
      <c r="F5" s="85"/>
    </row>
    <row r="6" spans="1:6" ht="22" customHeight="1" x14ac:dyDescent="0.15">
      <c r="A6" s="85"/>
      <c r="B6" s="87" t="s">
        <v>131</v>
      </c>
      <c r="C6" s="86" t="s">
        <v>73</v>
      </c>
      <c r="D6" s="58">
        <f>'Income Statement Forecasts'!H19+'Income Statement Forecasts'!H10</f>
        <v>220000</v>
      </c>
      <c r="E6" s="58"/>
      <c r="F6" s="85"/>
    </row>
    <row r="7" spans="1:6" ht="22" customHeight="1" x14ac:dyDescent="0.15">
      <c r="A7" s="85"/>
      <c r="B7" s="152" t="s">
        <v>132</v>
      </c>
      <c r="C7" s="151"/>
      <c r="D7" s="151"/>
      <c r="E7" s="60">
        <f>SUM(D5:D6)</f>
        <v>248987.52058000013</v>
      </c>
      <c r="F7" s="85"/>
    </row>
    <row r="8" spans="1:6" ht="22" customHeight="1" x14ac:dyDescent="0.15">
      <c r="A8" s="85"/>
      <c r="B8" s="88" t="s">
        <v>133</v>
      </c>
      <c r="C8" s="86"/>
      <c r="D8" s="58"/>
      <c r="E8" s="58"/>
      <c r="F8" s="85"/>
    </row>
    <row r="9" spans="1:6" ht="22" customHeight="1" x14ac:dyDescent="0.15">
      <c r="A9" s="85"/>
      <c r="B9" s="86"/>
      <c r="C9" s="86" t="s">
        <v>134</v>
      </c>
      <c r="D9" s="58">
        <f>-('Projected Balance Sheet'!H10-'Projected Balance Sheet'!C10)</f>
        <v>-64386.324960000013</v>
      </c>
      <c r="E9" s="58"/>
      <c r="F9" s="85"/>
    </row>
    <row r="10" spans="1:6" ht="22" customHeight="1" x14ac:dyDescent="0.15">
      <c r="A10" s="85"/>
      <c r="B10" s="86"/>
      <c r="C10" s="86" t="s">
        <v>112</v>
      </c>
      <c r="D10" s="58">
        <f>'Projected Balance Sheet'!H11-'Projected Balance Sheet'!C11</f>
        <v>0</v>
      </c>
      <c r="E10" s="58"/>
      <c r="F10" s="85"/>
    </row>
    <row r="11" spans="1:6" ht="22" customHeight="1" x14ac:dyDescent="0.15">
      <c r="A11" s="85"/>
      <c r="B11" s="86"/>
      <c r="C11" s="86" t="s">
        <v>135</v>
      </c>
      <c r="D11" s="58">
        <f>'Projected Balance Sheet'!H18-'Projected Balance Sheet'!C18</f>
        <v>3156.1924000000004</v>
      </c>
      <c r="E11" s="58"/>
      <c r="F11" s="85"/>
    </row>
    <row r="12" spans="1:6" ht="22" customHeight="1" x14ac:dyDescent="0.15">
      <c r="A12" s="85"/>
      <c r="B12" s="86"/>
      <c r="C12" s="86" t="s">
        <v>136</v>
      </c>
      <c r="D12" s="58">
        <f>-('Projected Balance Sheet'!H12-'Projected Balance Sheet'!C12)</f>
        <v>-24000</v>
      </c>
      <c r="E12" s="58"/>
      <c r="F12" s="85"/>
    </row>
    <row r="13" spans="1:6" ht="22" customHeight="1" x14ac:dyDescent="0.15">
      <c r="A13" s="85"/>
      <c r="B13" s="86"/>
      <c r="C13" s="86" t="s">
        <v>119</v>
      </c>
      <c r="D13" s="58">
        <f>'Projected Balance Sheet'!H19-'Projected Balance Sheet'!C19</f>
        <v>5000</v>
      </c>
      <c r="E13" s="58"/>
      <c r="F13" s="85"/>
    </row>
    <row r="14" spans="1:6" ht="22" customHeight="1" x14ac:dyDescent="0.15">
      <c r="A14" s="85"/>
      <c r="B14" s="152" t="s">
        <v>137</v>
      </c>
      <c r="C14" s="151"/>
      <c r="D14" s="151"/>
      <c r="E14" s="60">
        <f>SUM(D9:D13)</f>
        <v>-80230.132560000013</v>
      </c>
      <c r="F14" s="85"/>
    </row>
    <row r="15" spans="1:6" ht="22" customHeight="1" x14ac:dyDescent="0.15">
      <c r="A15" s="85"/>
      <c r="B15" s="89"/>
      <c r="C15" s="86" t="s">
        <v>138</v>
      </c>
      <c r="D15" s="90">
        <f>-('Income Statement Forecasts'!H26-'Income Statement Forecasts'!G26)</f>
        <v>-10585.889700000002</v>
      </c>
      <c r="E15" s="90"/>
      <c r="F15" s="85"/>
    </row>
    <row r="16" spans="1:6" ht="22" customHeight="1" x14ac:dyDescent="0.15">
      <c r="A16" s="85"/>
      <c r="B16" s="155" t="s">
        <v>139</v>
      </c>
      <c r="C16" s="151"/>
      <c r="D16" s="151"/>
      <c r="E16" s="54">
        <f>E7+E14+D15</f>
        <v>158171.49832000013</v>
      </c>
      <c r="F16" s="85"/>
    </row>
    <row r="17" spans="1:6" ht="22" customHeight="1" x14ac:dyDescent="0.15">
      <c r="A17" s="85"/>
      <c r="B17" s="154"/>
      <c r="C17" s="151"/>
      <c r="D17" s="151"/>
      <c r="E17" s="151"/>
      <c r="F17" s="85"/>
    </row>
    <row r="18" spans="1:6" ht="22" customHeight="1" x14ac:dyDescent="0.15">
      <c r="A18" s="85"/>
      <c r="B18" s="157" t="s">
        <v>140</v>
      </c>
      <c r="C18" s="158"/>
      <c r="D18" s="158"/>
      <c r="E18" s="159"/>
      <c r="F18" s="85"/>
    </row>
    <row r="19" spans="1:6" ht="22" customHeight="1" x14ac:dyDescent="0.15">
      <c r="A19" s="85"/>
      <c r="B19" s="86"/>
      <c r="C19" s="86" t="s">
        <v>101</v>
      </c>
      <c r="D19" s="58">
        <f>'Assumptions &amp; Analysis'!G26</f>
        <v>0</v>
      </c>
      <c r="E19" s="58"/>
      <c r="F19" s="85"/>
    </row>
    <row r="20" spans="1:6" ht="22" customHeight="1" x14ac:dyDescent="0.15">
      <c r="A20" s="85"/>
      <c r="B20" s="86"/>
      <c r="C20" s="86" t="s">
        <v>102</v>
      </c>
      <c r="D20" s="58">
        <f>'Assumptions &amp; Analysis'!G27</f>
        <v>0</v>
      </c>
      <c r="E20" s="58"/>
      <c r="F20" s="85"/>
    </row>
    <row r="21" spans="1:6" ht="22" customHeight="1" x14ac:dyDescent="0.15">
      <c r="A21" s="85"/>
      <c r="B21" s="155" t="s">
        <v>141</v>
      </c>
      <c r="C21" s="151"/>
      <c r="D21" s="151"/>
      <c r="E21" s="54">
        <f>SUM(E19:E20)</f>
        <v>0</v>
      </c>
      <c r="F21" s="85"/>
    </row>
    <row r="22" spans="1:6" ht="22" customHeight="1" x14ac:dyDescent="0.15">
      <c r="A22" s="85"/>
      <c r="B22" s="154"/>
      <c r="C22" s="151"/>
      <c r="D22" s="151"/>
      <c r="E22" s="151"/>
      <c r="F22" s="85"/>
    </row>
    <row r="23" spans="1:6" ht="22" customHeight="1" x14ac:dyDescent="0.15">
      <c r="A23" s="85"/>
      <c r="B23" s="150" t="s">
        <v>142</v>
      </c>
      <c r="C23" s="151"/>
      <c r="D23" s="151"/>
      <c r="E23" s="151"/>
      <c r="F23" s="85"/>
    </row>
    <row r="24" spans="1:6" ht="22" customHeight="1" x14ac:dyDescent="0.15">
      <c r="A24" s="85"/>
      <c r="B24" s="86"/>
      <c r="C24" s="86" t="s">
        <v>143</v>
      </c>
      <c r="D24" s="58">
        <f>'Projected Balance Sheet'!H17</f>
        <v>0</v>
      </c>
      <c r="E24" s="33"/>
      <c r="F24" s="85"/>
    </row>
    <row r="25" spans="1:6" ht="22" customHeight="1" x14ac:dyDescent="0.15">
      <c r="A25" s="85"/>
      <c r="B25" s="86"/>
      <c r="C25" s="86" t="s">
        <v>99</v>
      </c>
      <c r="D25" s="58">
        <f>-('Income Statement Forecasts'!H23-'Projected Balance Sheet'!G20)</f>
        <v>-902.625</v>
      </c>
      <c r="E25" s="33"/>
      <c r="F25" s="85"/>
    </row>
    <row r="26" spans="1:6" ht="22" customHeight="1" x14ac:dyDescent="0.15">
      <c r="A26" s="85"/>
      <c r="B26" s="155" t="s">
        <v>144</v>
      </c>
      <c r="C26" s="151"/>
      <c r="D26" s="151"/>
      <c r="E26" s="54">
        <f>SUM(D24:D25)</f>
        <v>-902.625</v>
      </c>
      <c r="F26" s="85"/>
    </row>
    <row r="27" spans="1:6" ht="22" customHeight="1" x14ac:dyDescent="0.15">
      <c r="A27" s="85"/>
      <c r="B27" s="154"/>
      <c r="C27" s="151"/>
      <c r="D27" s="151"/>
      <c r="E27" s="151"/>
      <c r="F27" s="85"/>
    </row>
    <row r="28" spans="1:6" ht="22" customHeight="1" x14ac:dyDescent="0.15">
      <c r="A28" s="85"/>
      <c r="B28" s="156" t="s">
        <v>145</v>
      </c>
      <c r="C28" s="151"/>
      <c r="D28" s="151"/>
      <c r="E28" s="51">
        <f>E16+E21+E26</f>
        <v>157268.87332000013</v>
      </c>
      <c r="F28" s="85"/>
    </row>
    <row r="29" spans="1:6" ht="27" customHeight="1" x14ac:dyDescent="0.15">
      <c r="A29" s="85"/>
      <c r="B29" s="153"/>
      <c r="C29" s="147"/>
      <c r="D29" s="147"/>
      <c r="E29" s="147"/>
      <c r="F29" s="85"/>
    </row>
  </sheetData>
  <sheetProtection sheet="1" objects="1" scenarios="1"/>
  <mergeCells count="16">
    <mergeCell ref="B14:D14"/>
    <mergeCell ref="B16:D16"/>
    <mergeCell ref="B17:E17"/>
    <mergeCell ref="B18:E18"/>
    <mergeCell ref="B21:D21"/>
    <mergeCell ref="B29:E29"/>
    <mergeCell ref="B22:E22"/>
    <mergeCell ref="B23:E23"/>
    <mergeCell ref="B26:D26"/>
    <mergeCell ref="B27:E27"/>
    <mergeCell ref="B28:D28"/>
    <mergeCell ref="B1:E1"/>
    <mergeCell ref="B2:E2"/>
    <mergeCell ref="B3:E3"/>
    <mergeCell ref="B4:E4"/>
    <mergeCell ref="B7:D7"/>
  </mergeCells>
  <conditionalFormatting sqref="D10:E10">
    <cfRule type="cellIs" dxfId="0"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outlinePr summaryBelow="0" summaryRight="0"/>
  </sheetPr>
  <dimension ref="A1:J44"/>
  <sheetViews>
    <sheetView zoomScaleNormal="100" workbookViewId="0">
      <selection activeCell="B2" sqref="B2:I2"/>
    </sheetView>
  </sheetViews>
  <sheetFormatPr baseColWidth="10" defaultColWidth="12.6640625" defaultRowHeight="15.75" customHeight="1" x14ac:dyDescent="0.15"/>
  <cols>
    <col min="1" max="1" width="7.6640625" style="48" customWidth="1"/>
    <col min="2" max="9" width="26.1640625" style="48" customWidth="1"/>
    <col min="10" max="10" width="8.1640625" style="48" customWidth="1"/>
    <col min="11" max="16384" width="12.6640625" style="48"/>
  </cols>
  <sheetData>
    <row r="1" spans="1:10" ht="21.75" customHeight="1" x14ac:dyDescent="0.2">
      <c r="A1" s="160"/>
      <c r="B1" s="160"/>
      <c r="C1" s="161"/>
      <c r="D1" s="161"/>
      <c r="E1" s="161"/>
      <c r="F1" s="161"/>
      <c r="G1" s="161"/>
      <c r="H1" s="161"/>
      <c r="I1" s="161"/>
      <c r="J1" s="160"/>
    </row>
    <row r="2" spans="1:10" ht="28.5" customHeight="1" x14ac:dyDescent="0.25">
      <c r="A2" s="161"/>
      <c r="B2" s="127" t="s">
        <v>146</v>
      </c>
      <c r="C2" s="128"/>
      <c r="D2" s="128"/>
      <c r="E2" s="128"/>
      <c r="F2" s="128"/>
      <c r="G2" s="128"/>
      <c r="H2" s="128"/>
      <c r="I2" s="128"/>
      <c r="J2" s="161"/>
    </row>
    <row r="3" spans="1:10" ht="15" x14ac:dyDescent="0.15">
      <c r="A3" s="161"/>
      <c r="B3" s="162"/>
      <c r="C3" s="161"/>
      <c r="D3" s="161"/>
      <c r="E3" s="161"/>
      <c r="F3" s="161"/>
      <c r="G3" s="161"/>
      <c r="H3" s="161"/>
      <c r="I3" s="161"/>
      <c r="J3" s="161"/>
    </row>
    <row r="4" spans="1:10" ht="13" x14ac:dyDescent="0.15">
      <c r="A4" s="161"/>
      <c r="B4" s="163" t="s">
        <v>156</v>
      </c>
      <c r="C4" s="164"/>
      <c r="D4" s="164"/>
      <c r="E4" s="164"/>
      <c r="F4" s="164"/>
      <c r="G4" s="164"/>
      <c r="H4" s="164"/>
      <c r="I4" s="164"/>
      <c r="J4" s="161"/>
    </row>
    <row r="5" spans="1:10" ht="15.75" customHeight="1" x14ac:dyDescent="0.15">
      <c r="A5" s="161"/>
      <c r="B5" s="164"/>
      <c r="C5" s="164"/>
      <c r="D5" s="164"/>
      <c r="E5" s="164"/>
      <c r="F5" s="164"/>
      <c r="G5" s="164"/>
      <c r="H5" s="164"/>
      <c r="I5" s="164"/>
      <c r="J5" s="161"/>
    </row>
    <row r="6" spans="1:10" ht="15.75" customHeight="1" x14ac:dyDescent="0.15">
      <c r="A6" s="161"/>
      <c r="B6" s="164"/>
      <c r="C6" s="164"/>
      <c r="D6" s="164"/>
      <c r="E6" s="164"/>
      <c r="F6" s="164"/>
      <c r="G6" s="164"/>
      <c r="H6" s="164"/>
      <c r="I6" s="164"/>
      <c r="J6" s="161"/>
    </row>
    <row r="7" spans="1:10" ht="15.75" customHeight="1" x14ac:dyDescent="0.15">
      <c r="A7" s="161"/>
      <c r="B7" s="164"/>
      <c r="C7" s="164"/>
      <c r="D7" s="164"/>
      <c r="E7" s="164"/>
      <c r="F7" s="164"/>
      <c r="G7" s="164"/>
      <c r="H7" s="164"/>
      <c r="I7" s="164"/>
      <c r="J7" s="161"/>
    </row>
    <row r="8" spans="1:10" ht="15.75" customHeight="1" x14ac:dyDescent="0.15">
      <c r="A8" s="161"/>
      <c r="B8" s="164"/>
      <c r="C8" s="164"/>
      <c r="D8" s="164"/>
      <c r="E8" s="164"/>
      <c r="F8" s="164"/>
      <c r="G8" s="164"/>
      <c r="H8" s="164"/>
      <c r="I8" s="164"/>
      <c r="J8" s="161"/>
    </row>
    <row r="9" spans="1:10" ht="15.75" customHeight="1" x14ac:dyDescent="0.15">
      <c r="A9" s="161"/>
      <c r="B9" s="164"/>
      <c r="C9" s="164"/>
      <c r="D9" s="164"/>
      <c r="E9" s="164"/>
      <c r="F9" s="164"/>
      <c r="G9" s="164"/>
      <c r="H9" s="164"/>
      <c r="I9" s="164"/>
      <c r="J9" s="161"/>
    </row>
    <row r="10" spans="1:10" ht="15.75" customHeight="1" x14ac:dyDescent="0.15">
      <c r="A10" s="161"/>
      <c r="B10" s="164"/>
      <c r="C10" s="164"/>
      <c r="D10" s="164"/>
      <c r="E10" s="164"/>
      <c r="F10" s="164"/>
      <c r="G10" s="164"/>
      <c r="H10" s="164"/>
      <c r="I10" s="164"/>
      <c r="J10" s="161"/>
    </row>
    <row r="11" spans="1:10" ht="15.75" customHeight="1" x14ac:dyDescent="0.15">
      <c r="A11" s="161"/>
      <c r="B11" s="164"/>
      <c r="C11" s="164"/>
      <c r="D11" s="164"/>
      <c r="E11" s="164"/>
      <c r="F11" s="164"/>
      <c r="G11" s="164"/>
      <c r="H11" s="164"/>
      <c r="I11" s="164"/>
      <c r="J11" s="161"/>
    </row>
    <row r="12" spans="1:10" ht="15.75" customHeight="1" x14ac:dyDescent="0.15">
      <c r="A12" s="161"/>
      <c r="B12" s="164"/>
      <c r="C12" s="164"/>
      <c r="D12" s="164"/>
      <c r="E12" s="164"/>
      <c r="F12" s="164"/>
      <c r="G12" s="164"/>
      <c r="H12" s="164"/>
      <c r="I12" s="164"/>
      <c r="J12" s="161"/>
    </row>
    <row r="13" spans="1:10" ht="15.75" customHeight="1" x14ac:dyDescent="0.15">
      <c r="A13" s="161"/>
      <c r="B13" s="164"/>
      <c r="C13" s="164"/>
      <c r="D13" s="164"/>
      <c r="E13" s="164"/>
      <c r="F13" s="164"/>
      <c r="G13" s="164"/>
      <c r="H13" s="164"/>
      <c r="I13" s="164"/>
      <c r="J13" s="161"/>
    </row>
    <row r="14" spans="1:10" ht="15.75" customHeight="1" x14ac:dyDescent="0.15">
      <c r="A14" s="161"/>
      <c r="B14" s="164"/>
      <c r="C14" s="164"/>
      <c r="D14" s="164"/>
      <c r="E14" s="164"/>
      <c r="F14" s="164"/>
      <c r="G14" s="164"/>
      <c r="H14" s="164"/>
      <c r="I14" s="164"/>
      <c r="J14" s="161"/>
    </row>
    <row r="15" spans="1:10" ht="15.75" customHeight="1" x14ac:dyDescent="0.15">
      <c r="A15" s="161"/>
      <c r="B15" s="164"/>
      <c r="C15" s="164"/>
      <c r="D15" s="164"/>
      <c r="E15" s="164"/>
      <c r="F15" s="164"/>
      <c r="G15" s="164"/>
      <c r="H15" s="164"/>
      <c r="I15" s="164"/>
      <c r="J15" s="161"/>
    </row>
    <row r="16" spans="1:10" ht="15.75" customHeight="1" x14ac:dyDescent="0.15">
      <c r="A16" s="161"/>
      <c r="B16" s="164"/>
      <c r="C16" s="164"/>
      <c r="D16" s="164"/>
      <c r="E16" s="164"/>
      <c r="F16" s="164"/>
      <c r="G16" s="164"/>
      <c r="H16" s="164"/>
      <c r="I16" s="164"/>
      <c r="J16" s="161"/>
    </row>
    <row r="17" spans="1:10" ht="15.75" customHeight="1" x14ac:dyDescent="0.15">
      <c r="A17" s="161"/>
      <c r="B17" s="164"/>
      <c r="C17" s="164"/>
      <c r="D17" s="164"/>
      <c r="E17" s="164"/>
      <c r="F17" s="164"/>
      <c r="G17" s="164"/>
      <c r="H17" s="164"/>
      <c r="I17" s="164"/>
      <c r="J17" s="161"/>
    </row>
    <row r="18" spans="1:10" ht="15.75" customHeight="1" x14ac:dyDescent="0.15">
      <c r="A18" s="161"/>
      <c r="B18" s="164"/>
      <c r="C18" s="164"/>
      <c r="D18" s="164"/>
      <c r="E18" s="164"/>
      <c r="F18" s="164"/>
      <c r="G18" s="164"/>
      <c r="H18" s="164"/>
      <c r="I18" s="164"/>
      <c r="J18" s="161"/>
    </row>
    <row r="19" spans="1:10" ht="15.75" customHeight="1" x14ac:dyDescent="0.15">
      <c r="A19" s="161"/>
      <c r="B19" s="164"/>
      <c r="C19" s="164"/>
      <c r="D19" s="164"/>
      <c r="E19" s="164"/>
      <c r="F19" s="164"/>
      <c r="G19" s="164"/>
      <c r="H19" s="164"/>
      <c r="I19" s="164"/>
      <c r="J19" s="161"/>
    </row>
    <row r="20" spans="1:10" ht="15.75" customHeight="1" x14ac:dyDescent="0.15">
      <c r="A20" s="161"/>
      <c r="B20" s="164"/>
      <c r="C20" s="164"/>
      <c r="D20" s="164"/>
      <c r="E20" s="164"/>
      <c r="F20" s="164"/>
      <c r="G20" s="164"/>
      <c r="H20" s="164"/>
      <c r="I20" s="164"/>
      <c r="J20" s="161"/>
    </row>
    <row r="21" spans="1:10" ht="15.75" customHeight="1" x14ac:dyDescent="0.15">
      <c r="A21" s="161"/>
      <c r="B21" s="164"/>
      <c r="C21" s="164"/>
      <c r="D21" s="164"/>
      <c r="E21" s="164"/>
      <c r="F21" s="164"/>
      <c r="G21" s="164"/>
      <c r="H21" s="164"/>
      <c r="I21" s="164"/>
      <c r="J21" s="161"/>
    </row>
    <row r="22" spans="1:10" ht="15.75" customHeight="1" x14ac:dyDescent="0.15">
      <c r="A22" s="161"/>
      <c r="B22" s="164"/>
      <c r="C22" s="164"/>
      <c r="D22" s="164"/>
      <c r="E22" s="164"/>
      <c r="F22" s="164"/>
      <c r="G22" s="164"/>
      <c r="H22" s="164"/>
      <c r="I22" s="164"/>
      <c r="J22" s="161"/>
    </row>
    <row r="23" spans="1:10" ht="15.75" customHeight="1" x14ac:dyDescent="0.15">
      <c r="A23" s="161"/>
      <c r="B23" s="164"/>
      <c r="C23" s="164"/>
      <c r="D23" s="164"/>
      <c r="E23" s="164"/>
      <c r="F23" s="164"/>
      <c r="G23" s="164"/>
      <c r="H23" s="164"/>
      <c r="I23" s="164"/>
      <c r="J23" s="161"/>
    </row>
    <row r="24" spans="1:10" ht="15.75" customHeight="1" x14ac:dyDescent="0.15">
      <c r="A24" s="161"/>
      <c r="B24" s="164"/>
      <c r="C24" s="164"/>
      <c r="D24" s="164"/>
      <c r="E24" s="164"/>
      <c r="F24" s="164"/>
      <c r="G24" s="164"/>
      <c r="H24" s="164"/>
      <c r="I24" s="164"/>
      <c r="J24" s="161"/>
    </row>
    <row r="25" spans="1:10" ht="15.75" customHeight="1" x14ac:dyDescent="0.15">
      <c r="A25" s="161"/>
      <c r="B25" s="164"/>
      <c r="C25" s="164"/>
      <c r="D25" s="164"/>
      <c r="E25" s="164"/>
      <c r="F25" s="164"/>
      <c r="G25" s="164"/>
      <c r="H25" s="164"/>
      <c r="I25" s="164"/>
      <c r="J25" s="161"/>
    </row>
    <row r="26" spans="1:10" ht="15.75" customHeight="1" x14ac:dyDescent="0.15">
      <c r="A26" s="161"/>
      <c r="B26" s="164"/>
      <c r="C26" s="164"/>
      <c r="D26" s="164"/>
      <c r="E26" s="164"/>
      <c r="F26" s="164"/>
      <c r="G26" s="164"/>
      <c r="H26" s="164"/>
      <c r="I26" s="164"/>
      <c r="J26" s="161"/>
    </row>
    <row r="27" spans="1:10" ht="15.75" customHeight="1" x14ac:dyDescent="0.15">
      <c r="A27" s="161"/>
      <c r="B27" s="164"/>
      <c r="C27" s="164"/>
      <c r="D27" s="164"/>
      <c r="E27" s="164"/>
      <c r="F27" s="164"/>
      <c r="G27" s="164"/>
      <c r="H27" s="164"/>
      <c r="I27" s="164"/>
      <c r="J27" s="161"/>
    </row>
    <row r="28" spans="1:10" ht="15.75" customHeight="1" x14ac:dyDescent="0.15">
      <c r="A28" s="161"/>
      <c r="B28" s="164"/>
      <c r="C28" s="164"/>
      <c r="D28" s="164"/>
      <c r="E28" s="164"/>
      <c r="F28" s="164"/>
      <c r="G28" s="164"/>
      <c r="H28" s="164"/>
      <c r="I28" s="164"/>
      <c r="J28" s="161"/>
    </row>
    <row r="29" spans="1:10" ht="15.75" customHeight="1" x14ac:dyDescent="0.15">
      <c r="A29" s="161"/>
      <c r="B29" s="164"/>
      <c r="C29" s="164"/>
      <c r="D29" s="164"/>
      <c r="E29" s="164"/>
      <c r="F29" s="164"/>
      <c r="G29" s="164"/>
      <c r="H29" s="164"/>
      <c r="I29" s="164"/>
      <c r="J29" s="161"/>
    </row>
    <row r="30" spans="1:10" ht="15.75" customHeight="1" x14ac:dyDescent="0.15">
      <c r="A30" s="161"/>
      <c r="B30" s="164"/>
      <c r="C30" s="164"/>
      <c r="D30" s="164"/>
      <c r="E30" s="164"/>
      <c r="F30" s="164"/>
      <c r="G30" s="164"/>
      <c r="H30" s="164"/>
      <c r="I30" s="164"/>
      <c r="J30" s="161"/>
    </row>
    <row r="31" spans="1:10" ht="15.75" customHeight="1" x14ac:dyDescent="0.15">
      <c r="A31" s="161"/>
      <c r="B31" s="164"/>
      <c r="C31" s="164"/>
      <c r="D31" s="164"/>
      <c r="E31" s="164"/>
      <c r="F31" s="164"/>
      <c r="G31" s="164"/>
      <c r="H31" s="164"/>
      <c r="I31" s="164"/>
      <c r="J31" s="161"/>
    </row>
    <row r="32" spans="1:10" ht="15.75" customHeight="1" x14ac:dyDescent="0.15">
      <c r="A32" s="161"/>
      <c r="B32" s="164"/>
      <c r="C32" s="164"/>
      <c r="D32" s="164"/>
      <c r="E32" s="164"/>
      <c r="F32" s="164"/>
      <c r="G32" s="164"/>
      <c r="H32" s="164"/>
      <c r="I32" s="164"/>
      <c r="J32" s="161"/>
    </row>
    <row r="33" spans="1:10" ht="15.75" customHeight="1" x14ac:dyDescent="0.15">
      <c r="A33" s="161"/>
      <c r="B33" s="164"/>
      <c r="C33" s="164"/>
      <c r="D33" s="164"/>
      <c r="E33" s="164"/>
      <c r="F33" s="164"/>
      <c r="G33" s="164"/>
      <c r="H33" s="164"/>
      <c r="I33" s="164"/>
      <c r="J33" s="161"/>
    </row>
    <row r="34" spans="1:10" ht="15.75" customHeight="1" x14ac:dyDescent="0.15">
      <c r="A34" s="161"/>
      <c r="B34" s="164"/>
      <c r="C34" s="164"/>
      <c r="D34" s="164"/>
      <c r="E34" s="164"/>
      <c r="F34" s="164"/>
      <c r="G34" s="164"/>
      <c r="H34" s="164"/>
      <c r="I34" s="164"/>
      <c r="J34" s="161"/>
    </row>
    <row r="35" spans="1:10" ht="15.75" customHeight="1" x14ac:dyDescent="0.15">
      <c r="A35" s="161"/>
      <c r="B35" s="164"/>
      <c r="C35" s="164"/>
      <c r="D35" s="164"/>
      <c r="E35" s="164"/>
      <c r="F35" s="164"/>
      <c r="G35" s="164"/>
      <c r="H35" s="164"/>
      <c r="I35" s="164"/>
      <c r="J35" s="161"/>
    </row>
    <row r="36" spans="1:10" ht="15.75" customHeight="1" x14ac:dyDescent="0.15">
      <c r="A36" s="161"/>
      <c r="B36" s="164"/>
      <c r="C36" s="164"/>
      <c r="D36" s="164"/>
      <c r="E36" s="164"/>
      <c r="F36" s="164"/>
      <c r="G36" s="164"/>
      <c r="H36" s="164"/>
      <c r="I36" s="164"/>
      <c r="J36" s="161"/>
    </row>
    <row r="37" spans="1:10" ht="15.75" customHeight="1" x14ac:dyDescent="0.15">
      <c r="A37" s="161"/>
      <c r="B37" s="164"/>
      <c r="C37" s="164"/>
      <c r="D37" s="164"/>
      <c r="E37" s="164"/>
      <c r="F37" s="164"/>
      <c r="G37" s="164"/>
      <c r="H37" s="164"/>
      <c r="I37" s="164"/>
      <c r="J37" s="161"/>
    </row>
    <row r="38" spans="1:10" ht="15.75" customHeight="1" x14ac:dyDescent="0.15">
      <c r="A38" s="161"/>
      <c r="B38" s="164"/>
      <c r="C38" s="164"/>
      <c r="D38" s="164"/>
      <c r="E38" s="164"/>
      <c r="F38" s="164"/>
      <c r="G38" s="164"/>
      <c r="H38" s="164"/>
      <c r="I38" s="164"/>
      <c r="J38" s="161"/>
    </row>
    <row r="39" spans="1:10" ht="15.75" customHeight="1" x14ac:dyDescent="0.15">
      <c r="A39" s="161"/>
      <c r="B39" s="164"/>
      <c r="C39" s="164"/>
      <c r="D39" s="164"/>
      <c r="E39" s="164"/>
      <c r="F39" s="164"/>
      <c r="G39" s="164"/>
      <c r="H39" s="164"/>
      <c r="I39" s="164"/>
      <c r="J39" s="161"/>
    </row>
    <row r="40" spans="1:10" ht="15.75" customHeight="1" x14ac:dyDescent="0.15">
      <c r="A40" s="161"/>
      <c r="B40" s="164"/>
      <c r="C40" s="164"/>
      <c r="D40" s="164"/>
      <c r="E40" s="164"/>
      <c r="F40" s="164"/>
      <c r="G40" s="164"/>
      <c r="H40" s="164"/>
      <c r="I40" s="164"/>
      <c r="J40" s="161"/>
    </row>
    <row r="41" spans="1:10" ht="15.75" customHeight="1" x14ac:dyDescent="0.15">
      <c r="A41" s="161"/>
      <c r="B41" s="164"/>
      <c r="C41" s="164"/>
      <c r="D41" s="164"/>
      <c r="E41" s="164"/>
      <c r="F41" s="164"/>
      <c r="G41" s="164"/>
      <c r="H41" s="164"/>
      <c r="I41" s="164"/>
      <c r="J41" s="161"/>
    </row>
    <row r="42" spans="1:10" ht="15.75" customHeight="1" x14ac:dyDescent="0.15">
      <c r="A42" s="161"/>
      <c r="B42" s="164"/>
      <c r="C42" s="164"/>
      <c r="D42" s="164"/>
      <c r="E42" s="164"/>
      <c r="F42" s="164"/>
      <c r="G42" s="164"/>
      <c r="H42" s="164"/>
      <c r="I42" s="164"/>
      <c r="J42" s="161"/>
    </row>
    <row r="43" spans="1:10" ht="15.75" customHeight="1" x14ac:dyDescent="0.15">
      <c r="A43" s="161"/>
      <c r="B43" s="164"/>
      <c r="C43" s="164"/>
      <c r="D43" s="164"/>
      <c r="E43" s="164"/>
      <c r="F43" s="164"/>
      <c r="G43" s="164"/>
      <c r="H43" s="164"/>
      <c r="I43" s="164"/>
      <c r="J43" s="161"/>
    </row>
    <row r="44" spans="1:10" ht="32.25" customHeight="1" x14ac:dyDescent="0.2">
      <c r="A44" s="160"/>
      <c r="B44" s="161"/>
      <c r="C44" s="161"/>
      <c r="D44" s="161"/>
      <c r="E44" s="161"/>
      <c r="F44" s="161"/>
      <c r="G44" s="161"/>
      <c r="H44" s="161"/>
      <c r="I44" s="161"/>
      <c r="J44" s="161"/>
    </row>
  </sheetData>
  <mergeCells count="7">
    <mergeCell ref="A44:J44"/>
    <mergeCell ref="A1:A43"/>
    <mergeCell ref="B1:I1"/>
    <mergeCell ref="J1:J43"/>
    <mergeCell ref="B2:I2"/>
    <mergeCell ref="B3:I3"/>
    <mergeCell ref="B4: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Assumptions &amp; Analysis</vt:lpstr>
      <vt:lpstr>Income Statement Forecasts</vt:lpstr>
      <vt:lpstr>Calculations</vt:lpstr>
      <vt:lpstr>Cash Flow Forecasts</vt:lpstr>
      <vt:lpstr>Projected Balance Sheet</vt:lpstr>
      <vt:lpstr>Consolidated Cash Flow</vt:lpstr>
      <vt:lpstr>Part 2 - Impact of Standards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Mitali Badkul</cp:lastModifiedBy>
  <dcterms:modified xsi:type="dcterms:W3CDTF">2024-11-09T19:31:29Z</dcterms:modified>
</cp:coreProperties>
</file>