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95" windowWidth="10005" windowHeight="9945"/>
  </bookViews>
  <sheets>
    <sheet name="Conciliación" sheetId="1" r:id="rId1"/>
    <sheet name="DV-IDENTITY-0" sheetId="3" state="veryHidden" r:id="rId2"/>
  </sheets>
  <definedNames>
    <definedName name="_xlnm._FilterDatabase" localSheetId="0" hidden="1">Conciliación!$B$18:$X$38</definedName>
    <definedName name="Imprimir">Conciliación!$B$16:$X$39</definedName>
    <definedName name="_xlnm.Print_Titles" localSheetId="0">Conciliación!$9:$15</definedName>
  </definedNames>
  <calcPr calcId="145621"/>
</workbook>
</file>

<file path=xl/calcChain.xml><?xml version="1.0" encoding="utf-8"?>
<calcChain xmlns="http://schemas.openxmlformats.org/spreadsheetml/2006/main">
  <c r="D9" i="1" l="1"/>
  <c r="D10" i="1"/>
  <c r="F9" i="1"/>
  <c r="A20" i="3" l="1"/>
  <c r="A19" i="3"/>
  <c r="A18" i="3" l="1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A17" i="3" l="1"/>
  <c r="B17" i="3"/>
  <c r="C17" i="3"/>
  <c r="D17" i="3"/>
  <c r="E17" i="3"/>
  <c r="G17" i="3"/>
  <c r="H17" i="3"/>
  <c r="I17" i="3"/>
  <c r="J17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S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A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D116" i="1"/>
  <c r="D12" i="1" s="1"/>
  <c r="D39" i="1" l="1"/>
  <c r="CR7" i="3" s="1"/>
  <c r="D65" i="1"/>
  <c r="D90" i="1"/>
  <c r="D11" i="1" s="1"/>
  <c r="F11" i="1" l="1"/>
  <c r="CT7" i="3"/>
</calcChain>
</file>

<file path=xl/comments1.xml><?xml version="1.0" encoding="utf-8"?>
<comments xmlns="http://schemas.openxmlformats.org/spreadsheetml/2006/main">
  <authors>
    <author>Daniel Bravo Toledo</author>
  </authors>
  <commentList>
    <comment ref="A18" authorId="0">
      <text>
        <r>
          <rPr>
            <b/>
            <sz val="9"/>
            <color indexed="63"/>
            <rFont val="Tahoma"/>
            <family val="2"/>
          </rPr>
          <t>Introducir los PAGOS en extracto bancario  no conciliados con movimientos en la cuenta contable en signo positivo.</t>
        </r>
      </text>
    </comment>
    <comment ref="A44" authorId="0">
      <text>
        <r>
          <rPr>
            <b/>
            <sz val="9"/>
            <color indexed="63"/>
            <rFont val="Tahoma"/>
            <family val="2"/>
          </rPr>
          <t>Introducir los COBROS en extracto bancario  no conciliados con movimientos en la cuenta contable en signo positivo</t>
        </r>
        <r>
          <rPr>
            <sz val="9"/>
            <color indexed="63"/>
            <rFont val="Tahoma"/>
            <family val="2"/>
          </rPr>
          <t xml:space="preserve">
</t>
        </r>
      </text>
    </comment>
    <comment ref="A69" authorId="0">
      <text>
        <r>
          <rPr>
            <b/>
            <sz val="9"/>
            <color indexed="63"/>
            <rFont val="Tahoma"/>
            <family val="2"/>
          </rPr>
          <t xml:space="preserve">Introducir los PAGOS en contabilidad  no conciliados con movimientos del extracto bancario en signo positivo </t>
        </r>
        <r>
          <rPr>
            <sz val="9"/>
            <color indexed="63"/>
            <rFont val="Tahoma"/>
            <family val="2"/>
          </rPr>
          <t xml:space="preserve">
</t>
        </r>
      </text>
    </comment>
    <comment ref="A93" authorId="0">
      <text>
        <r>
          <rPr>
            <b/>
            <sz val="9"/>
            <color indexed="63"/>
            <rFont val="Tahoma"/>
            <family val="2"/>
          </rPr>
          <t xml:space="preserve">Introducir los COBROS en contabilidad  no conciliados con movimientos del extracto bancario en signo positivo
</t>
        </r>
        <r>
          <rPr>
            <sz val="9"/>
            <color indexed="63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<sst xmlns="http://schemas.openxmlformats.org/spreadsheetml/2006/main" count="47" uniqueCount="21">
  <si>
    <t>Fecha</t>
  </si>
  <si>
    <t>Concepto</t>
  </si>
  <si>
    <t>Saldo Cta. Contable</t>
  </si>
  <si>
    <t>Total</t>
  </si>
  <si>
    <t>Diferencia</t>
  </si>
  <si>
    <t>Importe</t>
  </si>
  <si>
    <t>Observaciones</t>
  </si>
  <si>
    <t>Clave Conciliación</t>
  </si>
  <si>
    <t>a) Pagos Banco no Contabilidad</t>
  </si>
  <si>
    <t>b) Cobros Banco no Contabilidad</t>
  </si>
  <si>
    <t>c) Pagos  Contabilidad no Banco</t>
  </si>
  <si>
    <t>d) Cobros  Contabilidad no Banco</t>
  </si>
  <si>
    <t>Conciliación Bancaria</t>
  </si>
  <si>
    <t>Empresa:</t>
  </si>
  <si>
    <t>Banco:</t>
  </si>
  <si>
    <t># Cta Corriente:</t>
  </si>
  <si>
    <t>a-b-c+d</t>
  </si>
  <si>
    <t>AAAAADb9/wU=</t>
  </si>
  <si>
    <t>Saldo Extracto Banco</t>
  </si>
  <si>
    <t>Cta Cont.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</si>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</sst>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</font>
    <font>
      <b/>
      <sz val="14"/>
      <color indexed="9"/>
      <name val="Calibri"/>
      <family val="2"/>
    </font>
    <font>
      <sz val="14"/>
      <name val="Calibri"/>
      <family val="2"/>
    </font>
    <font>
      <sz val="12"/>
      <color theme="0"/>
      <name val="Calibri"/>
      <family val="2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b/>
      <sz val="10"/>
      <name val="Fixedsys"/>
      <family val="3"/>
    </font>
    <font>
      <b/>
      <u/>
      <sz val="18"/>
      <name val="Calibri"/>
      <family val="2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15" fontId="0" fillId="0" borderId="0" xfId="0" applyNumberFormat="1"/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5" fontId="0" fillId="0" borderId="5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0" fontId="0" fillId="0" borderId="5" xfId="0" applyBorder="1" applyProtection="1">
      <protection locked="0"/>
    </xf>
    <xf numFmtId="4" fontId="1" fillId="0" borderId="5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6" fillId="3" borderId="1" xfId="0" applyFont="1" applyFill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164" fontId="2" fillId="2" borderId="2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/>
    <xf numFmtId="0" fontId="9" fillId="0" borderId="14" xfId="0" applyFont="1" applyBorder="1" applyAlignment="1">
      <alignment horizontal="center" vertical="center"/>
    </xf>
    <xf numFmtId="15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5" fillId="5" borderId="8" xfId="0" applyFont="1" applyFill="1" applyBorder="1" applyAlignment="1"/>
    <xf numFmtId="0" fontId="5" fillId="5" borderId="9" xfId="0" applyFont="1" applyFill="1" applyBorder="1" applyAlignment="1"/>
    <xf numFmtId="164" fontId="5" fillId="5" borderId="10" xfId="0" applyNumberFormat="1" applyFont="1" applyFill="1" applyBorder="1" applyAlignment="1">
      <alignment horizontal="center"/>
    </xf>
    <xf numFmtId="0" fontId="3" fillId="0" borderId="19" xfId="0" applyFont="1" applyFill="1" applyBorder="1"/>
    <xf numFmtId="14" fontId="2" fillId="0" borderId="19" xfId="0" applyNumberFormat="1" applyFont="1" applyFill="1" applyBorder="1" applyAlignment="1">
      <alignment horizontal="center"/>
    </xf>
    <xf numFmtId="164" fontId="2" fillId="0" borderId="19" xfId="0" applyNumberFormat="1" applyFont="1" applyFill="1" applyBorder="1" applyProtection="1">
      <protection locked="0"/>
    </xf>
    <xf numFmtId="0" fontId="5" fillId="4" borderId="8" xfId="0" applyFont="1" applyFill="1" applyBorder="1" applyAlignment="1"/>
    <xf numFmtId="0" fontId="5" fillId="4" borderId="9" xfId="0" applyFont="1" applyFill="1" applyBorder="1" applyAlignment="1"/>
    <xf numFmtId="164" fontId="5" fillId="4" borderId="1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N118"/>
  <sheetViews>
    <sheetView showGridLines="0" showRowColHeaders="0" tabSelected="1" zoomScale="85" zoomScaleNormal="85" workbookViewId="0">
      <selection activeCell="B2" sqref="B2:F117"/>
    </sheetView>
  </sheetViews>
  <sheetFormatPr defaultColWidth="9.140625" defaultRowHeight="12.75" x14ac:dyDescent="0.2"/>
  <cols>
    <col min="1" max="1" width="13.85546875" customWidth="1"/>
    <col min="2" max="2" width="11.85546875" customWidth="1"/>
    <col min="3" max="3" width="50" customWidth="1"/>
    <col min="4" max="4" width="16.140625" customWidth="1"/>
    <col min="5" max="5" width="37.85546875" customWidth="1"/>
    <col min="6" max="6" width="14.7109375" customWidth="1"/>
    <col min="7" max="7" width="2.5703125" customWidth="1"/>
    <col min="8" max="8" width="11.85546875" customWidth="1"/>
    <col min="9" max="9" width="22.140625" customWidth="1"/>
    <col min="10" max="10" width="13.42578125" customWidth="1"/>
    <col min="11" max="11" width="29.7109375" customWidth="1"/>
    <col min="12" max="12" width="9" customWidth="1"/>
    <col min="13" max="13" width="2.7109375" customWidth="1"/>
    <col min="15" max="15" width="22.140625" customWidth="1"/>
    <col min="16" max="16" width="13.42578125" customWidth="1"/>
    <col min="17" max="17" width="24.42578125" customWidth="1"/>
    <col min="18" max="18" width="9" customWidth="1"/>
    <col min="19" max="19" width="2.5703125" customWidth="1"/>
    <col min="21" max="21" width="22.140625" customWidth="1"/>
    <col min="22" max="22" width="13.42578125" customWidth="1"/>
    <col min="23" max="23" width="24.42578125" customWidth="1"/>
    <col min="24" max="24" width="9" customWidth="1"/>
  </cols>
  <sheetData>
    <row r="1" spans="1:7" ht="13.5" thickTop="1" x14ac:dyDescent="0.2">
      <c r="A1" s="14"/>
      <c r="B1" s="15"/>
      <c r="C1" s="15"/>
      <c r="D1" s="15"/>
      <c r="E1" s="15"/>
      <c r="F1" s="15"/>
      <c r="G1" s="16"/>
    </row>
    <row r="2" spans="1:7" ht="23.25" x14ac:dyDescent="0.35">
      <c r="A2" s="17"/>
      <c r="B2" s="44" t="s">
        <v>12</v>
      </c>
      <c r="C2" s="44"/>
      <c r="D2" s="44"/>
      <c r="E2" s="44"/>
      <c r="F2" s="44"/>
      <c r="G2" s="19"/>
    </row>
    <row r="3" spans="1:7" x14ac:dyDescent="0.2">
      <c r="A3" s="17"/>
      <c r="B3" s="18"/>
      <c r="C3" s="18"/>
      <c r="D3" s="18"/>
      <c r="E3" s="18"/>
      <c r="F3" s="18"/>
      <c r="G3" s="19"/>
    </row>
    <row r="4" spans="1:7" ht="18.75" x14ac:dyDescent="0.3">
      <c r="A4" s="17"/>
      <c r="B4" s="30" t="s">
        <v>13</v>
      </c>
      <c r="C4" s="36"/>
      <c r="D4" s="18"/>
      <c r="E4" s="31" t="s">
        <v>0</v>
      </c>
      <c r="F4" s="37"/>
      <c r="G4" s="19"/>
    </row>
    <row r="5" spans="1:7" ht="15.75" x14ac:dyDescent="0.25">
      <c r="A5" s="17"/>
      <c r="B5" s="22" t="s">
        <v>14</v>
      </c>
      <c r="C5" s="36"/>
      <c r="D5" s="18"/>
      <c r="E5" s="31" t="s">
        <v>18</v>
      </c>
      <c r="F5" s="38"/>
      <c r="G5" s="19"/>
    </row>
    <row r="6" spans="1:7" ht="15.75" x14ac:dyDescent="0.25">
      <c r="A6" s="17"/>
      <c r="B6" s="22" t="s">
        <v>19</v>
      </c>
      <c r="C6" s="36"/>
      <c r="D6" s="18"/>
      <c r="E6" s="31" t="s">
        <v>2</v>
      </c>
      <c r="F6" s="38"/>
      <c r="G6" s="19"/>
    </row>
    <row r="7" spans="1:7" ht="31.5" x14ac:dyDescent="0.25">
      <c r="A7" s="17"/>
      <c r="B7" s="32" t="s">
        <v>15</v>
      </c>
      <c r="C7" s="36"/>
      <c r="D7" s="18"/>
      <c r="E7" s="18"/>
      <c r="F7" s="18"/>
      <c r="G7" s="19"/>
    </row>
    <row r="8" spans="1:7" ht="13.5" thickBot="1" x14ac:dyDescent="0.25">
      <c r="A8" s="17"/>
      <c r="B8" s="18"/>
      <c r="C8" s="18"/>
      <c r="D8" s="18"/>
      <c r="E8" s="18"/>
      <c r="F8" s="18"/>
      <c r="G8" s="19"/>
    </row>
    <row r="9" spans="1:7" ht="20.25" thickTop="1" thickBot="1" x14ac:dyDescent="0.35">
      <c r="A9" s="17"/>
      <c r="B9" s="33" t="s">
        <v>8</v>
      </c>
      <c r="C9" s="34"/>
      <c r="D9" s="35">
        <f>+D39</f>
        <v>0</v>
      </c>
      <c r="E9" s="12" t="s">
        <v>16</v>
      </c>
      <c r="F9" s="13">
        <f>+D9-D10-D11+D12</f>
        <v>0</v>
      </c>
      <c r="G9" s="19"/>
    </row>
    <row r="10" spans="1:7" ht="20.25" thickTop="1" thickBot="1" x14ac:dyDescent="0.35">
      <c r="A10" s="17"/>
      <c r="B10" s="33" t="s">
        <v>9</v>
      </c>
      <c r="C10" s="34"/>
      <c r="D10" s="35">
        <f>+D65</f>
        <v>0</v>
      </c>
      <c r="E10" s="18"/>
      <c r="F10" s="18"/>
      <c r="G10" s="19"/>
    </row>
    <row r="11" spans="1:7" ht="20.25" thickTop="1" thickBot="1" x14ac:dyDescent="0.35">
      <c r="A11" s="17"/>
      <c r="B11" s="39" t="s">
        <v>10</v>
      </c>
      <c r="C11" s="40"/>
      <c r="D11" s="41">
        <f>+D90</f>
        <v>0</v>
      </c>
      <c r="E11" s="12" t="s">
        <v>4</v>
      </c>
      <c r="F11" s="13">
        <f>+F5-F6+F9</f>
        <v>0</v>
      </c>
      <c r="G11" s="19"/>
    </row>
    <row r="12" spans="1:7" ht="20.25" thickTop="1" thickBot="1" x14ac:dyDescent="0.35">
      <c r="A12" s="17"/>
      <c r="B12" s="39" t="s">
        <v>11</v>
      </c>
      <c r="C12" s="40"/>
      <c r="D12" s="41">
        <f>+D116</f>
        <v>0</v>
      </c>
      <c r="E12" s="18"/>
      <c r="F12" s="18"/>
      <c r="G12" s="19"/>
    </row>
    <row r="13" spans="1:7" ht="13.5" thickTop="1" x14ac:dyDescent="0.2">
      <c r="A13" s="17"/>
      <c r="B13" s="18"/>
      <c r="C13" s="18"/>
      <c r="D13" s="18"/>
      <c r="E13" s="18"/>
      <c r="F13" s="18"/>
      <c r="G13" s="19"/>
    </row>
    <row r="14" spans="1:7" x14ac:dyDescent="0.2">
      <c r="A14" s="17"/>
      <c r="B14" s="18"/>
      <c r="C14" s="18"/>
      <c r="D14" s="18"/>
      <c r="E14" s="18"/>
      <c r="F14" s="18"/>
      <c r="G14" s="19"/>
    </row>
    <row r="15" spans="1:7" ht="13.5" thickBot="1" x14ac:dyDescent="0.25">
      <c r="A15" s="17"/>
      <c r="B15" s="18"/>
      <c r="C15" s="18"/>
      <c r="D15" s="18"/>
      <c r="E15" s="18"/>
      <c r="F15" s="18"/>
      <c r="G15" s="19"/>
    </row>
    <row r="16" spans="1:7" s="1" customFormat="1" ht="19.5" thickBot="1" x14ac:dyDescent="0.35">
      <c r="A16" s="20"/>
      <c r="B16" s="48" t="s">
        <v>8</v>
      </c>
      <c r="C16" s="49"/>
      <c r="D16" s="49"/>
      <c r="E16" s="49"/>
      <c r="F16" s="50"/>
      <c r="G16" s="21"/>
    </row>
    <row r="17" spans="1:7" s="1" customFormat="1" ht="6.75" customHeight="1" thickBot="1" x14ac:dyDescent="0.3">
      <c r="A17" s="20"/>
      <c r="B17" s="22"/>
      <c r="C17" s="22"/>
      <c r="D17" s="22"/>
      <c r="E17" s="22"/>
      <c r="F17" s="22"/>
      <c r="G17" s="21"/>
    </row>
    <row r="18" spans="1:7" s="1" customFormat="1" ht="33" thickTop="1" thickBot="1" x14ac:dyDescent="0.3">
      <c r="A18" s="23" t="s">
        <v>20</v>
      </c>
      <c r="B18" s="10" t="s">
        <v>0</v>
      </c>
      <c r="C18" s="11" t="s">
        <v>1</v>
      </c>
      <c r="D18" s="10" t="s">
        <v>5</v>
      </c>
      <c r="E18" s="10" t="s">
        <v>6</v>
      </c>
      <c r="F18" s="10" t="s">
        <v>7</v>
      </c>
      <c r="G18" s="21"/>
    </row>
    <row r="19" spans="1:7" ht="13.5" thickTop="1" x14ac:dyDescent="0.2">
      <c r="A19" s="17"/>
      <c r="B19" s="5"/>
      <c r="C19" s="8"/>
      <c r="D19" s="6"/>
      <c r="E19" s="9"/>
      <c r="F19" s="7"/>
      <c r="G19" s="19"/>
    </row>
    <row r="20" spans="1:7" x14ac:dyDescent="0.2">
      <c r="A20" s="17"/>
      <c r="B20" s="5"/>
      <c r="C20" s="8"/>
      <c r="D20" s="6"/>
      <c r="E20" s="9"/>
      <c r="F20" s="7"/>
      <c r="G20" s="19"/>
    </row>
    <row r="21" spans="1:7" x14ac:dyDescent="0.2">
      <c r="A21" s="17"/>
      <c r="B21" s="5"/>
      <c r="C21" s="8"/>
      <c r="D21" s="6"/>
      <c r="E21" s="9"/>
      <c r="F21" s="7"/>
      <c r="G21" s="19"/>
    </row>
    <row r="22" spans="1:7" x14ac:dyDescent="0.2">
      <c r="A22" s="17"/>
      <c r="B22" s="5"/>
      <c r="C22" s="8"/>
      <c r="D22" s="6"/>
      <c r="E22" s="9"/>
      <c r="F22" s="7"/>
      <c r="G22" s="19"/>
    </row>
    <row r="23" spans="1:7" x14ac:dyDescent="0.2">
      <c r="A23" s="17"/>
      <c r="B23" s="5"/>
      <c r="C23" s="8"/>
      <c r="D23" s="6"/>
      <c r="E23" s="9"/>
      <c r="F23" s="7"/>
      <c r="G23" s="19"/>
    </row>
    <row r="24" spans="1:7" x14ac:dyDescent="0.2">
      <c r="A24" s="17"/>
      <c r="B24" s="5"/>
      <c r="C24" s="8"/>
      <c r="D24" s="6"/>
      <c r="E24" s="9"/>
      <c r="F24" s="7"/>
      <c r="G24" s="19"/>
    </row>
    <row r="25" spans="1:7" x14ac:dyDescent="0.2">
      <c r="A25" s="17"/>
      <c r="B25" s="5"/>
      <c r="C25" s="8"/>
      <c r="D25" s="6"/>
      <c r="E25" s="9"/>
      <c r="F25" s="7"/>
      <c r="G25" s="19"/>
    </row>
    <row r="26" spans="1:7" x14ac:dyDescent="0.2">
      <c r="A26" s="17"/>
      <c r="B26" s="5"/>
      <c r="C26" s="8"/>
      <c r="D26" s="6"/>
      <c r="E26" s="9"/>
      <c r="F26" s="7"/>
      <c r="G26" s="19"/>
    </row>
    <row r="27" spans="1:7" x14ac:dyDescent="0.2">
      <c r="A27" s="17"/>
      <c r="B27" s="5"/>
      <c r="C27" s="8"/>
      <c r="D27" s="6"/>
      <c r="E27" s="9"/>
      <c r="F27" s="7"/>
      <c r="G27" s="19"/>
    </row>
    <row r="28" spans="1:7" x14ac:dyDescent="0.2">
      <c r="A28" s="17"/>
      <c r="B28" s="5"/>
      <c r="C28" s="8"/>
      <c r="D28" s="6"/>
      <c r="E28" s="9"/>
      <c r="F28" s="7"/>
      <c r="G28" s="19"/>
    </row>
    <row r="29" spans="1:7" x14ac:dyDescent="0.2">
      <c r="A29" s="17"/>
      <c r="B29" s="5"/>
      <c r="C29" s="8"/>
      <c r="D29" s="6"/>
      <c r="E29" s="9"/>
      <c r="F29" s="7"/>
      <c r="G29" s="19"/>
    </row>
    <row r="30" spans="1:7" x14ac:dyDescent="0.2">
      <c r="A30" s="17"/>
      <c r="B30" s="5"/>
      <c r="C30" s="8"/>
      <c r="D30" s="6"/>
      <c r="E30" s="9"/>
      <c r="F30" s="7"/>
      <c r="G30" s="19"/>
    </row>
    <row r="31" spans="1:7" x14ac:dyDescent="0.2">
      <c r="A31" s="17"/>
      <c r="B31" s="5"/>
      <c r="C31" s="8"/>
      <c r="D31" s="6"/>
      <c r="E31" s="9"/>
      <c r="F31" s="7"/>
      <c r="G31" s="19"/>
    </row>
    <row r="32" spans="1:7" x14ac:dyDescent="0.2">
      <c r="A32" s="17"/>
      <c r="B32" s="5"/>
      <c r="C32" s="8"/>
      <c r="D32" s="6"/>
      <c r="E32" s="9"/>
      <c r="F32" s="7"/>
      <c r="G32" s="19"/>
    </row>
    <row r="33" spans="1:14" x14ac:dyDescent="0.2">
      <c r="A33" s="17"/>
      <c r="B33" s="5"/>
      <c r="C33" s="8"/>
      <c r="D33" s="6"/>
      <c r="E33" s="9"/>
      <c r="F33" s="7"/>
      <c r="G33" s="19"/>
    </row>
    <row r="34" spans="1:14" x14ac:dyDescent="0.2">
      <c r="A34" s="17"/>
      <c r="B34" s="5"/>
      <c r="C34" s="8"/>
      <c r="D34" s="6"/>
      <c r="E34" s="9"/>
      <c r="F34" s="7"/>
      <c r="G34" s="19"/>
    </row>
    <row r="35" spans="1:14" x14ac:dyDescent="0.2">
      <c r="A35" s="17"/>
      <c r="B35" s="5"/>
      <c r="C35" s="8"/>
      <c r="D35" s="6"/>
      <c r="E35" s="9"/>
      <c r="F35" s="7"/>
      <c r="G35" s="19"/>
    </row>
    <row r="36" spans="1:14" x14ac:dyDescent="0.2">
      <c r="A36" s="17"/>
      <c r="B36" s="5"/>
      <c r="C36" s="8"/>
      <c r="D36" s="6"/>
      <c r="E36" s="9"/>
      <c r="F36" s="7"/>
      <c r="G36" s="19"/>
    </row>
    <row r="37" spans="1:14" x14ac:dyDescent="0.2">
      <c r="A37" s="17"/>
      <c r="B37" s="5"/>
      <c r="C37" s="8"/>
      <c r="D37" s="6"/>
      <c r="E37" s="9"/>
      <c r="F37" s="7"/>
      <c r="G37" s="19"/>
    </row>
    <row r="38" spans="1:14" ht="13.5" thickBot="1" x14ac:dyDescent="0.25">
      <c r="A38" s="17"/>
      <c r="B38" s="5"/>
      <c r="C38" s="8"/>
      <c r="D38" s="6"/>
      <c r="E38" s="9"/>
      <c r="F38" s="7"/>
      <c r="G38" s="19"/>
    </row>
    <row r="39" spans="1:14" ht="13.5" thickBot="1" x14ac:dyDescent="0.25">
      <c r="A39" s="17"/>
      <c r="B39" s="24"/>
      <c r="C39" s="3" t="s">
        <v>3</v>
      </c>
      <c r="D39" s="4">
        <f>SUM(D19:D38)</f>
        <v>0</v>
      </c>
      <c r="E39" s="18"/>
      <c r="F39" s="18"/>
      <c r="G39" s="19"/>
      <c r="N39" s="2"/>
    </row>
    <row r="40" spans="1:14" x14ac:dyDescent="0.2">
      <c r="A40" s="17"/>
      <c r="B40" s="24"/>
      <c r="C40" s="18"/>
      <c r="D40" s="25"/>
      <c r="E40" s="18"/>
      <c r="F40" s="18"/>
      <c r="G40" s="19"/>
    </row>
    <row r="41" spans="1:14" ht="13.5" thickBot="1" x14ac:dyDescent="0.25">
      <c r="A41" s="17"/>
      <c r="B41" s="26"/>
      <c r="C41" s="18"/>
      <c r="D41" s="18"/>
      <c r="E41" s="18"/>
      <c r="F41" s="18"/>
      <c r="G41" s="19"/>
    </row>
    <row r="42" spans="1:14" ht="19.5" thickBot="1" x14ac:dyDescent="0.35">
      <c r="A42" s="17"/>
      <c r="B42" s="48" t="s">
        <v>9</v>
      </c>
      <c r="C42" s="49"/>
      <c r="D42" s="49"/>
      <c r="E42" s="49"/>
      <c r="F42" s="50"/>
      <c r="G42" s="19"/>
    </row>
    <row r="43" spans="1:14" ht="16.5" thickBot="1" x14ac:dyDescent="0.3">
      <c r="A43" s="17"/>
      <c r="B43" s="22"/>
      <c r="C43" s="22"/>
      <c r="D43" s="22"/>
      <c r="E43" s="22"/>
      <c r="F43" s="22"/>
      <c r="G43" s="19"/>
    </row>
    <row r="44" spans="1:14" ht="33" thickTop="1" thickBot="1" x14ac:dyDescent="0.25">
      <c r="A44" s="23" t="s">
        <v>20</v>
      </c>
      <c r="B44" s="10" t="s">
        <v>0</v>
      </c>
      <c r="C44" s="11" t="s">
        <v>1</v>
      </c>
      <c r="D44" s="10" t="s">
        <v>5</v>
      </c>
      <c r="E44" s="10" t="s">
        <v>6</v>
      </c>
      <c r="F44" s="10" t="s">
        <v>7</v>
      </c>
      <c r="G44" s="19"/>
    </row>
    <row r="45" spans="1:14" ht="13.5" thickTop="1" x14ac:dyDescent="0.2">
      <c r="A45" s="17"/>
      <c r="B45" s="5"/>
      <c r="C45" s="8"/>
      <c r="D45" s="6"/>
      <c r="E45" s="9"/>
      <c r="F45" s="7"/>
      <c r="G45" s="19"/>
    </row>
    <row r="46" spans="1:14" x14ac:dyDescent="0.2">
      <c r="A46" s="17"/>
      <c r="B46" s="5"/>
      <c r="C46" s="8"/>
      <c r="D46" s="6"/>
      <c r="E46" s="9"/>
      <c r="F46" s="7"/>
      <c r="G46" s="19"/>
    </row>
    <row r="47" spans="1:14" x14ac:dyDescent="0.2">
      <c r="A47" s="17"/>
      <c r="B47" s="5"/>
      <c r="C47" s="8"/>
      <c r="D47" s="6"/>
      <c r="E47" s="9"/>
      <c r="F47" s="7"/>
      <c r="G47" s="19"/>
    </row>
    <row r="48" spans="1:14" x14ac:dyDescent="0.2">
      <c r="A48" s="17"/>
      <c r="B48" s="5"/>
      <c r="C48" s="8"/>
      <c r="D48" s="6"/>
      <c r="E48" s="9"/>
      <c r="F48" s="7"/>
      <c r="G48" s="19"/>
    </row>
    <row r="49" spans="1:7" x14ac:dyDescent="0.2">
      <c r="A49" s="17"/>
      <c r="B49" s="5"/>
      <c r="C49" s="8"/>
      <c r="D49" s="6"/>
      <c r="E49" s="9"/>
      <c r="F49" s="7"/>
      <c r="G49" s="19"/>
    </row>
    <row r="50" spans="1:7" x14ac:dyDescent="0.2">
      <c r="A50" s="17"/>
      <c r="B50" s="5"/>
      <c r="C50" s="8"/>
      <c r="D50" s="6"/>
      <c r="E50" s="9"/>
      <c r="F50" s="7"/>
      <c r="G50" s="19"/>
    </row>
    <row r="51" spans="1:7" x14ac:dyDescent="0.2">
      <c r="A51" s="17"/>
      <c r="B51" s="5"/>
      <c r="C51" s="8"/>
      <c r="D51" s="6"/>
      <c r="E51" s="9"/>
      <c r="F51" s="7"/>
      <c r="G51" s="19"/>
    </row>
    <row r="52" spans="1:7" x14ac:dyDescent="0.2">
      <c r="A52" s="17"/>
      <c r="B52" s="5"/>
      <c r="C52" s="8"/>
      <c r="D52" s="6"/>
      <c r="E52" s="9"/>
      <c r="F52" s="7"/>
      <c r="G52" s="19"/>
    </row>
    <row r="53" spans="1:7" x14ac:dyDescent="0.2">
      <c r="A53" s="17"/>
      <c r="B53" s="5"/>
      <c r="C53" s="8"/>
      <c r="D53" s="6"/>
      <c r="E53" s="9"/>
      <c r="F53" s="7"/>
      <c r="G53" s="19"/>
    </row>
    <row r="54" spans="1:7" x14ac:dyDescent="0.2">
      <c r="A54" s="17"/>
      <c r="B54" s="5"/>
      <c r="C54" s="8"/>
      <c r="D54" s="6"/>
      <c r="E54" s="9"/>
      <c r="F54" s="7"/>
      <c r="G54" s="19"/>
    </row>
    <row r="55" spans="1:7" x14ac:dyDescent="0.2">
      <c r="A55" s="17"/>
      <c r="B55" s="5"/>
      <c r="C55" s="8"/>
      <c r="D55" s="6"/>
      <c r="E55" s="9"/>
      <c r="F55" s="7"/>
      <c r="G55" s="19"/>
    </row>
    <row r="56" spans="1:7" x14ac:dyDescent="0.2">
      <c r="A56" s="17"/>
      <c r="B56" s="5"/>
      <c r="C56" s="8"/>
      <c r="D56" s="6"/>
      <c r="E56" s="9"/>
      <c r="F56" s="7"/>
      <c r="G56" s="19"/>
    </row>
    <row r="57" spans="1:7" x14ac:dyDescent="0.2">
      <c r="A57" s="17"/>
      <c r="B57" s="5"/>
      <c r="C57" s="8"/>
      <c r="D57" s="6"/>
      <c r="E57" s="9"/>
      <c r="F57" s="7"/>
      <c r="G57" s="19"/>
    </row>
    <row r="58" spans="1:7" x14ac:dyDescent="0.2">
      <c r="A58" s="17"/>
      <c r="B58" s="5"/>
      <c r="C58" s="8"/>
      <c r="D58" s="6"/>
      <c r="E58" s="9"/>
      <c r="F58" s="7"/>
      <c r="G58" s="19"/>
    </row>
    <row r="59" spans="1:7" x14ac:dyDescent="0.2">
      <c r="A59" s="17"/>
      <c r="B59" s="5"/>
      <c r="C59" s="8"/>
      <c r="D59" s="6"/>
      <c r="E59" s="9"/>
      <c r="F59" s="7"/>
      <c r="G59" s="19"/>
    </row>
    <row r="60" spans="1:7" x14ac:dyDescent="0.2">
      <c r="A60" s="17"/>
      <c r="B60" s="5"/>
      <c r="C60" s="8"/>
      <c r="D60" s="6"/>
      <c r="E60" s="9"/>
      <c r="F60" s="7"/>
      <c r="G60" s="19"/>
    </row>
    <row r="61" spans="1:7" x14ac:dyDescent="0.2">
      <c r="A61" s="17"/>
      <c r="B61" s="5"/>
      <c r="C61" s="8"/>
      <c r="D61" s="6"/>
      <c r="E61" s="9"/>
      <c r="F61" s="7"/>
      <c r="G61" s="19"/>
    </row>
    <row r="62" spans="1:7" x14ac:dyDescent="0.2">
      <c r="A62" s="17"/>
      <c r="B62" s="5"/>
      <c r="C62" s="8"/>
      <c r="D62" s="6"/>
      <c r="E62" s="9"/>
      <c r="F62" s="7"/>
      <c r="G62" s="19"/>
    </row>
    <row r="63" spans="1:7" x14ac:dyDescent="0.2">
      <c r="A63" s="17"/>
      <c r="B63" s="5"/>
      <c r="C63" s="8"/>
      <c r="D63" s="6"/>
      <c r="E63" s="9"/>
      <c r="F63" s="7"/>
      <c r="G63" s="19"/>
    </row>
    <row r="64" spans="1:7" ht="13.5" thickBot="1" x14ac:dyDescent="0.25">
      <c r="A64" s="17"/>
      <c r="B64" s="5"/>
      <c r="C64" s="8"/>
      <c r="D64" s="6"/>
      <c r="E64" s="9"/>
      <c r="F64" s="7"/>
      <c r="G64" s="19"/>
    </row>
    <row r="65" spans="1:7" ht="13.5" thickBot="1" x14ac:dyDescent="0.25">
      <c r="A65" s="17"/>
      <c r="B65" s="24"/>
      <c r="C65" s="3" t="s">
        <v>3</v>
      </c>
      <c r="D65" s="4">
        <f>SUM(D45:D64)</f>
        <v>0</v>
      </c>
      <c r="E65" s="18"/>
      <c r="F65" s="18"/>
      <c r="G65" s="19"/>
    </row>
    <row r="66" spans="1:7" ht="13.5" thickBot="1" x14ac:dyDescent="0.25">
      <c r="A66" s="17"/>
      <c r="B66" s="26"/>
      <c r="C66" s="18"/>
      <c r="D66" s="18"/>
      <c r="E66" s="18"/>
      <c r="F66" s="18"/>
      <c r="G66" s="19"/>
    </row>
    <row r="67" spans="1:7" ht="19.5" thickBot="1" x14ac:dyDescent="0.35">
      <c r="A67" s="17"/>
      <c r="B67" s="45" t="s">
        <v>10</v>
      </c>
      <c r="C67" s="46"/>
      <c r="D67" s="46"/>
      <c r="E67" s="46"/>
      <c r="F67" s="47"/>
      <c r="G67" s="19"/>
    </row>
    <row r="68" spans="1:7" ht="16.5" thickBot="1" x14ac:dyDescent="0.3">
      <c r="A68" s="17"/>
      <c r="B68" s="22"/>
      <c r="C68" s="22"/>
      <c r="D68" s="22"/>
      <c r="E68" s="22"/>
      <c r="F68" s="22"/>
      <c r="G68" s="19"/>
    </row>
    <row r="69" spans="1:7" ht="33" thickTop="1" thickBot="1" x14ac:dyDescent="0.25">
      <c r="A69" s="23" t="s">
        <v>20</v>
      </c>
      <c r="B69" s="42" t="s">
        <v>0</v>
      </c>
      <c r="C69" s="43" t="s">
        <v>1</v>
      </c>
      <c r="D69" s="42" t="s">
        <v>5</v>
      </c>
      <c r="E69" s="42" t="s">
        <v>6</v>
      </c>
      <c r="F69" s="42" t="s">
        <v>7</v>
      </c>
      <c r="G69" s="19"/>
    </row>
    <row r="70" spans="1:7" ht="13.5" thickTop="1" x14ac:dyDescent="0.2">
      <c r="A70" s="17"/>
      <c r="B70" s="5"/>
      <c r="C70" s="8"/>
      <c r="D70" s="6"/>
      <c r="E70" s="9"/>
      <c r="F70" s="7"/>
      <c r="G70" s="19"/>
    </row>
    <row r="71" spans="1:7" x14ac:dyDescent="0.2">
      <c r="A71" s="17"/>
      <c r="B71" s="5"/>
      <c r="C71" s="8"/>
      <c r="D71" s="6"/>
      <c r="E71" s="9"/>
      <c r="F71" s="7"/>
      <c r="G71" s="19"/>
    </row>
    <row r="72" spans="1:7" x14ac:dyDescent="0.2">
      <c r="A72" s="17"/>
      <c r="B72" s="5"/>
      <c r="C72" s="8"/>
      <c r="D72" s="6"/>
      <c r="E72" s="9"/>
      <c r="F72" s="7"/>
      <c r="G72" s="19"/>
    </row>
    <row r="73" spans="1:7" x14ac:dyDescent="0.2">
      <c r="A73" s="17"/>
      <c r="B73" s="5"/>
      <c r="C73" s="8"/>
      <c r="D73" s="6"/>
      <c r="E73" s="9"/>
      <c r="F73" s="7"/>
      <c r="G73" s="19"/>
    </row>
    <row r="74" spans="1:7" x14ac:dyDescent="0.2">
      <c r="A74" s="17"/>
      <c r="B74" s="5"/>
      <c r="C74" s="8"/>
      <c r="D74" s="6"/>
      <c r="E74" s="9"/>
      <c r="F74" s="7"/>
      <c r="G74" s="19"/>
    </row>
    <row r="75" spans="1:7" x14ac:dyDescent="0.2">
      <c r="A75" s="17"/>
      <c r="B75" s="5"/>
      <c r="C75" s="8"/>
      <c r="D75" s="6"/>
      <c r="E75" s="9"/>
      <c r="F75" s="7"/>
      <c r="G75" s="19"/>
    </row>
    <row r="76" spans="1:7" x14ac:dyDescent="0.2">
      <c r="A76" s="17"/>
      <c r="B76" s="5"/>
      <c r="C76" s="8"/>
      <c r="D76" s="6"/>
      <c r="E76" s="9"/>
      <c r="F76" s="7"/>
      <c r="G76" s="19"/>
    </row>
    <row r="77" spans="1:7" x14ac:dyDescent="0.2">
      <c r="A77" s="17"/>
      <c r="B77" s="5"/>
      <c r="C77" s="8"/>
      <c r="D77" s="6"/>
      <c r="E77" s="9"/>
      <c r="F77" s="7"/>
      <c r="G77" s="19"/>
    </row>
    <row r="78" spans="1:7" x14ac:dyDescent="0.2">
      <c r="A78" s="17"/>
      <c r="B78" s="5"/>
      <c r="C78" s="8"/>
      <c r="D78" s="6"/>
      <c r="E78" s="9"/>
      <c r="F78" s="7"/>
      <c r="G78" s="19"/>
    </row>
    <row r="79" spans="1:7" x14ac:dyDescent="0.2">
      <c r="A79" s="17"/>
      <c r="B79" s="5"/>
      <c r="C79" s="8"/>
      <c r="D79" s="6"/>
      <c r="E79" s="9"/>
      <c r="F79" s="7"/>
      <c r="G79" s="19"/>
    </row>
    <row r="80" spans="1:7" x14ac:dyDescent="0.2">
      <c r="A80" s="17"/>
      <c r="B80" s="5"/>
      <c r="C80" s="8"/>
      <c r="D80" s="6"/>
      <c r="E80" s="9"/>
      <c r="F80" s="7"/>
      <c r="G80" s="19"/>
    </row>
    <row r="81" spans="1:7" x14ac:dyDescent="0.2">
      <c r="A81" s="17"/>
      <c r="B81" s="5"/>
      <c r="C81" s="8"/>
      <c r="D81" s="6"/>
      <c r="E81" s="9"/>
      <c r="F81" s="7"/>
      <c r="G81" s="19"/>
    </row>
    <row r="82" spans="1:7" x14ac:dyDescent="0.2">
      <c r="A82" s="17"/>
      <c r="B82" s="5"/>
      <c r="C82" s="8"/>
      <c r="D82" s="6"/>
      <c r="E82" s="9"/>
      <c r="F82" s="7"/>
      <c r="G82" s="19"/>
    </row>
    <row r="83" spans="1:7" x14ac:dyDescent="0.2">
      <c r="A83" s="17"/>
      <c r="B83" s="5"/>
      <c r="C83" s="8"/>
      <c r="D83" s="6"/>
      <c r="E83" s="9"/>
      <c r="F83" s="7"/>
      <c r="G83" s="19"/>
    </row>
    <row r="84" spans="1:7" x14ac:dyDescent="0.2">
      <c r="A84" s="17"/>
      <c r="B84" s="5"/>
      <c r="C84" s="8"/>
      <c r="D84" s="6"/>
      <c r="E84" s="9"/>
      <c r="F84" s="7"/>
      <c r="G84" s="19"/>
    </row>
    <row r="85" spans="1:7" x14ac:dyDescent="0.2">
      <c r="A85" s="17"/>
      <c r="B85" s="5"/>
      <c r="C85" s="8"/>
      <c r="D85" s="6"/>
      <c r="E85" s="9"/>
      <c r="F85" s="7"/>
      <c r="G85" s="19"/>
    </row>
    <row r="86" spans="1:7" x14ac:dyDescent="0.2">
      <c r="A86" s="17"/>
      <c r="B86" s="5"/>
      <c r="C86" s="8"/>
      <c r="D86" s="6"/>
      <c r="E86" s="9"/>
      <c r="F86" s="7"/>
      <c r="G86" s="19"/>
    </row>
    <row r="87" spans="1:7" x14ac:dyDescent="0.2">
      <c r="A87" s="17"/>
      <c r="B87" s="5"/>
      <c r="C87" s="8"/>
      <c r="D87" s="6"/>
      <c r="E87" s="9"/>
      <c r="F87" s="7"/>
      <c r="G87" s="19"/>
    </row>
    <row r="88" spans="1:7" x14ac:dyDescent="0.2">
      <c r="A88" s="17"/>
      <c r="B88" s="5"/>
      <c r="C88" s="8"/>
      <c r="D88" s="6"/>
      <c r="E88" s="9"/>
      <c r="F88" s="7"/>
      <c r="G88" s="19"/>
    </row>
    <row r="89" spans="1:7" ht="13.5" thickBot="1" x14ac:dyDescent="0.25">
      <c r="A89" s="17"/>
      <c r="B89" s="5"/>
      <c r="C89" s="8"/>
      <c r="D89" s="6"/>
      <c r="E89" s="9"/>
      <c r="F89" s="7"/>
      <c r="G89" s="19"/>
    </row>
    <row r="90" spans="1:7" ht="13.5" thickBot="1" x14ac:dyDescent="0.25">
      <c r="A90" s="17"/>
      <c r="B90" s="18"/>
      <c r="C90" s="3" t="s">
        <v>3</v>
      </c>
      <c r="D90" s="4">
        <f>SUM(D70:D89)</f>
        <v>0</v>
      </c>
      <c r="E90" s="18"/>
      <c r="F90" s="18"/>
      <c r="G90" s="19"/>
    </row>
    <row r="91" spans="1:7" x14ac:dyDescent="0.2">
      <c r="A91" s="17"/>
      <c r="B91" s="18"/>
      <c r="C91" s="18"/>
      <c r="D91" s="18"/>
      <c r="E91" s="18"/>
      <c r="F91" s="18"/>
      <c r="G91" s="19"/>
    </row>
    <row r="92" spans="1:7" ht="13.5" thickBot="1" x14ac:dyDescent="0.25">
      <c r="A92" s="17"/>
      <c r="B92" s="18"/>
      <c r="C92" s="18"/>
      <c r="D92" s="18"/>
      <c r="E92" s="18"/>
      <c r="F92" s="18"/>
      <c r="G92" s="19"/>
    </row>
    <row r="93" spans="1:7" ht="19.5" thickBot="1" x14ac:dyDescent="0.35">
      <c r="A93" s="23" t="s">
        <v>20</v>
      </c>
      <c r="B93" s="45" t="s">
        <v>11</v>
      </c>
      <c r="C93" s="46"/>
      <c r="D93" s="46"/>
      <c r="E93" s="46"/>
      <c r="F93" s="47"/>
      <c r="G93" s="19"/>
    </row>
    <row r="94" spans="1:7" ht="16.5" thickBot="1" x14ac:dyDescent="0.3">
      <c r="A94" s="17"/>
      <c r="B94" s="22"/>
      <c r="C94" s="22"/>
      <c r="D94" s="22"/>
      <c r="E94" s="22"/>
      <c r="F94" s="22"/>
      <c r="G94" s="19"/>
    </row>
    <row r="95" spans="1:7" ht="33" thickTop="1" thickBot="1" x14ac:dyDescent="0.25">
      <c r="A95" s="17"/>
      <c r="B95" s="42" t="s">
        <v>0</v>
      </c>
      <c r="C95" s="43" t="s">
        <v>1</v>
      </c>
      <c r="D95" s="42" t="s">
        <v>5</v>
      </c>
      <c r="E95" s="42" t="s">
        <v>6</v>
      </c>
      <c r="F95" s="42" t="s">
        <v>7</v>
      </c>
      <c r="G95" s="19"/>
    </row>
    <row r="96" spans="1:7" ht="13.5" thickTop="1" x14ac:dyDescent="0.2">
      <c r="A96" s="17"/>
      <c r="B96" s="5"/>
      <c r="C96" s="8"/>
      <c r="D96" s="6"/>
      <c r="E96" s="9"/>
      <c r="F96" s="7"/>
      <c r="G96" s="19"/>
    </row>
    <row r="97" spans="1:7" x14ac:dyDescent="0.2">
      <c r="A97" s="17"/>
      <c r="B97" s="5"/>
      <c r="C97" s="8"/>
      <c r="D97" s="6"/>
      <c r="E97" s="9"/>
      <c r="F97" s="7"/>
      <c r="G97" s="19"/>
    </row>
    <row r="98" spans="1:7" x14ac:dyDescent="0.2">
      <c r="A98" s="17"/>
      <c r="B98" s="5"/>
      <c r="C98" s="8"/>
      <c r="D98" s="6"/>
      <c r="E98" s="9"/>
      <c r="F98" s="7"/>
      <c r="G98" s="19"/>
    </row>
    <row r="99" spans="1:7" x14ac:dyDescent="0.2">
      <c r="A99" s="17"/>
      <c r="B99" s="5"/>
      <c r="C99" s="8"/>
      <c r="D99" s="6"/>
      <c r="E99" s="9"/>
      <c r="F99" s="7"/>
      <c r="G99" s="19"/>
    </row>
    <row r="100" spans="1:7" x14ac:dyDescent="0.2">
      <c r="A100" s="17"/>
      <c r="B100" s="5"/>
      <c r="C100" s="8"/>
      <c r="D100" s="6"/>
      <c r="E100" s="9"/>
      <c r="F100" s="7"/>
      <c r="G100" s="19"/>
    </row>
    <row r="101" spans="1:7" x14ac:dyDescent="0.2">
      <c r="A101" s="17"/>
      <c r="B101" s="5"/>
      <c r="C101" s="8"/>
      <c r="D101" s="6"/>
      <c r="E101" s="9"/>
      <c r="F101" s="7"/>
      <c r="G101" s="19"/>
    </row>
    <row r="102" spans="1:7" x14ac:dyDescent="0.2">
      <c r="A102" s="17"/>
      <c r="B102" s="5"/>
      <c r="C102" s="8"/>
      <c r="D102" s="6"/>
      <c r="E102" s="9"/>
      <c r="F102" s="7"/>
      <c r="G102" s="19"/>
    </row>
    <row r="103" spans="1:7" x14ac:dyDescent="0.2">
      <c r="A103" s="17"/>
      <c r="B103" s="5"/>
      <c r="C103" s="8"/>
      <c r="D103" s="6"/>
      <c r="E103" s="9"/>
      <c r="F103" s="7"/>
      <c r="G103" s="19"/>
    </row>
    <row r="104" spans="1:7" x14ac:dyDescent="0.2">
      <c r="A104" s="17"/>
      <c r="B104" s="5"/>
      <c r="C104" s="8"/>
      <c r="D104" s="6"/>
      <c r="E104" s="9"/>
      <c r="F104" s="7"/>
      <c r="G104" s="19"/>
    </row>
    <row r="105" spans="1:7" x14ac:dyDescent="0.2">
      <c r="A105" s="17"/>
      <c r="B105" s="5"/>
      <c r="C105" s="8"/>
      <c r="D105" s="6"/>
      <c r="E105" s="9"/>
      <c r="F105" s="7"/>
      <c r="G105" s="19"/>
    </row>
    <row r="106" spans="1:7" x14ac:dyDescent="0.2">
      <c r="A106" s="17"/>
      <c r="B106" s="5"/>
      <c r="C106" s="8"/>
      <c r="D106" s="6"/>
      <c r="E106" s="9"/>
      <c r="F106" s="7"/>
      <c r="G106" s="19"/>
    </row>
    <row r="107" spans="1:7" x14ac:dyDescent="0.2">
      <c r="A107" s="17"/>
      <c r="B107" s="5"/>
      <c r="C107" s="8"/>
      <c r="D107" s="6"/>
      <c r="E107" s="9"/>
      <c r="F107" s="7"/>
      <c r="G107" s="19"/>
    </row>
    <row r="108" spans="1:7" x14ac:dyDescent="0.2">
      <c r="A108" s="17"/>
      <c r="B108" s="5"/>
      <c r="C108" s="8"/>
      <c r="D108" s="6"/>
      <c r="E108" s="9"/>
      <c r="F108" s="7"/>
      <c r="G108" s="19"/>
    </row>
    <row r="109" spans="1:7" x14ac:dyDescent="0.2">
      <c r="A109" s="17"/>
      <c r="B109" s="5"/>
      <c r="C109" s="8"/>
      <c r="D109" s="6"/>
      <c r="E109" s="9"/>
      <c r="F109" s="7"/>
      <c r="G109" s="19"/>
    </row>
    <row r="110" spans="1:7" x14ac:dyDescent="0.2">
      <c r="A110" s="17"/>
      <c r="B110" s="5"/>
      <c r="C110" s="8"/>
      <c r="D110" s="6"/>
      <c r="E110" s="9"/>
      <c r="F110" s="7"/>
      <c r="G110" s="19"/>
    </row>
    <row r="111" spans="1:7" x14ac:dyDescent="0.2">
      <c r="A111" s="17"/>
      <c r="B111" s="5"/>
      <c r="C111" s="8"/>
      <c r="D111" s="6"/>
      <c r="E111" s="9"/>
      <c r="F111" s="7"/>
      <c r="G111" s="19"/>
    </row>
    <row r="112" spans="1:7" x14ac:dyDescent="0.2">
      <c r="A112" s="17"/>
      <c r="B112" s="5"/>
      <c r="C112" s="8"/>
      <c r="D112" s="6"/>
      <c r="E112" s="9"/>
      <c r="F112" s="7"/>
      <c r="G112" s="19"/>
    </row>
    <row r="113" spans="1:7" x14ac:dyDescent="0.2">
      <c r="A113" s="17"/>
      <c r="B113" s="5"/>
      <c r="C113" s="8"/>
      <c r="D113" s="6"/>
      <c r="E113" s="9"/>
      <c r="F113" s="7"/>
      <c r="G113" s="19"/>
    </row>
    <row r="114" spans="1:7" x14ac:dyDescent="0.2">
      <c r="A114" s="17"/>
      <c r="B114" s="5"/>
      <c r="C114" s="8"/>
      <c r="D114" s="6"/>
      <c r="E114" s="9"/>
      <c r="F114" s="7"/>
      <c r="G114" s="19"/>
    </row>
    <row r="115" spans="1:7" ht="13.5" thickBot="1" x14ac:dyDescent="0.25">
      <c r="A115" s="17"/>
      <c r="B115" s="5"/>
      <c r="C115" s="8"/>
      <c r="D115" s="6"/>
      <c r="E115" s="9"/>
      <c r="F115" s="7"/>
      <c r="G115" s="19"/>
    </row>
    <row r="116" spans="1:7" ht="13.5" thickBot="1" x14ac:dyDescent="0.25">
      <c r="A116" s="17"/>
      <c r="B116" s="18"/>
      <c r="C116" s="3" t="s">
        <v>3</v>
      </c>
      <c r="D116" s="4">
        <f>SUM(D96:D115)</f>
        <v>0</v>
      </c>
      <c r="E116" s="18"/>
      <c r="F116" s="18"/>
      <c r="G116" s="19"/>
    </row>
    <row r="117" spans="1:7" ht="13.5" thickBot="1" x14ac:dyDescent="0.25">
      <c r="A117" s="27"/>
      <c r="B117" s="28"/>
      <c r="C117" s="28"/>
      <c r="D117" s="28"/>
      <c r="E117" s="28"/>
      <c r="F117" s="28"/>
      <c r="G117" s="29"/>
    </row>
    <row r="118" spans="1:7" ht="13.5" thickTop="1" x14ac:dyDescent="0.2"/>
  </sheetData>
  <mergeCells count="5">
    <mergeCell ref="B2:F2"/>
    <mergeCell ref="B67:F67"/>
    <mergeCell ref="B93:F93"/>
    <mergeCell ref="B16:F16"/>
    <mergeCell ref="B42:F42"/>
  </mergeCells>
  <phoneticPr fontId="0" type="noConversion"/>
  <pageMargins left="0.39370078740157483" right="0.19685039370078741" top="0.47244094488188981" bottom="0.51181102362204722" header="0.27559055118110237" footer="0.31496062992125984"/>
  <pageSetup paperSize="9" scale="72" fitToHeight="0" orientation="portrait" r:id="rId1"/>
  <headerFooter alignWithMargins="0">
    <oddHeader>&amp;L&amp;"Arial,Negrita Cursiva"&amp;UPlantillas ABACO BPO (abaco200.es)</oddHeader>
    <oddFooter>&amp;L&amp;D&amp;C&amp;P / &amp;N&amp;R&amp;F   &amp;A</oddFooter>
  </headerFooter>
  <rowBreaks count="1" manualBreakCount="1">
    <brk id="66" max="16383" man="1"/>
  </rowBreaks>
  <colBreaks count="1" manualBreakCount="1">
    <brk id="13" min="8" max="58" man="1"/>
  </colBreaks>
  <customProperties>
    <customPr name="DVSECTION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V20"/>
  <sheetViews>
    <sheetView workbookViewId="0">
      <selection activeCell="F17" sqref="F17"/>
    </sheetView>
  </sheetViews>
  <sheetFormatPr defaultColWidth="11.42578125" defaultRowHeight="12.75" x14ac:dyDescent="0.2"/>
  <sheetData>
    <row r="1" spans="1:256" x14ac:dyDescent="0.2">
      <c r="A1">
        <f>IF(Conciliación!2:2,"AAAAAF7/zQA=",0)</f>
        <v>0</v>
      </c>
      <c r="B1" t="e">
        <f>AND(Conciliación!B2,"AAAAAF7/zQE=")</f>
        <v>#VALUE!</v>
      </c>
      <c r="C1" t="e">
        <f>AND(Conciliación!C2,"AAAAAF7/zQI=")</f>
        <v>#VALUE!</v>
      </c>
      <c r="D1" t="e">
        <f>AND(Conciliación!D2,"AAAAAF7/zQM=")</f>
        <v>#VALUE!</v>
      </c>
      <c r="E1" t="e">
        <f>AND(Conciliación!E2,"AAAAAF7/zQQ=")</f>
        <v>#VALUE!</v>
      </c>
      <c r="F1" t="e">
        <f>AND(Conciliación!F2,"AAAAAF7/zQU=")</f>
        <v>#VALUE!</v>
      </c>
      <c r="G1" t="e">
        <f>AND(Conciliación!G2,"AAAAAF7/zQY=")</f>
        <v>#VALUE!</v>
      </c>
      <c r="H1" t="e">
        <f>AND(Conciliación!H2,"AAAAAF7/zQc=")</f>
        <v>#VALUE!</v>
      </c>
      <c r="I1" t="e">
        <f>AND(Conciliación!I2,"AAAAAF7/zQg=")</f>
        <v>#VALUE!</v>
      </c>
      <c r="J1" t="e">
        <f>AND(Conciliación!J2,"AAAAAF7/zQk=")</f>
        <v>#VALUE!</v>
      </c>
      <c r="K1" t="e">
        <f>AND(Conciliación!K2,"AAAAAF7/zQo=")</f>
        <v>#VALUE!</v>
      </c>
      <c r="L1" t="e">
        <f>AND(Conciliación!L2,"AAAAAF7/zQs=")</f>
        <v>#VALUE!</v>
      </c>
      <c r="M1" t="e">
        <f>AND(Conciliación!M2,"AAAAAF7/zQw=")</f>
        <v>#VALUE!</v>
      </c>
      <c r="N1" t="e">
        <f>AND(Conciliación!N2,"AAAAAF7/zQ0=")</f>
        <v>#VALUE!</v>
      </c>
      <c r="O1">
        <f>IF(Conciliación!3:3,"AAAAAF7/zQ4=",0)</f>
        <v>0</v>
      </c>
      <c r="P1" t="e">
        <f>AND(Conciliación!B3,"AAAAAF7/zQ8=")</f>
        <v>#VALUE!</v>
      </c>
      <c r="Q1" t="e">
        <f>AND(Conciliación!C3,"AAAAAF7/zRA=")</f>
        <v>#VALUE!</v>
      </c>
      <c r="R1" t="e">
        <f>AND(Conciliación!D3,"AAAAAF7/zRE=")</f>
        <v>#VALUE!</v>
      </c>
      <c r="S1" t="e">
        <f>AND(Conciliación!E3,"AAAAAF7/zRI=")</f>
        <v>#VALUE!</v>
      </c>
      <c r="T1" t="e">
        <f>AND(Conciliación!F3,"AAAAAF7/zRM=")</f>
        <v>#VALUE!</v>
      </c>
      <c r="U1" t="e">
        <f>AND(Conciliación!G3,"AAAAAF7/zRQ=")</f>
        <v>#VALUE!</v>
      </c>
      <c r="V1" t="e">
        <f>AND(Conciliación!H3,"AAAAAF7/zRU=")</f>
        <v>#VALUE!</v>
      </c>
      <c r="W1" t="e">
        <f>AND(Conciliación!I3,"AAAAAF7/zRY=")</f>
        <v>#VALUE!</v>
      </c>
      <c r="X1" t="e">
        <f>AND(Conciliación!J3,"AAAAAF7/zRc=")</f>
        <v>#VALUE!</v>
      </c>
      <c r="Y1" t="e">
        <f>AND(Conciliación!K3,"AAAAAF7/zRg=")</f>
        <v>#VALUE!</v>
      </c>
      <c r="Z1" t="e">
        <f>AND(Conciliación!L3,"AAAAAF7/zRk=")</f>
        <v>#VALUE!</v>
      </c>
      <c r="AA1" t="e">
        <f>AND(Conciliación!M3,"AAAAAF7/zRo=")</f>
        <v>#VALUE!</v>
      </c>
      <c r="AB1" t="e">
        <f>AND(Conciliación!N3,"AAAAAF7/zRs=")</f>
        <v>#VALUE!</v>
      </c>
      <c r="AC1">
        <f>IF(Conciliación!4:4,"AAAAAF7/zRw=",0)</f>
        <v>0</v>
      </c>
      <c r="AD1" t="e">
        <f>AND(Conciliación!B4,"AAAAAF7/zR0=")</f>
        <v>#VALUE!</v>
      </c>
      <c r="AE1" t="e">
        <f>AND(Conciliación!C4,"AAAAAF7/zR4=")</f>
        <v>#VALUE!</v>
      </c>
      <c r="AF1" t="e">
        <f>AND(Conciliación!D4,"AAAAAF7/zR8=")</f>
        <v>#VALUE!</v>
      </c>
      <c r="AG1" t="e">
        <f>AND(Conciliación!E4,"AAAAAF7/zSA=")</f>
        <v>#VALUE!</v>
      </c>
      <c r="AH1" t="e">
        <f>AND(Conciliación!F4,"AAAAAF7/zSE=")</f>
        <v>#VALUE!</v>
      </c>
      <c r="AI1" t="e">
        <f>AND(Conciliación!G4,"AAAAAF7/zSI=")</f>
        <v>#VALUE!</v>
      </c>
      <c r="AJ1" t="e">
        <f>AND(Conciliación!H4,"AAAAAF7/zSM=")</f>
        <v>#VALUE!</v>
      </c>
      <c r="AK1" t="e">
        <f>AND(Conciliación!I4,"AAAAAF7/zSQ=")</f>
        <v>#VALUE!</v>
      </c>
      <c r="AL1" t="e">
        <f>AND(Conciliación!J4,"AAAAAF7/zSU=")</f>
        <v>#VALUE!</v>
      </c>
      <c r="AM1" t="e">
        <f>AND(Conciliación!K4,"AAAAAF7/zSY=")</f>
        <v>#VALUE!</v>
      </c>
      <c r="AN1" t="e">
        <f>AND(Conciliación!L4,"AAAAAF7/zSc=")</f>
        <v>#VALUE!</v>
      </c>
      <c r="AO1" t="e">
        <f>AND(Conciliación!M4,"AAAAAF7/zSg=")</f>
        <v>#VALUE!</v>
      </c>
      <c r="AP1" t="e">
        <f>AND(Conciliación!N4,"AAAAAF7/zSk=")</f>
        <v>#VALUE!</v>
      </c>
      <c r="AQ1">
        <f>IF(Conciliación!5:5,"AAAAAF7/zSo=",0)</f>
        <v>0</v>
      </c>
      <c r="AR1" t="e">
        <f>AND(Conciliación!B5,"AAAAAF7/zSs=")</f>
        <v>#VALUE!</v>
      </c>
      <c r="AS1" t="e">
        <f>AND(Conciliación!C5,"AAAAAF7/zSw=")</f>
        <v>#VALUE!</v>
      </c>
      <c r="AT1" t="e">
        <f>AND(Conciliación!D5,"AAAAAF7/zS0=")</f>
        <v>#VALUE!</v>
      </c>
      <c r="AU1" t="e">
        <f>AND(Conciliación!E5,"AAAAAF7/zS4=")</f>
        <v>#VALUE!</v>
      </c>
      <c r="AV1" t="e">
        <f>AND(Conciliación!F5,"AAAAAF7/zS8=")</f>
        <v>#VALUE!</v>
      </c>
      <c r="AW1" t="e">
        <f>AND(Conciliación!G5,"AAAAAF7/zTA=")</f>
        <v>#VALUE!</v>
      </c>
      <c r="AX1" t="e">
        <f>AND(Conciliación!H5,"AAAAAF7/zTE=")</f>
        <v>#VALUE!</v>
      </c>
      <c r="AY1" t="e">
        <f>AND(Conciliación!I5,"AAAAAF7/zTI=")</f>
        <v>#VALUE!</v>
      </c>
      <c r="AZ1" t="e">
        <f>AND(Conciliación!J5,"AAAAAF7/zTM=")</f>
        <v>#VALUE!</v>
      </c>
      <c r="BA1" t="e">
        <f>AND(Conciliación!K5,"AAAAAF7/zTQ=")</f>
        <v>#VALUE!</v>
      </c>
      <c r="BB1" t="e">
        <f>AND(Conciliación!L5,"AAAAAF7/zTU=")</f>
        <v>#VALUE!</v>
      </c>
      <c r="BC1" t="e">
        <f>AND(Conciliación!M5,"AAAAAF7/zTY=")</f>
        <v>#VALUE!</v>
      </c>
      <c r="BD1" t="e">
        <f>AND(Conciliación!N5,"AAAAAF7/zTc=")</f>
        <v>#VALUE!</v>
      </c>
      <c r="BE1">
        <f>IF(Conciliación!7:7,"AAAAAF7/zTg=",0)</f>
        <v>0</v>
      </c>
      <c r="BF1" t="e">
        <f>AND(Conciliación!B7,"AAAAAF7/zTk=")</f>
        <v>#VALUE!</v>
      </c>
      <c r="BG1" t="e">
        <f>AND(Conciliación!C7,"AAAAAF7/zTo=")</f>
        <v>#VALUE!</v>
      </c>
      <c r="BH1" t="e">
        <f>AND(Conciliación!D7,"AAAAAF7/zTs=")</f>
        <v>#VALUE!</v>
      </c>
      <c r="BI1" t="e">
        <f>AND(Conciliación!E6,"AAAAAF7/zTw=")</f>
        <v>#VALUE!</v>
      </c>
      <c r="BJ1" t="e">
        <f>AND(Conciliación!F6,"AAAAAF7/zT0=")</f>
        <v>#VALUE!</v>
      </c>
      <c r="BK1" t="e">
        <f>AND(Conciliación!G7,"AAAAAF7/zT4=")</f>
        <v>#VALUE!</v>
      </c>
      <c r="BL1" t="e">
        <f>AND(Conciliación!H7,"AAAAAF7/zT8=")</f>
        <v>#VALUE!</v>
      </c>
      <c r="BM1" t="e">
        <f>AND(Conciliación!I7,"AAAAAF7/zUA=")</f>
        <v>#VALUE!</v>
      </c>
      <c r="BN1" t="e">
        <f>AND(Conciliación!J7,"AAAAAF7/zUE=")</f>
        <v>#VALUE!</v>
      </c>
      <c r="BO1" t="e">
        <f>AND(Conciliación!K7,"AAAAAF7/zUI=")</f>
        <v>#VALUE!</v>
      </c>
      <c r="BP1" t="e">
        <f>AND(Conciliación!L7,"AAAAAF7/zUM=")</f>
        <v>#VALUE!</v>
      </c>
      <c r="BQ1" t="e">
        <f>AND(Conciliación!M7,"AAAAAF7/zUQ=")</f>
        <v>#VALUE!</v>
      </c>
      <c r="BR1" t="e">
        <f>AND(Conciliación!N7,"AAAAAF7/zUU=")</f>
        <v>#VALUE!</v>
      </c>
      <c r="BS1">
        <f>IF(Conciliación!8:8,"AAAAAF7/zUY=",0)</f>
        <v>0</v>
      </c>
      <c r="BT1" t="e">
        <f>AND(Conciliación!B8,"AAAAAF7/zUc=")</f>
        <v>#VALUE!</v>
      </c>
      <c r="BU1" t="e">
        <f>AND(Conciliación!C8,"AAAAAF7/zUg=")</f>
        <v>#VALUE!</v>
      </c>
      <c r="BV1" t="e">
        <f>AND(Conciliación!D8,"AAAAAF7/zUk=")</f>
        <v>#VALUE!</v>
      </c>
      <c r="BW1" t="e">
        <f>AND(Conciliación!E8,"AAAAAF7/zUo=")</f>
        <v>#VALUE!</v>
      </c>
      <c r="BX1" t="e">
        <f>AND(Conciliación!F8,"AAAAAF7/zUs=")</f>
        <v>#VALUE!</v>
      </c>
      <c r="BY1" t="e">
        <f>AND(Conciliación!G8,"AAAAAF7/zUw=")</f>
        <v>#VALUE!</v>
      </c>
      <c r="BZ1" t="e">
        <f>AND(Conciliación!H8,"AAAAAF7/zU0=")</f>
        <v>#VALUE!</v>
      </c>
      <c r="CA1" t="e">
        <f>AND(Conciliación!I8,"AAAAAF7/zU4=")</f>
        <v>#VALUE!</v>
      </c>
      <c r="CB1" t="e">
        <f>AND(Conciliación!J8,"AAAAAF7/zU8=")</f>
        <v>#VALUE!</v>
      </c>
      <c r="CC1" t="e">
        <f>AND(Conciliación!K8,"AAAAAF7/zVA=")</f>
        <v>#VALUE!</v>
      </c>
      <c r="CD1" t="e">
        <f>AND(Conciliación!L8,"AAAAAF7/zVE=")</f>
        <v>#VALUE!</v>
      </c>
      <c r="CE1" t="e">
        <f>AND(Conciliación!M8,"AAAAAF7/zVI=")</f>
        <v>#VALUE!</v>
      </c>
      <c r="CF1" t="e">
        <f>AND(Conciliación!N8,"AAAAAF7/zVM=")</f>
        <v>#VALUE!</v>
      </c>
      <c r="CG1">
        <f>IF(Conciliación!9:9,"AAAAAF7/zVQ=",0)</f>
        <v>0</v>
      </c>
      <c r="CH1" t="e">
        <f>AND(Conciliación!B9,"AAAAAF7/zVU=")</f>
        <v>#VALUE!</v>
      </c>
      <c r="CI1" t="e">
        <f>AND(Conciliación!C9,"AAAAAF7/zVY=")</f>
        <v>#VALUE!</v>
      </c>
      <c r="CJ1" t="e">
        <f>AND(Conciliación!D9,"AAAAAF7/zVc=")</f>
        <v>#VALUE!</v>
      </c>
      <c r="CK1" t="e">
        <f>AND(Conciliación!E9,"AAAAAF7/zVg=")</f>
        <v>#VALUE!</v>
      </c>
      <c r="CL1" t="e">
        <f>AND(Conciliación!F9,"AAAAAF7/zVk=")</f>
        <v>#VALUE!</v>
      </c>
      <c r="CM1" t="e">
        <f>AND(Conciliación!G9,"AAAAAF7/zVo=")</f>
        <v>#VALUE!</v>
      </c>
      <c r="CN1" t="e">
        <f>AND(Conciliación!H9,"AAAAAF7/zVs=")</f>
        <v>#VALUE!</v>
      </c>
      <c r="CO1" t="e">
        <f>AND(Conciliación!I9,"AAAAAF7/zVw=")</f>
        <v>#VALUE!</v>
      </c>
      <c r="CP1" t="e">
        <f>AND(Conciliación!J9,"AAAAAF7/zV0=")</f>
        <v>#VALUE!</v>
      </c>
      <c r="CQ1" t="e">
        <f>AND(Conciliación!K9,"AAAAAF7/zV4=")</f>
        <v>#VALUE!</v>
      </c>
      <c r="CR1" t="e">
        <f>AND(Conciliación!L9,"AAAAAF7/zV8=")</f>
        <v>#VALUE!</v>
      </c>
      <c r="CS1" t="e">
        <f>AND(Conciliación!M9,"AAAAAF7/zWA=")</f>
        <v>#VALUE!</v>
      </c>
      <c r="CT1" t="e">
        <f>AND(Conciliación!N9,"AAAAAF7/zWE=")</f>
        <v>#VALUE!</v>
      </c>
      <c r="CU1">
        <f>IF(Conciliación!10:10,"AAAAAF7/zWI=",0)</f>
        <v>0</v>
      </c>
      <c r="CV1" t="e">
        <f>AND(Conciliación!B10,"AAAAAF7/zWM=")</f>
        <v>#VALUE!</v>
      </c>
      <c r="CW1" t="e">
        <f>AND(Conciliación!C10,"AAAAAF7/zWQ=")</f>
        <v>#VALUE!</v>
      </c>
      <c r="CX1" t="e">
        <f>AND(Conciliación!D10,"AAAAAF7/zWU=")</f>
        <v>#VALUE!</v>
      </c>
      <c r="CY1" t="e">
        <f>AND(Conciliación!E10,"AAAAAF7/zWY=")</f>
        <v>#VALUE!</v>
      </c>
      <c r="CZ1" t="e">
        <f>AND(Conciliación!F10,"AAAAAF7/zWc=")</f>
        <v>#VALUE!</v>
      </c>
      <c r="DA1" t="e">
        <f>AND(Conciliación!G10,"AAAAAF7/zWg=")</f>
        <v>#VALUE!</v>
      </c>
      <c r="DB1" t="e">
        <f>AND(Conciliación!H10,"AAAAAF7/zWk=")</f>
        <v>#VALUE!</v>
      </c>
      <c r="DC1" t="e">
        <f>AND(Conciliación!I10,"AAAAAF7/zWo=")</f>
        <v>#VALUE!</v>
      </c>
      <c r="DD1" t="e">
        <f>AND(Conciliación!J10,"AAAAAF7/zWs=")</f>
        <v>#VALUE!</v>
      </c>
      <c r="DE1" t="e">
        <f>AND(Conciliación!K10,"AAAAAF7/zWw=")</f>
        <v>#VALUE!</v>
      </c>
      <c r="DF1" t="e">
        <f>AND(Conciliación!L10,"AAAAAF7/zW0=")</f>
        <v>#VALUE!</v>
      </c>
      <c r="DG1" t="e">
        <f>AND(Conciliación!M10,"AAAAAF7/zW4=")</f>
        <v>#VALUE!</v>
      </c>
      <c r="DH1" t="e">
        <f>AND(Conciliación!N10,"AAAAAF7/zW8=")</f>
        <v>#VALUE!</v>
      </c>
      <c r="DI1">
        <f>IF(Conciliación!11:11,"AAAAAF7/zXA=",0)</f>
        <v>0</v>
      </c>
      <c r="DJ1" t="e">
        <f>AND(Conciliación!B11,"AAAAAF7/zXE=")</f>
        <v>#VALUE!</v>
      </c>
      <c r="DK1" t="e">
        <f>AND(Conciliación!C11,"AAAAAF7/zXI=")</f>
        <v>#VALUE!</v>
      </c>
      <c r="DL1" t="e">
        <f>AND(Conciliación!D11,"AAAAAF7/zXM=")</f>
        <v>#VALUE!</v>
      </c>
      <c r="DM1" t="e">
        <f>AND(Conciliación!E11,"AAAAAF7/zXQ=")</f>
        <v>#VALUE!</v>
      </c>
      <c r="DN1" t="e">
        <f>AND(Conciliación!F11,"AAAAAF7/zXU=")</f>
        <v>#VALUE!</v>
      </c>
      <c r="DO1" t="e">
        <f>AND(Conciliación!G11,"AAAAAF7/zXY=")</f>
        <v>#VALUE!</v>
      </c>
      <c r="DP1" t="e">
        <f>AND(Conciliación!H11,"AAAAAF7/zXc=")</f>
        <v>#VALUE!</v>
      </c>
      <c r="DQ1" t="e">
        <f>AND(Conciliación!I11,"AAAAAF7/zXg=")</f>
        <v>#VALUE!</v>
      </c>
      <c r="DR1" t="e">
        <f>AND(Conciliación!J11,"AAAAAF7/zXk=")</f>
        <v>#VALUE!</v>
      </c>
      <c r="DS1" t="e">
        <f>AND(Conciliación!K11,"AAAAAF7/zXo=")</f>
        <v>#VALUE!</v>
      </c>
      <c r="DT1" t="e">
        <f>AND(Conciliación!L11,"AAAAAF7/zXs=")</f>
        <v>#VALUE!</v>
      </c>
      <c r="DU1" t="e">
        <f>AND(Conciliación!M11,"AAAAAF7/zXw=")</f>
        <v>#VALUE!</v>
      </c>
      <c r="DV1" t="e">
        <f>AND(Conciliación!N11,"AAAAAF7/zX0=")</f>
        <v>#VALUE!</v>
      </c>
      <c r="DW1">
        <f>IF(Conciliación!12:12,"AAAAAF7/zX4=",0)</f>
        <v>0</v>
      </c>
      <c r="DX1" t="e">
        <f>AND(Conciliación!B12,"AAAAAF7/zX8=")</f>
        <v>#VALUE!</v>
      </c>
      <c r="DY1" t="e">
        <f>AND(Conciliación!C12,"AAAAAF7/zYA=")</f>
        <v>#VALUE!</v>
      </c>
      <c r="DZ1" t="e">
        <f>AND(Conciliación!D12,"AAAAAF7/zYE=")</f>
        <v>#VALUE!</v>
      </c>
      <c r="EA1" t="e">
        <f>AND(Conciliación!E12,"AAAAAF7/zYI=")</f>
        <v>#VALUE!</v>
      </c>
      <c r="EB1" t="e">
        <f>AND(Conciliación!F12,"AAAAAF7/zYM=")</f>
        <v>#VALUE!</v>
      </c>
      <c r="EC1" t="e">
        <f>AND(Conciliación!G12,"AAAAAF7/zYQ=")</f>
        <v>#VALUE!</v>
      </c>
      <c r="ED1" t="e">
        <f>AND(Conciliación!H12,"AAAAAF7/zYU=")</f>
        <v>#VALUE!</v>
      </c>
      <c r="EE1" t="e">
        <f>AND(Conciliación!I12,"AAAAAF7/zYY=")</f>
        <v>#VALUE!</v>
      </c>
      <c r="EF1" t="e">
        <f>AND(Conciliación!J12,"AAAAAF7/zYc=")</f>
        <v>#VALUE!</v>
      </c>
      <c r="EG1" t="e">
        <f>AND(Conciliación!K12,"AAAAAF7/zYg=")</f>
        <v>#VALUE!</v>
      </c>
      <c r="EH1" t="e">
        <f>AND(Conciliación!L12,"AAAAAF7/zYk=")</f>
        <v>#VALUE!</v>
      </c>
      <c r="EI1" t="e">
        <f>AND(Conciliación!M12,"AAAAAF7/zYo=")</f>
        <v>#VALUE!</v>
      </c>
      <c r="EJ1" t="e">
        <f>AND(Conciliación!N12,"AAAAAF7/zYs=")</f>
        <v>#VALUE!</v>
      </c>
      <c r="EK1">
        <f>IF(Conciliación!13:13,"AAAAAF7/zYw=",0)</f>
        <v>0</v>
      </c>
      <c r="EL1" t="e">
        <f>AND(Conciliación!B13,"AAAAAF7/zY0=")</f>
        <v>#VALUE!</v>
      </c>
      <c r="EM1" t="e">
        <f>AND(Conciliación!C13,"AAAAAF7/zY4=")</f>
        <v>#VALUE!</v>
      </c>
      <c r="EN1" t="e">
        <f>AND(Conciliación!D13,"AAAAAF7/zY8=")</f>
        <v>#VALUE!</v>
      </c>
      <c r="EO1" t="e">
        <f>AND(Conciliación!E13,"AAAAAF7/zZA=")</f>
        <v>#VALUE!</v>
      </c>
      <c r="EP1" t="e">
        <f>AND(Conciliación!F13,"AAAAAF7/zZE=")</f>
        <v>#VALUE!</v>
      </c>
      <c r="EQ1" t="e">
        <f>AND(Conciliación!G13,"AAAAAF7/zZI=")</f>
        <v>#VALUE!</v>
      </c>
      <c r="ER1" t="e">
        <f>AND(Conciliación!H13,"AAAAAF7/zZM=")</f>
        <v>#VALUE!</v>
      </c>
      <c r="ES1" t="e">
        <f>AND(Conciliación!I13,"AAAAAF7/zZQ=")</f>
        <v>#VALUE!</v>
      </c>
      <c r="ET1" t="e">
        <f>AND(Conciliación!J13,"AAAAAF7/zZU=")</f>
        <v>#VALUE!</v>
      </c>
      <c r="EU1" t="e">
        <f>AND(Conciliación!K13,"AAAAAF7/zZY=")</f>
        <v>#VALUE!</v>
      </c>
      <c r="EV1" t="e">
        <f>AND(Conciliación!L13,"AAAAAF7/zZc=")</f>
        <v>#VALUE!</v>
      </c>
      <c r="EW1" t="e">
        <f>AND(Conciliación!M13,"AAAAAF7/zZg=")</f>
        <v>#VALUE!</v>
      </c>
      <c r="EX1" t="e">
        <f>AND(Conciliación!N13,"AAAAAF7/zZk=")</f>
        <v>#VALUE!</v>
      </c>
      <c r="EY1" t="e">
        <f>IF(Conciliación!#REF!,"AAAAAF7/zZo=",0)</f>
        <v>#REF!</v>
      </c>
      <c r="EZ1" t="e">
        <f>AND(Conciliación!#REF!,"AAAAAF7/zZs=")</f>
        <v>#REF!</v>
      </c>
      <c r="FA1" t="e">
        <f>AND(Conciliación!#REF!,"AAAAAF7/zZw=")</f>
        <v>#REF!</v>
      </c>
      <c r="FB1" t="e">
        <f>AND(Conciliación!#REF!,"AAAAAF7/zZ0=")</f>
        <v>#REF!</v>
      </c>
      <c r="FC1" t="e">
        <f>AND(Conciliación!#REF!,"AAAAAF7/zZ4=")</f>
        <v>#REF!</v>
      </c>
      <c r="FD1" t="e">
        <f>AND(Conciliación!#REF!,"AAAAAF7/zZ8=")</f>
        <v>#REF!</v>
      </c>
      <c r="FE1" t="e">
        <f>AND(Conciliación!#REF!,"AAAAAF7/zaA=")</f>
        <v>#REF!</v>
      </c>
      <c r="FF1" t="e">
        <f>AND(Conciliación!#REF!,"AAAAAF7/zaE=")</f>
        <v>#REF!</v>
      </c>
      <c r="FG1" t="e">
        <f>AND(Conciliación!#REF!,"AAAAAF7/zaI=")</f>
        <v>#REF!</v>
      </c>
      <c r="FH1" t="e">
        <f>AND(Conciliación!#REF!,"AAAAAF7/zaM=")</f>
        <v>#REF!</v>
      </c>
      <c r="FI1" t="e">
        <f>AND(Conciliación!#REF!,"AAAAAF7/zaQ=")</f>
        <v>#REF!</v>
      </c>
      <c r="FJ1" t="e">
        <f>AND(Conciliación!#REF!,"AAAAAF7/zaU=")</f>
        <v>#REF!</v>
      </c>
      <c r="FK1" t="e">
        <f>AND(Conciliación!#REF!,"AAAAAF7/zaY=")</f>
        <v>#REF!</v>
      </c>
      <c r="FL1" t="e">
        <f>AND(Conciliación!#REF!,"AAAAAF7/zac=")</f>
        <v>#REF!</v>
      </c>
      <c r="FM1" t="e">
        <f>IF(Conciliación!#REF!,"AAAAAF7/zag=",0)</f>
        <v>#REF!</v>
      </c>
      <c r="FN1" t="e">
        <f>AND(Conciliación!#REF!,"AAAAAF7/zak=")</f>
        <v>#REF!</v>
      </c>
      <c r="FO1" t="e">
        <f>AND(Conciliación!#REF!,"AAAAAF7/zao=")</f>
        <v>#REF!</v>
      </c>
      <c r="FP1" t="e">
        <f>AND(Conciliación!#REF!,"AAAAAF7/zas=")</f>
        <v>#REF!</v>
      </c>
      <c r="FQ1" t="e">
        <f>AND(Conciliación!#REF!,"AAAAAF7/zaw=")</f>
        <v>#REF!</v>
      </c>
      <c r="FR1" t="e">
        <f>AND(Conciliación!#REF!,"AAAAAF7/za0=")</f>
        <v>#REF!</v>
      </c>
      <c r="FS1" t="e">
        <f>AND(Conciliación!#REF!,"AAAAAF7/za4=")</f>
        <v>#REF!</v>
      </c>
      <c r="FT1" t="e">
        <f>AND(Conciliación!#REF!,"AAAAAF7/za8=")</f>
        <v>#REF!</v>
      </c>
      <c r="FU1" t="e">
        <f>AND(Conciliación!#REF!,"AAAAAF7/zbA=")</f>
        <v>#REF!</v>
      </c>
      <c r="FV1" t="e">
        <f>AND(Conciliación!#REF!,"AAAAAF7/zbE=")</f>
        <v>#REF!</v>
      </c>
      <c r="FW1" t="e">
        <f>AND(Conciliación!#REF!,"AAAAAF7/zbI=")</f>
        <v>#REF!</v>
      </c>
      <c r="FX1" t="e">
        <f>AND(Conciliación!#REF!,"AAAAAF7/zbM=")</f>
        <v>#REF!</v>
      </c>
      <c r="FY1" t="e">
        <f>AND(Conciliación!#REF!,"AAAAAF7/zbQ=")</f>
        <v>#REF!</v>
      </c>
      <c r="FZ1" t="e">
        <f>AND(Conciliación!#REF!,"AAAAAF7/zbU=")</f>
        <v>#REF!</v>
      </c>
      <c r="GA1" t="e">
        <f>IF(Conciliación!#REF!,"AAAAAF7/zbY=",0)</f>
        <v>#REF!</v>
      </c>
      <c r="GB1" t="e">
        <f>AND(Conciliación!#REF!,"AAAAAF7/zbc=")</f>
        <v>#REF!</v>
      </c>
      <c r="GC1" t="e">
        <f>AND(Conciliación!#REF!,"AAAAAF7/zbg=")</f>
        <v>#REF!</v>
      </c>
      <c r="GD1" t="e">
        <f>AND(Conciliación!#REF!,"AAAAAF7/zbk=")</f>
        <v>#REF!</v>
      </c>
      <c r="GE1" t="e">
        <f>AND(Conciliación!#REF!,"AAAAAF7/zbo=")</f>
        <v>#REF!</v>
      </c>
      <c r="GF1" t="e">
        <f>AND(Conciliación!#REF!,"AAAAAF7/zbs=")</f>
        <v>#REF!</v>
      </c>
      <c r="GG1" t="e">
        <f>AND(Conciliación!#REF!,"AAAAAF7/zbw=")</f>
        <v>#REF!</v>
      </c>
      <c r="GH1" t="e">
        <f>AND(Conciliación!#REF!,"AAAAAF7/zb0=")</f>
        <v>#REF!</v>
      </c>
      <c r="GI1" t="e">
        <f>AND(Conciliación!#REF!,"AAAAAF7/zb4=")</f>
        <v>#REF!</v>
      </c>
      <c r="GJ1" t="e">
        <f>AND(Conciliación!#REF!,"AAAAAF7/zb8=")</f>
        <v>#REF!</v>
      </c>
      <c r="GK1" t="e">
        <f>AND(Conciliación!#REF!,"AAAAAF7/zcA=")</f>
        <v>#REF!</v>
      </c>
      <c r="GL1" t="e">
        <f>AND(Conciliación!#REF!,"AAAAAF7/zcE=")</f>
        <v>#REF!</v>
      </c>
      <c r="GM1" t="e">
        <f>AND(Conciliación!#REF!,"AAAAAF7/zcI=")</f>
        <v>#REF!</v>
      </c>
      <c r="GN1" t="e">
        <f>AND(Conciliación!#REF!,"AAAAAF7/zcM=")</f>
        <v>#REF!</v>
      </c>
      <c r="GO1">
        <f>IF(Conciliación!14:14,"AAAAAF7/zcQ=",0)</f>
        <v>0</v>
      </c>
      <c r="GP1" t="e">
        <f>AND(Conciliación!B14,"AAAAAF7/zcU=")</f>
        <v>#VALUE!</v>
      </c>
      <c r="GQ1" t="e">
        <f>AND(Conciliación!C14,"AAAAAF7/zcY=")</f>
        <v>#VALUE!</v>
      </c>
      <c r="GR1" t="e">
        <f>AND(Conciliación!D14,"AAAAAF7/zcc=")</f>
        <v>#VALUE!</v>
      </c>
      <c r="GS1" t="e">
        <f>AND(Conciliación!E14,"AAAAAF7/zcg=")</f>
        <v>#VALUE!</v>
      </c>
      <c r="GT1" t="e">
        <f>AND(Conciliación!F14,"AAAAAF7/zck=")</f>
        <v>#VALUE!</v>
      </c>
      <c r="GU1" t="e">
        <f>AND(Conciliación!G14,"AAAAAF7/zco=")</f>
        <v>#VALUE!</v>
      </c>
      <c r="GV1" t="e">
        <f>AND(Conciliación!H14,"AAAAAF7/zcs=")</f>
        <v>#VALUE!</v>
      </c>
      <c r="GW1" t="e">
        <f>AND(Conciliación!I14,"AAAAAF7/zcw=")</f>
        <v>#VALUE!</v>
      </c>
      <c r="GX1" t="e">
        <f>AND(Conciliación!J14,"AAAAAF7/zc0=")</f>
        <v>#VALUE!</v>
      </c>
      <c r="GY1" t="e">
        <f>AND(Conciliación!K14,"AAAAAF7/zc4=")</f>
        <v>#VALUE!</v>
      </c>
      <c r="GZ1" t="e">
        <f>AND(Conciliación!L14,"AAAAAF7/zc8=")</f>
        <v>#VALUE!</v>
      </c>
      <c r="HA1" t="e">
        <f>AND(Conciliación!M14,"AAAAAF7/zdA=")</f>
        <v>#VALUE!</v>
      </c>
      <c r="HB1" t="e">
        <f>AND(Conciliación!N14,"AAAAAF7/zdE=")</f>
        <v>#VALUE!</v>
      </c>
      <c r="HC1">
        <f>IF(Conciliación!15:15,"AAAAAF7/zdI=",0)</f>
        <v>0</v>
      </c>
      <c r="HD1" t="e">
        <f>AND(Conciliación!B15,"AAAAAF7/zdM=")</f>
        <v>#VALUE!</v>
      </c>
      <c r="HE1" t="e">
        <f>AND(Conciliación!C15,"AAAAAF7/zdQ=")</f>
        <v>#VALUE!</v>
      </c>
      <c r="HF1" t="e">
        <f>AND(Conciliación!D15,"AAAAAF7/zdU=")</f>
        <v>#VALUE!</v>
      </c>
      <c r="HG1" t="e">
        <f>AND(Conciliación!E15,"AAAAAF7/zdY=")</f>
        <v>#VALUE!</v>
      </c>
      <c r="HH1" t="e">
        <f>AND(Conciliación!F15,"AAAAAF7/zdc=")</f>
        <v>#VALUE!</v>
      </c>
      <c r="HI1" t="e">
        <f>AND(Conciliación!G15,"AAAAAF7/zdg=")</f>
        <v>#VALUE!</v>
      </c>
      <c r="HJ1" t="e">
        <f>AND(Conciliación!H15,"AAAAAF7/zdk=")</f>
        <v>#VALUE!</v>
      </c>
      <c r="HK1" t="e">
        <f>AND(Conciliación!I15,"AAAAAF7/zdo=")</f>
        <v>#VALUE!</v>
      </c>
      <c r="HL1" t="e">
        <f>AND(Conciliación!J15,"AAAAAF7/zds=")</f>
        <v>#VALUE!</v>
      </c>
      <c r="HM1" t="e">
        <f>AND(Conciliación!K15,"AAAAAF7/zdw=")</f>
        <v>#VALUE!</v>
      </c>
      <c r="HN1" t="e">
        <f>AND(Conciliación!L15,"AAAAAF7/zd0=")</f>
        <v>#VALUE!</v>
      </c>
      <c r="HO1" t="e">
        <f>AND(Conciliación!M15,"AAAAAF7/zd4=")</f>
        <v>#VALUE!</v>
      </c>
      <c r="HP1" t="e">
        <f>AND(Conciliación!N15,"AAAAAF7/zd8=")</f>
        <v>#VALUE!</v>
      </c>
      <c r="HQ1">
        <f>IF(Conciliación!16:16,"AAAAAF7/zeA=",0)</f>
        <v>0</v>
      </c>
      <c r="HR1" t="e">
        <f>AND(Conciliación!B16,"AAAAAF7/zeE=")</f>
        <v>#VALUE!</v>
      </c>
      <c r="HS1" t="e">
        <f>AND(Conciliación!C16,"AAAAAF7/zeI=")</f>
        <v>#VALUE!</v>
      </c>
      <c r="HT1" t="e">
        <f>AND(Conciliación!D16,"AAAAAF7/zeM=")</f>
        <v>#VALUE!</v>
      </c>
      <c r="HU1" t="e">
        <f>AND(Conciliación!E16,"AAAAAF7/zeQ=")</f>
        <v>#VALUE!</v>
      </c>
      <c r="HV1" t="e">
        <f>AND(Conciliación!F16,"AAAAAF7/zeU=")</f>
        <v>#VALUE!</v>
      </c>
      <c r="HW1" t="e">
        <f>AND(Conciliación!G16,"AAAAAF7/zeY=")</f>
        <v>#VALUE!</v>
      </c>
      <c r="HX1" t="e">
        <f>AND(Conciliación!H16,"AAAAAF7/zec=")</f>
        <v>#VALUE!</v>
      </c>
      <c r="HY1" t="e">
        <f>AND(Conciliación!I16,"AAAAAF7/zeg=")</f>
        <v>#VALUE!</v>
      </c>
      <c r="HZ1" t="e">
        <f>AND(Conciliación!J16,"AAAAAF7/zek=")</f>
        <v>#VALUE!</v>
      </c>
      <c r="IA1" t="e">
        <f>AND(Conciliación!K16,"AAAAAF7/zeo=")</f>
        <v>#VALUE!</v>
      </c>
      <c r="IB1" t="e">
        <f>AND(Conciliación!L16,"AAAAAF7/zes=")</f>
        <v>#VALUE!</v>
      </c>
      <c r="IC1" t="e">
        <f>AND(Conciliación!M16,"AAAAAF7/zew=")</f>
        <v>#VALUE!</v>
      </c>
      <c r="ID1" t="e">
        <f>AND(Conciliación!N16,"AAAAAF7/ze0=")</f>
        <v>#VALUE!</v>
      </c>
      <c r="IE1">
        <f>IF(Conciliación!17:17,"AAAAAF7/ze4=",0)</f>
        <v>0</v>
      </c>
      <c r="IF1" t="e">
        <f>AND(Conciliación!B17,"AAAAAF7/ze8=")</f>
        <v>#VALUE!</v>
      </c>
      <c r="IG1" t="e">
        <f>AND(Conciliación!C17,"AAAAAF7/zfA=")</f>
        <v>#VALUE!</v>
      </c>
      <c r="IH1" t="e">
        <f>AND(Conciliación!D17,"AAAAAF7/zfE=")</f>
        <v>#VALUE!</v>
      </c>
      <c r="II1" t="e">
        <f>AND(Conciliación!E17,"AAAAAF7/zfI=")</f>
        <v>#VALUE!</v>
      </c>
      <c r="IJ1" t="e">
        <f>AND(Conciliación!F17,"AAAAAF7/zfM=")</f>
        <v>#VALUE!</v>
      </c>
      <c r="IK1" t="e">
        <f>AND(Conciliación!G17,"AAAAAF7/zfQ=")</f>
        <v>#VALUE!</v>
      </c>
      <c r="IL1" t="e">
        <f>AND(Conciliación!H17,"AAAAAF7/zfU=")</f>
        <v>#VALUE!</v>
      </c>
      <c r="IM1" t="e">
        <f>AND(Conciliación!I17,"AAAAAF7/zfY=")</f>
        <v>#VALUE!</v>
      </c>
      <c r="IN1" t="e">
        <f>AND(Conciliación!J17,"AAAAAF7/zfc=")</f>
        <v>#VALUE!</v>
      </c>
      <c r="IO1" t="e">
        <f>AND(Conciliación!K17,"AAAAAF7/zfg=")</f>
        <v>#VALUE!</v>
      </c>
      <c r="IP1" t="e">
        <f>AND(Conciliación!L17,"AAAAAF7/zfk=")</f>
        <v>#VALUE!</v>
      </c>
      <c r="IQ1" t="e">
        <f>AND(Conciliación!M17,"AAAAAF7/zfo=")</f>
        <v>#VALUE!</v>
      </c>
      <c r="IR1" t="e">
        <f>AND(Conciliación!N17,"AAAAAF7/zfs=")</f>
        <v>#VALUE!</v>
      </c>
      <c r="IS1">
        <f>IF(Conciliación!18:18,"AAAAAF7/zfw=",0)</f>
        <v>0</v>
      </c>
      <c r="IT1" t="e">
        <f>AND(Conciliación!B18,"AAAAAF7/zf0=")</f>
        <v>#VALUE!</v>
      </c>
      <c r="IU1" t="e">
        <f>AND(Conciliación!C18,"AAAAAF7/zf4=")</f>
        <v>#VALUE!</v>
      </c>
      <c r="IV1" t="e">
        <f>AND(Conciliación!D18,"AAAAAF7/zf8=")</f>
        <v>#VALUE!</v>
      </c>
    </row>
    <row r="2" spans="1:256" x14ac:dyDescent="0.2">
      <c r="A2" t="e">
        <f>AND(Conciliación!E18,"AAAAAG7v3wA=")</f>
        <v>#VALUE!</v>
      </c>
      <c r="B2" t="e">
        <f>AND(Conciliación!F18,"AAAAAG7v3wE=")</f>
        <v>#VALUE!</v>
      </c>
      <c r="C2" t="e">
        <f>AND(Conciliación!G18,"AAAAAG7v3wI=")</f>
        <v>#VALUE!</v>
      </c>
      <c r="D2" t="e">
        <f>AND(Conciliación!H18,"AAAAAG7v3wM=")</f>
        <v>#VALUE!</v>
      </c>
      <c r="E2" t="e">
        <f>AND(Conciliación!I18,"AAAAAG7v3wQ=")</f>
        <v>#VALUE!</v>
      </c>
      <c r="F2" t="e">
        <f>AND(Conciliación!J18,"AAAAAG7v3wU=")</f>
        <v>#VALUE!</v>
      </c>
      <c r="G2" t="e">
        <f>AND(Conciliación!K18,"AAAAAG7v3wY=")</f>
        <v>#VALUE!</v>
      </c>
      <c r="H2" t="e">
        <f>AND(Conciliación!L18,"AAAAAG7v3wc=")</f>
        <v>#VALUE!</v>
      </c>
      <c r="I2" t="e">
        <f>AND(Conciliación!M18,"AAAAAG7v3wg=")</f>
        <v>#VALUE!</v>
      </c>
      <c r="J2" t="e">
        <f>AND(Conciliación!N18,"AAAAAG7v3wk=")</f>
        <v>#VALUE!</v>
      </c>
      <c r="K2">
        <f>IF(Conciliación!19:19,"AAAAAG7v3wo=",0)</f>
        <v>0</v>
      </c>
      <c r="L2" t="e">
        <f>AND(Conciliación!B19,"AAAAAG7v3ws=")</f>
        <v>#VALUE!</v>
      </c>
      <c r="M2" t="e">
        <f>AND(Conciliación!C19,"AAAAAG7v3ww=")</f>
        <v>#VALUE!</v>
      </c>
      <c r="N2" t="e">
        <f>AND(Conciliación!D19,"AAAAAG7v3w0=")</f>
        <v>#VALUE!</v>
      </c>
      <c r="O2" t="e">
        <f>AND(Conciliación!E19,"AAAAAG7v3w4=")</f>
        <v>#VALUE!</v>
      </c>
      <c r="P2" t="e">
        <f>AND(Conciliación!F19,"AAAAAG7v3w8=")</f>
        <v>#VALUE!</v>
      </c>
      <c r="Q2" t="e">
        <f>AND(Conciliación!G19,"AAAAAG7v3xA=")</f>
        <v>#VALUE!</v>
      </c>
      <c r="R2" t="e">
        <f>AND(Conciliación!H19,"AAAAAG7v3xE=")</f>
        <v>#VALUE!</v>
      </c>
      <c r="S2" t="e">
        <f>AND(Conciliación!I19,"AAAAAG7v3xI=")</f>
        <v>#VALUE!</v>
      </c>
      <c r="T2" t="e">
        <f>AND(Conciliación!J19,"AAAAAG7v3xM=")</f>
        <v>#VALUE!</v>
      </c>
      <c r="U2" t="e">
        <f>AND(Conciliación!K19,"AAAAAG7v3xQ=")</f>
        <v>#VALUE!</v>
      </c>
      <c r="V2" t="e">
        <f>AND(Conciliación!L19,"AAAAAG7v3xU=")</f>
        <v>#VALUE!</v>
      </c>
      <c r="W2" t="e">
        <f>AND(Conciliación!M19,"AAAAAG7v3xY=")</f>
        <v>#VALUE!</v>
      </c>
      <c r="X2" t="e">
        <f>AND(Conciliación!N19,"AAAAAG7v3xc=")</f>
        <v>#VALUE!</v>
      </c>
      <c r="Y2">
        <f>IF(Conciliación!20:20,"AAAAAG7v3xg=",0)</f>
        <v>0</v>
      </c>
      <c r="Z2" t="e">
        <f>AND(Conciliación!B20,"AAAAAG7v3xk=")</f>
        <v>#VALUE!</v>
      </c>
      <c r="AA2" t="e">
        <f>AND(Conciliación!C20,"AAAAAG7v3xo=")</f>
        <v>#VALUE!</v>
      </c>
      <c r="AB2" t="e">
        <f>AND(Conciliación!D20,"AAAAAG7v3xs=")</f>
        <v>#VALUE!</v>
      </c>
      <c r="AC2" t="e">
        <f>AND(Conciliación!E20,"AAAAAG7v3xw=")</f>
        <v>#VALUE!</v>
      </c>
      <c r="AD2" t="e">
        <f>AND(Conciliación!F20,"AAAAAG7v3x0=")</f>
        <v>#VALUE!</v>
      </c>
      <c r="AE2" t="e">
        <f>AND(Conciliación!G20,"AAAAAG7v3x4=")</f>
        <v>#VALUE!</v>
      </c>
      <c r="AF2" t="e">
        <f>AND(Conciliación!H20,"AAAAAG7v3x8=")</f>
        <v>#VALUE!</v>
      </c>
      <c r="AG2" t="e">
        <f>AND(Conciliación!I20,"AAAAAG7v3yA=")</f>
        <v>#VALUE!</v>
      </c>
      <c r="AH2" t="e">
        <f>AND(Conciliación!J20,"AAAAAG7v3yE=")</f>
        <v>#VALUE!</v>
      </c>
      <c r="AI2" t="e">
        <f>AND(Conciliación!K20,"AAAAAG7v3yI=")</f>
        <v>#VALUE!</v>
      </c>
      <c r="AJ2" t="e">
        <f>AND(Conciliación!L20,"AAAAAG7v3yM=")</f>
        <v>#VALUE!</v>
      </c>
      <c r="AK2" t="e">
        <f>AND(Conciliación!M20,"AAAAAG7v3yQ=")</f>
        <v>#VALUE!</v>
      </c>
      <c r="AL2" t="e">
        <f>AND(Conciliación!N20,"AAAAAG7v3yU=")</f>
        <v>#VALUE!</v>
      </c>
      <c r="AM2">
        <f>IF(Conciliación!21:21,"AAAAAG7v3yY=",0)</f>
        <v>0</v>
      </c>
      <c r="AN2" t="e">
        <f>AND(Conciliación!B21,"AAAAAG7v3yc=")</f>
        <v>#VALUE!</v>
      </c>
      <c r="AO2" t="e">
        <f>AND(Conciliación!C21,"AAAAAG7v3yg=")</f>
        <v>#VALUE!</v>
      </c>
      <c r="AP2" t="e">
        <f>AND(Conciliación!D21,"AAAAAG7v3yk=")</f>
        <v>#VALUE!</v>
      </c>
      <c r="AQ2" t="e">
        <f>AND(Conciliación!E21,"AAAAAG7v3yo=")</f>
        <v>#VALUE!</v>
      </c>
      <c r="AR2" t="e">
        <f>AND(Conciliación!F21,"AAAAAG7v3ys=")</f>
        <v>#VALUE!</v>
      </c>
      <c r="AS2" t="e">
        <f>AND(Conciliación!G21,"AAAAAG7v3yw=")</f>
        <v>#VALUE!</v>
      </c>
      <c r="AT2" t="e">
        <f>AND(Conciliación!H21,"AAAAAG7v3y0=")</f>
        <v>#VALUE!</v>
      </c>
      <c r="AU2" t="e">
        <f>AND(Conciliación!I21,"AAAAAG7v3y4=")</f>
        <v>#VALUE!</v>
      </c>
      <c r="AV2" t="e">
        <f>AND(Conciliación!J21,"AAAAAG7v3y8=")</f>
        <v>#VALUE!</v>
      </c>
      <c r="AW2" t="e">
        <f>AND(Conciliación!K21,"AAAAAG7v3zA=")</f>
        <v>#VALUE!</v>
      </c>
      <c r="AX2" t="e">
        <f>AND(Conciliación!L21,"AAAAAG7v3zE=")</f>
        <v>#VALUE!</v>
      </c>
      <c r="AY2" t="e">
        <f>AND(Conciliación!M21,"AAAAAG7v3zI=")</f>
        <v>#VALUE!</v>
      </c>
      <c r="AZ2" t="e">
        <f>AND(Conciliación!N21,"AAAAAG7v3zM=")</f>
        <v>#VALUE!</v>
      </c>
      <c r="BA2">
        <f>IF(Conciliación!22:22,"AAAAAG7v3zQ=",0)</f>
        <v>0</v>
      </c>
      <c r="BB2" t="e">
        <f>AND(Conciliación!B22,"AAAAAG7v3zU=")</f>
        <v>#VALUE!</v>
      </c>
      <c r="BC2" t="e">
        <f>AND(Conciliación!C22,"AAAAAG7v3zY=")</f>
        <v>#VALUE!</v>
      </c>
      <c r="BD2" t="e">
        <f>AND(Conciliación!D22,"AAAAAG7v3zc=")</f>
        <v>#VALUE!</v>
      </c>
      <c r="BE2" t="e">
        <f>AND(Conciliación!E22,"AAAAAG7v3zg=")</f>
        <v>#VALUE!</v>
      </c>
      <c r="BF2" t="e">
        <f>AND(Conciliación!F22,"AAAAAG7v3zk=")</f>
        <v>#VALUE!</v>
      </c>
      <c r="BG2" t="e">
        <f>AND(Conciliación!G22,"AAAAAG7v3zo=")</f>
        <v>#VALUE!</v>
      </c>
      <c r="BH2" t="e">
        <f>AND(Conciliación!H22,"AAAAAG7v3zs=")</f>
        <v>#VALUE!</v>
      </c>
      <c r="BI2" t="e">
        <f>AND(Conciliación!I22,"AAAAAG7v3zw=")</f>
        <v>#VALUE!</v>
      </c>
      <c r="BJ2" t="e">
        <f>AND(Conciliación!J22,"AAAAAG7v3z0=")</f>
        <v>#VALUE!</v>
      </c>
      <c r="BK2" t="e">
        <f>AND(Conciliación!K22,"AAAAAG7v3z4=")</f>
        <v>#VALUE!</v>
      </c>
      <c r="BL2" t="e">
        <f>AND(Conciliación!L22,"AAAAAG7v3z8=")</f>
        <v>#VALUE!</v>
      </c>
      <c r="BM2" t="e">
        <f>AND(Conciliación!M22,"AAAAAG7v30A=")</f>
        <v>#VALUE!</v>
      </c>
      <c r="BN2" t="e">
        <f>AND(Conciliación!N22,"AAAAAG7v30E=")</f>
        <v>#VALUE!</v>
      </c>
      <c r="BO2">
        <f>IF(Conciliación!23:23,"AAAAAG7v30I=",0)</f>
        <v>0</v>
      </c>
      <c r="BP2" t="e">
        <f>AND(Conciliación!B23,"AAAAAG7v30M=")</f>
        <v>#VALUE!</v>
      </c>
      <c r="BQ2" t="e">
        <f>AND(Conciliación!C23,"AAAAAG7v30Q=")</f>
        <v>#VALUE!</v>
      </c>
      <c r="BR2" t="e">
        <f>AND(Conciliación!D23,"AAAAAG7v30U=")</f>
        <v>#VALUE!</v>
      </c>
      <c r="BS2" t="e">
        <f>AND(Conciliación!E23,"AAAAAG7v30Y=")</f>
        <v>#VALUE!</v>
      </c>
      <c r="BT2" t="e">
        <f>AND(Conciliación!F23,"AAAAAG7v30c=")</f>
        <v>#VALUE!</v>
      </c>
      <c r="BU2" t="e">
        <f>AND(Conciliación!G23,"AAAAAG7v30g=")</f>
        <v>#VALUE!</v>
      </c>
      <c r="BV2" t="e">
        <f>AND(Conciliación!H23,"AAAAAG7v30k=")</f>
        <v>#VALUE!</v>
      </c>
      <c r="BW2" t="e">
        <f>AND(Conciliación!I23,"AAAAAG7v30o=")</f>
        <v>#VALUE!</v>
      </c>
      <c r="BX2" t="e">
        <f>AND(Conciliación!J23,"AAAAAG7v30s=")</f>
        <v>#VALUE!</v>
      </c>
      <c r="BY2" t="e">
        <f>AND(Conciliación!K23,"AAAAAG7v30w=")</f>
        <v>#VALUE!</v>
      </c>
      <c r="BZ2" t="e">
        <f>AND(Conciliación!L23,"AAAAAG7v300=")</f>
        <v>#VALUE!</v>
      </c>
      <c r="CA2" t="e">
        <f>AND(Conciliación!M23,"AAAAAG7v304=")</f>
        <v>#VALUE!</v>
      </c>
      <c r="CB2" t="e">
        <f>AND(Conciliación!N23,"AAAAAG7v308=")</f>
        <v>#VALUE!</v>
      </c>
      <c r="CC2">
        <f>IF(Conciliación!24:24,"AAAAAG7v31A=",0)</f>
        <v>0</v>
      </c>
      <c r="CD2" t="e">
        <f>AND(Conciliación!B24,"AAAAAG7v31E=")</f>
        <v>#VALUE!</v>
      </c>
      <c r="CE2" t="e">
        <f>AND(Conciliación!C24,"AAAAAG7v31I=")</f>
        <v>#VALUE!</v>
      </c>
      <c r="CF2" t="e">
        <f>AND(Conciliación!D24,"AAAAAG7v31M=")</f>
        <v>#VALUE!</v>
      </c>
      <c r="CG2" t="e">
        <f>AND(Conciliación!E24,"AAAAAG7v31Q=")</f>
        <v>#VALUE!</v>
      </c>
      <c r="CH2" t="e">
        <f>AND(Conciliación!F24,"AAAAAG7v31U=")</f>
        <v>#VALUE!</v>
      </c>
      <c r="CI2" t="e">
        <f>AND(Conciliación!G24,"AAAAAG7v31Y=")</f>
        <v>#VALUE!</v>
      </c>
      <c r="CJ2" t="e">
        <f>AND(Conciliación!H24,"AAAAAG7v31c=")</f>
        <v>#VALUE!</v>
      </c>
      <c r="CK2" t="e">
        <f>AND(Conciliación!I24,"AAAAAG7v31g=")</f>
        <v>#VALUE!</v>
      </c>
      <c r="CL2" t="e">
        <f>AND(Conciliación!J24,"AAAAAG7v31k=")</f>
        <v>#VALUE!</v>
      </c>
      <c r="CM2" t="e">
        <f>AND(Conciliación!K24,"AAAAAG7v31o=")</f>
        <v>#VALUE!</v>
      </c>
      <c r="CN2" t="e">
        <f>AND(Conciliación!L24,"AAAAAG7v31s=")</f>
        <v>#VALUE!</v>
      </c>
      <c r="CO2" t="e">
        <f>AND(Conciliación!M24,"AAAAAG7v31w=")</f>
        <v>#VALUE!</v>
      </c>
      <c r="CP2" t="e">
        <f>AND(Conciliación!N24,"AAAAAG7v310=")</f>
        <v>#VALUE!</v>
      </c>
      <c r="CQ2">
        <f>IF(Conciliación!25:25,"AAAAAG7v314=",0)</f>
        <v>0</v>
      </c>
      <c r="CR2" t="e">
        <f>AND(Conciliación!B25,"AAAAAG7v318=")</f>
        <v>#VALUE!</v>
      </c>
      <c r="CS2" t="e">
        <f>AND(Conciliación!C25,"AAAAAG7v32A=")</f>
        <v>#VALUE!</v>
      </c>
      <c r="CT2" t="e">
        <f>AND(Conciliación!D25,"AAAAAG7v32E=")</f>
        <v>#VALUE!</v>
      </c>
      <c r="CU2" t="e">
        <f>AND(Conciliación!E25,"AAAAAG7v32I=")</f>
        <v>#VALUE!</v>
      </c>
      <c r="CV2" t="e">
        <f>AND(Conciliación!F25,"AAAAAG7v32M=")</f>
        <v>#VALUE!</v>
      </c>
      <c r="CW2" t="e">
        <f>AND(Conciliación!G25,"AAAAAG7v32Q=")</f>
        <v>#VALUE!</v>
      </c>
      <c r="CX2" t="e">
        <f>AND(Conciliación!H25,"AAAAAG7v32U=")</f>
        <v>#VALUE!</v>
      </c>
      <c r="CY2" t="e">
        <f>AND(Conciliación!I25,"AAAAAG7v32Y=")</f>
        <v>#VALUE!</v>
      </c>
      <c r="CZ2" t="e">
        <f>AND(Conciliación!J25,"AAAAAG7v32c=")</f>
        <v>#VALUE!</v>
      </c>
      <c r="DA2" t="e">
        <f>AND(Conciliación!K25,"AAAAAG7v32g=")</f>
        <v>#VALUE!</v>
      </c>
      <c r="DB2" t="e">
        <f>AND(Conciliación!L25,"AAAAAG7v32k=")</f>
        <v>#VALUE!</v>
      </c>
      <c r="DC2" t="e">
        <f>AND(Conciliación!M25,"AAAAAG7v32o=")</f>
        <v>#VALUE!</v>
      </c>
      <c r="DD2" t="e">
        <f>AND(Conciliación!N25,"AAAAAG7v32s=")</f>
        <v>#VALUE!</v>
      </c>
      <c r="DE2">
        <f>IF(Conciliación!26:26,"AAAAAG7v32w=",0)</f>
        <v>0</v>
      </c>
      <c r="DF2" t="e">
        <f>AND(Conciliación!B26,"AAAAAG7v320=")</f>
        <v>#VALUE!</v>
      </c>
      <c r="DG2" t="e">
        <f>AND(Conciliación!C26,"AAAAAG7v324=")</f>
        <v>#VALUE!</v>
      </c>
      <c r="DH2" t="e">
        <f>AND(Conciliación!D26,"AAAAAG7v328=")</f>
        <v>#VALUE!</v>
      </c>
      <c r="DI2" t="e">
        <f>AND(Conciliación!E26,"AAAAAG7v33A=")</f>
        <v>#VALUE!</v>
      </c>
      <c r="DJ2" t="e">
        <f>AND(Conciliación!F26,"AAAAAG7v33E=")</f>
        <v>#VALUE!</v>
      </c>
      <c r="DK2" t="e">
        <f>AND(Conciliación!G26,"AAAAAG7v33I=")</f>
        <v>#VALUE!</v>
      </c>
      <c r="DL2" t="e">
        <f>AND(Conciliación!H26,"AAAAAG7v33M=")</f>
        <v>#VALUE!</v>
      </c>
      <c r="DM2" t="e">
        <f>AND(Conciliación!I26,"AAAAAG7v33Q=")</f>
        <v>#VALUE!</v>
      </c>
      <c r="DN2" t="e">
        <f>AND(Conciliación!J26,"AAAAAG7v33U=")</f>
        <v>#VALUE!</v>
      </c>
      <c r="DO2" t="e">
        <f>AND(Conciliación!K26,"AAAAAG7v33Y=")</f>
        <v>#VALUE!</v>
      </c>
      <c r="DP2" t="e">
        <f>AND(Conciliación!L26,"AAAAAG7v33c=")</f>
        <v>#VALUE!</v>
      </c>
      <c r="DQ2" t="e">
        <f>AND(Conciliación!M26,"AAAAAG7v33g=")</f>
        <v>#VALUE!</v>
      </c>
      <c r="DR2" t="e">
        <f>AND(Conciliación!N26,"AAAAAG7v33k=")</f>
        <v>#VALUE!</v>
      </c>
      <c r="DS2">
        <f>IF(Conciliación!27:27,"AAAAAG7v33o=",0)</f>
        <v>0</v>
      </c>
      <c r="DT2" t="e">
        <f>AND(Conciliación!B27,"AAAAAG7v33s=")</f>
        <v>#VALUE!</v>
      </c>
      <c r="DU2" t="e">
        <f>AND(Conciliación!C27,"AAAAAG7v33w=")</f>
        <v>#VALUE!</v>
      </c>
      <c r="DV2" t="e">
        <f>AND(Conciliación!D27,"AAAAAG7v330=")</f>
        <v>#VALUE!</v>
      </c>
      <c r="DW2" t="e">
        <f>AND(Conciliación!E27,"AAAAAG7v334=")</f>
        <v>#VALUE!</v>
      </c>
      <c r="DX2" t="e">
        <f>AND(Conciliación!F27,"AAAAAG7v338=")</f>
        <v>#VALUE!</v>
      </c>
      <c r="DY2" t="e">
        <f>AND(Conciliación!G27,"AAAAAG7v34A=")</f>
        <v>#VALUE!</v>
      </c>
      <c r="DZ2" t="e">
        <f>AND(Conciliación!H27,"AAAAAG7v34E=")</f>
        <v>#VALUE!</v>
      </c>
      <c r="EA2" t="e">
        <f>AND(Conciliación!I27,"AAAAAG7v34I=")</f>
        <v>#VALUE!</v>
      </c>
      <c r="EB2" t="e">
        <f>AND(Conciliación!J27,"AAAAAG7v34M=")</f>
        <v>#VALUE!</v>
      </c>
      <c r="EC2" t="e">
        <f>AND(Conciliación!K27,"AAAAAG7v34Q=")</f>
        <v>#VALUE!</v>
      </c>
      <c r="ED2" t="e">
        <f>AND(Conciliación!L27,"AAAAAG7v34U=")</f>
        <v>#VALUE!</v>
      </c>
      <c r="EE2" t="e">
        <f>AND(Conciliación!M27,"AAAAAG7v34Y=")</f>
        <v>#VALUE!</v>
      </c>
      <c r="EF2" t="e">
        <f>AND(Conciliación!N27,"AAAAAG7v34c=")</f>
        <v>#VALUE!</v>
      </c>
      <c r="EG2">
        <f>IF(Conciliación!28:28,"AAAAAG7v34g=",0)</f>
        <v>0</v>
      </c>
      <c r="EH2" t="e">
        <f>AND(Conciliación!B28,"AAAAAG7v34k=")</f>
        <v>#VALUE!</v>
      </c>
      <c r="EI2" t="e">
        <f>AND(Conciliación!C28,"AAAAAG7v34o=")</f>
        <v>#VALUE!</v>
      </c>
      <c r="EJ2" t="e">
        <f>AND(Conciliación!D28,"AAAAAG7v34s=")</f>
        <v>#VALUE!</v>
      </c>
      <c r="EK2" t="e">
        <f>AND(Conciliación!E28,"AAAAAG7v34w=")</f>
        <v>#VALUE!</v>
      </c>
      <c r="EL2" t="e">
        <f>AND(Conciliación!F28,"AAAAAG7v340=")</f>
        <v>#VALUE!</v>
      </c>
      <c r="EM2" t="e">
        <f>AND(Conciliación!G28,"AAAAAG7v344=")</f>
        <v>#VALUE!</v>
      </c>
      <c r="EN2" t="e">
        <f>AND(Conciliación!H28,"AAAAAG7v348=")</f>
        <v>#VALUE!</v>
      </c>
      <c r="EO2" t="e">
        <f>AND(Conciliación!I28,"AAAAAG7v35A=")</f>
        <v>#VALUE!</v>
      </c>
      <c r="EP2" t="e">
        <f>AND(Conciliación!J28,"AAAAAG7v35E=")</f>
        <v>#VALUE!</v>
      </c>
      <c r="EQ2" t="e">
        <f>AND(Conciliación!K28,"AAAAAG7v35I=")</f>
        <v>#VALUE!</v>
      </c>
      <c r="ER2" t="e">
        <f>AND(Conciliación!L28,"AAAAAG7v35M=")</f>
        <v>#VALUE!</v>
      </c>
      <c r="ES2" t="e">
        <f>AND(Conciliación!M28,"AAAAAG7v35Q=")</f>
        <v>#VALUE!</v>
      </c>
      <c r="ET2" t="e">
        <f>AND(Conciliación!N28,"AAAAAG7v35U=")</f>
        <v>#VALUE!</v>
      </c>
      <c r="EU2">
        <f>IF(Conciliación!29:29,"AAAAAG7v35Y=",0)</f>
        <v>0</v>
      </c>
      <c r="EV2" t="e">
        <f>AND(Conciliación!B29,"AAAAAG7v35c=")</f>
        <v>#VALUE!</v>
      </c>
      <c r="EW2" t="e">
        <f>AND(Conciliación!C29,"AAAAAG7v35g=")</f>
        <v>#VALUE!</v>
      </c>
      <c r="EX2" t="e">
        <f>AND(Conciliación!D29,"AAAAAG7v35k=")</f>
        <v>#VALUE!</v>
      </c>
      <c r="EY2" t="e">
        <f>AND(Conciliación!E29,"AAAAAG7v35o=")</f>
        <v>#VALUE!</v>
      </c>
      <c r="EZ2" t="e">
        <f>AND(Conciliación!F29,"AAAAAG7v35s=")</f>
        <v>#VALUE!</v>
      </c>
      <c r="FA2" t="e">
        <f>AND(Conciliación!G29,"AAAAAG7v35w=")</f>
        <v>#VALUE!</v>
      </c>
      <c r="FB2" t="e">
        <f>AND(Conciliación!H29,"AAAAAG7v350=")</f>
        <v>#VALUE!</v>
      </c>
      <c r="FC2" t="e">
        <f>AND(Conciliación!I29,"AAAAAG7v354=")</f>
        <v>#VALUE!</v>
      </c>
      <c r="FD2" t="e">
        <f>AND(Conciliación!J29,"AAAAAG7v358=")</f>
        <v>#VALUE!</v>
      </c>
      <c r="FE2" t="e">
        <f>AND(Conciliación!K29,"AAAAAG7v36A=")</f>
        <v>#VALUE!</v>
      </c>
      <c r="FF2" t="e">
        <f>AND(Conciliación!L29,"AAAAAG7v36E=")</f>
        <v>#VALUE!</v>
      </c>
      <c r="FG2" t="e">
        <f>AND(Conciliación!M29,"AAAAAG7v36I=")</f>
        <v>#VALUE!</v>
      </c>
      <c r="FH2" t="e">
        <f>AND(Conciliación!N29,"AAAAAG7v36M=")</f>
        <v>#VALUE!</v>
      </c>
      <c r="FI2">
        <f>IF(Conciliación!30:30,"AAAAAG7v36Q=",0)</f>
        <v>0</v>
      </c>
      <c r="FJ2" t="e">
        <f>AND(Conciliación!B30,"AAAAAG7v36U=")</f>
        <v>#VALUE!</v>
      </c>
      <c r="FK2" t="e">
        <f>AND(Conciliación!C30,"AAAAAG7v36Y=")</f>
        <v>#VALUE!</v>
      </c>
      <c r="FL2" t="e">
        <f>AND(Conciliación!D30,"AAAAAG7v36c=")</f>
        <v>#VALUE!</v>
      </c>
      <c r="FM2" t="e">
        <f>AND(Conciliación!E30,"AAAAAG7v36g=")</f>
        <v>#VALUE!</v>
      </c>
      <c r="FN2" t="e">
        <f>AND(Conciliación!F30,"AAAAAG7v36k=")</f>
        <v>#VALUE!</v>
      </c>
      <c r="FO2" t="e">
        <f>AND(Conciliación!G30,"AAAAAG7v36o=")</f>
        <v>#VALUE!</v>
      </c>
      <c r="FP2" t="e">
        <f>AND(Conciliación!H30,"AAAAAG7v36s=")</f>
        <v>#VALUE!</v>
      </c>
      <c r="FQ2" t="e">
        <f>AND(Conciliación!I30,"AAAAAG7v36w=")</f>
        <v>#VALUE!</v>
      </c>
      <c r="FR2" t="e">
        <f>AND(Conciliación!J30,"AAAAAG7v360=")</f>
        <v>#VALUE!</v>
      </c>
      <c r="FS2" t="e">
        <f>AND(Conciliación!K30,"AAAAAG7v364=")</f>
        <v>#VALUE!</v>
      </c>
      <c r="FT2" t="e">
        <f>AND(Conciliación!L30,"AAAAAG7v368=")</f>
        <v>#VALUE!</v>
      </c>
      <c r="FU2" t="e">
        <f>AND(Conciliación!M30,"AAAAAG7v37A=")</f>
        <v>#VALUE!</v>
      </c>
      <c r="FV2" t="e">
        <f>AND(Conciliación!N30,"AAAAAG7v37E=")</f>
        <v>#VALUE!</v>
      </c>
      <c r="FW2">
        <f>IF(Conciliación!31:31,"AAAAAG7v37I=",0)</f>
        <v>0</v>
      </c>
      <c r="FX2" t="e">
        <f>AND(Conciliación!B31,"AAAAAG7v37M=")</f>
        <v>#VALUE!</v>
      </c>
      <c r="FY2" t="e">
        <f>AND(Conciliación!C31,"AAAAAG7v37Q=")</f>
        <v>#VALUE!</v>
      </c>
      <c r="FZ2" t="e">
        <f>AND(Conciliación!D31,"AAAAAG7v37U=")</f>
        <v>#VALUE!</v>
      </c>
      <c r="GA2" t="e">
        <f>AND(Conciliación!E31,"AAAAAG7v37Y=")</f>
        <v>#VALUE!</v>
      </c>
      <c r="GB2" t="e">
        <f>AND(Conciliación!F31,"AAAAAG7v37c=")</f>
        <v>#VALUE!</v>
      </c>
      <c r="GC2" t="e">
        <f>AND(Conciliación!G31,"AAAAAG7v37g=")</f>
        <v>#VALUE!</v>
      </c>
      <c r="GD2" t="e">
        <f>AND(Conciliación!H31,"AAAAAG7v37k=")</f>
        <v>#VALUE!</v>
      </c>
      <c r="GE2" t="e">
        <f>AND(Conciliación!I31,"AAAAAG7v37o=")</f>
        <v>#VALUE!</v>
      </c>
      <c r="GF2" t="e">
        <f>AND(Conciliación!J31,"AAAAAG7v37s=")</f>
        <v>#VALUE!</v>
      </c>
      <c r="GG2" t="e">
        <f>AND(Conciliación!K31,"AAAAAG7v37w=")</f>
        <v>#VALUE!</v>
      </c>
      <c r="GH2" t="e">
        <f>AND(Conciliación!L31,"AAAAAG7v370=")</f>
        <v>#VALUE!</v>
      </c>
      <c r="GI2" t="e">
        <f>AND(Conciliación!M31,"AAAAAG7v374=")</f>
        <v>#VALUE!</v>
      </c>
      <c r="GJ2" t="e">
        <f>AND(Conciliación!N31,"AAAAAG7v378=")</f>
        <v>#VALUE!</v>
      </c>
      <c r="GK2">
        <f>IF(Conciliación!32:32,"AAAAAG7v38A=",0)</f>
        <v>0</v>
      </c>
      <c r="GL2" t="e">
        <f>AND(Conciliación!B32,"AAAAAG7v38E=")</f>
        <v>#VALUE!</v>
      </c>
      <c r="GM2" t="e">
        <f>AND(Conciliación!C32,"AAAAAG7v38I=")</f>
        <v>#VALUE!</v>
      </c>
      <c r="GN2" t="e">
        <f>AND(Conciliación!D32,"AAAAAG7v38M=")</f>
        <v>#VALUE!</v>
      </c>
      <c r="GO2" t="e">
        <f>AND(Conciliación!E32,"AAAAAG7v38Q=")</f>
        <v>#VALUE!</v>
      </c>
      <c r="GP2" t="e">
        <f>AND(Conciliación!F32,"AAAAAG7v38U=")</f>
        <v>#VALUE!</v>
      </c>
      <c r="GQ2" t="e">
        <f>AND(Conciliación!G32,"AAAAAG7v38Y=")</f>
        <v>#VALUE!</v>
      </c>
      <c r="GR2" t="e">
        <f>AND(Conciliación!H32,"AAAAAG7v38c=")</f>
        <v>#VALUE!</v>
      </c>
      <c r="GS2" t="e">
        <f>AND(Conciliación!I32,"AAAAAG7v38g=")</f>
        <v>#VALUE!</v>
      </c>
      <c r="GT2" t="e">
        <f>AND(Conciliación!J32,"AAAAAG7v38k=")</f>
        <v>#VALUE!</v>
      </c>
      <c r="GU2" t="e">
        <f>AND(Conciliación!K32,"AAAAAG7v38o=")</f>
        <v>#VALUE!</v>
      </c>
      <c r="GV2" t="e">
        <f>AND(Conciliación!L32,"AAAAAG7v38s=")</f>
        <v>#VALUE!</v>
      </c>
      <c r="GW2" t="e">
        <f>AND(Conciliación!M32,"AAAAAG7v38w=")</f>
        <v>#VALUE!</v>
      </c>
      <c r="GX2" t="e">
        <f>AND(Conciliación!N32,"AAAAAG7v380=")</f>
        <v>#VALUE!</v>
      </c>
      <c r="GY2">
        <f>IF(Conciliación!33:33,"AAAAAG7v384=",0)</f>
        <v>0</v>
      </c>
      <c r="GZ2" t="e">
        <f>AND(Conciliación!B33,"AAAAAG7v388=")</f>
        <v>#VALUE!</v>
      </c>
      <c r="HA2" t="e">
        <f>AND(Conciliación!C33,"AAAAAG7v39A=")</f>
        <v>#VALUE!</v>
      </c>
      <c r="HB2" t="e">
        <f>AND(Conciliación!D33,"AAAAAG7v39E=")</f>
        <v>#VALUE!</v>
      </c>
      <c r="HC2" t="e">
        <f>AND(Conciliación!E33,"AAAAAG7v39I=")</f>
        <v>#VALUE!</v>
      </c>
      <c r="HD2" t="e">
        <f>AND(Conciliación!F33,"AAAAAG7v39M=")</f>
        <v>#VALUE!</v>
      </c>
      <c r="HE2" t="e">
        <f>AND(Conciliación!G33,"AAAAAG7v39Q=")</f>
        <v>#VALUE!</v>
      </c>
      <c r="HF2" t="e">
        <f>AND(Conciliación!H33,"AAAAAG7v39U=")</f>
        <v>#VALUE!</v>
      </c>
      <c r="HG2" t="e">
        <f>AND(Conciliación!I33,"AAAAAG7v39Y=")</f>
        <v>#VALUE!</v>
      </c>
      <c r="HH2" t="e">
        <f>AND(Conciliación!J33,"AAAAAG7v39c=")</f>
        <v>#VALUE!</v>
      </c>
      <c r="HI2" t="e">
        <f>AND(Conciliación!K33,"AAAAAG7v39g=")</f>
        <v>#VALUE!</v>
      </c>
      <c r="HJ2" t="e">
        <f>AND(Conciliación!L33,"AAAAAG7v39k=")</f>
        <v>#VALUE!</v>
      </c>
      <c r="HK2" t="e">
        <f>AND(Conciliación!M33,"AAAAAG7v39o=")</f>
        <v>#VALUE!</v>
      </c>
      <c r="HL2" t="e">
        <f>AND(Conciliación!N33,"AAAAAG7v39s=")</f>
        <v>#VALUE!</v>
      </c>
      <c r="HM2">
        <f>IF(Conciliación!34:34,"AAAAAG7v39w=",0)</f>
        <v>0</v>
      </c>
      <c r="HN2" t="e">
        <f>AND(Conciliación!B34,"AAAAAG7v390=")</f>
        <v>#VALUE!</v>
      </c>
      <c r="HO2" t="e">
        <f>AND(Conciliación!C34,"AAAAAG7v394=")</f>
        <v>#VALUE!</v>
      </c>
      <c r="HP2" t="e">
        <f>AND(Conciliación!D34,"AAAAAG7v398=")</f>
        <v>#VALUE!</v>
      </c>
      <c r="HQ2" t="e">
        <f>AND(Conciliación!E34,"AAAAAG7v3+A=")</f>
        <v>#VALUE!</v>
      </c>
      <c r="HR2" t="e">
        <f>AND(Conciliación!F34,"AAAAAG7v3+E=")</f>
        <v>#VALUE!</v>
      </c>
      <c r="HS2" t="e">
        <f>AND(Conciliación!G34,"AAAAAG7v3+I=")</f>
        <v>#VALUE!</v>
      </c>
      <c r="HT2" t="e">
        <f>AND(Conciliación!H34,"AAAAAG7v3+M=")</f>
        <v>#VALUE!</v>
      </c>
      <c r="HU2" t="e">
        <f>AND(Conciliación!I34,"AAAAAG7v3+Q=")</f>
        <v>#VALUE!</v>
      </c>
      <c r="HV2" t="e">
        <f>AND(Conciliación!J34,"AAAAAG7v3+U=")</f>
        <v>#VALUE!</v>
      </c>
      <c r="HW2" t="e">
        <f>AND(Conciliación!K34,"AAAAAG7v3+Y=")</f>
        <v>#VALUE!</v>
      </c>
      <c r="HX2" t="e">
        <f>AND(Conciliación!L34,"AAAAAG7v3+c=")</f>
        <v>#VALUE!</v>
      </c>
      <c r="HY2" t="e">
        <f>AND(Conciliación!M34,"AAAAAG7v3+g=")</f>
        <v>#VALUE!</v>
      </c>
      <c r="HZ2" t="e">
        <f>AND(Conciliación!N34,"AAAAAG7v3+k=")</f>
        <v>#VALUE!</v>
      </c>
      <c r="IA2">
        <f>IF(Conciliación!35:35,"AAAAAG7v3+o=",0)</f>
        <v>0</v>
      </c>
      <c r="IB2" t="e">
        <f>AND(Conciliación!B35,"AAAAAG7v3+s=")</f>
        <v>#VALUE!</v>
      </c>
      <c r="IC2" t="e">
        <f>AND(Conciliación!C35,"AAAAAG7v3+w=")</f>
        <v>#VALUE!</v>
      </c>
      <c r="ID2" t="e">
        <f>AND(Conciliación!D35,"AAAAAG7v3+0=")</f>
        <v>#VALUE!</v>
      </c>
      <c r="IE2" t="e">
        <f>AND(Conciliación!E35,"AAAAAG7v3+4=")</f>
        <v>#VALUE!</v>
      </c>
      <c r="IF2" t="e">
        <f>AND(Conciliación!F35,"AAAAAG7v3+8=")</f>
        <v>#VALUE!</v>
      </c>
      <c r="IG2" t="e">
        <f>AND(Conciliación!G35,"AAAAAG7v3/A=")</f>
        <v>#VALUE!</v>
      </c>
      <c r="IH2" t="e">
        <f>AND(Conciliación!H35,"AAAAAG7v3/E=")</f>
        <v>#VALUE!</v>
      </c>
      <c r="II2" t="e">
        <f>AND(Conciliación!I35,"AAAAAG7v3/I=")</f>
        <v>#VALUE!</v>
      </c>
      <c r="IJ2" t="e">
        <f>AND(Conciliación!J35,"AAAAAG7v3/M=")</f>
        <v>#VALUE!</v>
      </c>
      <c r="IK2" t="e">
        <f>AND(Conciliación!K35,"AAAAAG7v3/Q=")</f>
        <v>#VALUE!</v>
      </c>
      <c r="IL2" t="e">
        <f>AND(Conciliación!L35,"AAAAAG7v3/U=")</f>
        <v>#VALUE!</v>
      </c>
      <c r="IM2" t="e">
        <f>AND(Conciliación!M35,"AAAAAG7v3/Y=")</f>
        <v>#VALUE!</v>
      </c>
      <c r="IN2" t="e">
        <f>AND(Conciliación!N35,"AAAAAG7v3/c=")</f>
        <v>#VALUE!</v>
      </c>
      <c r="IO2">
        <f>IF(Conciliación!36:36,"AAAAAG7v3/g=",0)</f>
        <v>0</v>
      </c>
      <c r="IP2" t="e">
        <f>AND(Conciliación!B36,"AAAAAG7v3/k=")</f>
        <v>#VALUE!</v>
      </c>
      <c r="IQ2" t="e">
        <f>AND(Conciliación!C36,"AAAAAG7v3/o=")</f>
        <v>#VALUE!</v>
      </c>
      <c r="IR2" t="e">
        <f>AND(Conciliación!D36,"AAAAAG7v3/s=")</f>
        <v>#VALUE!</v>
      </c>
      <c r="IS2" t="e">
        <f>AND(Conciliación!E36,"AAAAAG7v3/w=")</f>
        <v>#VALUE!</v>
      </c>
      <c r="IT2" t="e">
        <f>AND(Conciliación!F36,"AAAAAG7v3/0=")</f>
        <v>#VALUE!</v>
      </c>
      <c r="IU2" t="e">
        <f>AND(Conciliación!G36,"AAAAAG7v3/4=")</f>
        <v>#VALUE!</v>
      </c>
      <c r="IV2" t="e">
        <f>AND(Conciliación!H36,"AAAAAG7v3/8=")</f>
        <v>#VALUE!</v>
      </c>
    </row>
    <row r="3" spans="1:256" x14ac:dyDescent="0.2">
      <c r="A3" t="e">
        <f>AND(Conciliación!I36,"AAAAAHW/tgA=")</f>
        <v>#VALUE!</v>
      </c>
      <c r="B3" t="e">
        <f>AND(Conciliación!J36,"AAAAAHW/tgE=")</f>
        <v>#VALUE!</v>
      </c>
      <c r="C3" t="e">
        <f>AND(Conciliación!K36,"AAAAAHW/tgI=")</f>
        <v>#VALUE!</v>
      </c>
      <c r="D3" t="e">
        <f>AND(Conciliación!L36,"AAAAAHW/tgM=")</f>
        <v>#VALUE!</v>
      </c>
      <c r="E3" t="e">
        <f>AND(Conciliación!M36,"AAAAAHW/tgQ=")</f>
        <v>#VALUE!</v>
      </c>
      <c r="F3" t="e">
        <f>AND(Conciliación!N36,"AAAAAHW/tgU=")</f>
        <v>#VALUE!</v>
      </c>
      <c r="G3">
        <f>IF(Conciliación!37:37,"AAAAAHW/tgY=",0)</f>
        <v>0</v>
      </c>
      <c r="H3" t="e">
        <f>AND(Conciliación!B37,"AAAAAHW/tgc=")</f>
        <v>#VALUE!</v>
      </c>
      <c r="I3" t="e">
        <f>AND(Conciliación!C37,"AAAAAHW/tgg=")</f>
        <v>#VALUE!</v>
      </c>
      <c r="J3" t="e">
        <f>AND(Conciliación!D37,"AAAAAHW/tgk=")</f>
        <v>#VALUE!</v>
      </c>
      <c r="K3" t="e">
        <f>AND(Conciliación!E37,"AAAAAHW/tgo=")</f>
        <v>#VALUE!</v>
      </c>
      <c r="L3" t="e">
        <f>AND(Conciliación!F37,"AAAAAHW/tgs=")</f>
        <v>#VALUE!</v>
      </c>
      <c r="M3" t="e">
        <f>AND(Conciliación!G37,"AAAAAHW/tgw=")</f>
        <v>#VALUE!</v>
      </c>
      <c r="N3" t="e">
        <f>AND(Conciliación!H37,"AAAAAHW/tg0=")</f>
        <v>#VALUE!</v>
      </c>
      <c r="O3" t="e">
        <f>AND(Conciliación!I37,"AAAAAHW/tg4=")</f>
        <v>#VALUE!</v>
      </c>
      <c r="P3" t="e">
        <f>AND(Conciliación!J37,"AAAAAHW/tg8=")</f>
        <v>#VALUE!</v>
      </c>
      <c r="Q3" t="e">
        <f>AND(Conciliación!K37,"AAAAAHW/thA=")</f>
        <v>#VALUE!</v>
      </c>
      <c r="R3" t="e">
        <f>AND(Conciliación!L37,"AAAAAHW/thE=")</f>
        <v>#VALUE!</v>
      </c>
      <c r="S3" t="e">
        <f>AND(Conciliación!M37,"AAAAAHW/thI=")</f>
        <v>#VALUE!</v>
      </c>
      <c r="T3" t="e">
        <f>AND(Conciliación!N37,"AAAAAHW/thM=")</f>
        <v>#VALUE!</v>
      </c>
      <c r="U3">
        <f>IF(Conciliación!38:38,"AAAAAHW/thQ=",0)</f>
        <v>0</v>
      </c>
      <c r="V3" t="e">
        <f>AND(Conciliación!B38,"AAAAAHW/thU=")</f>
        <v>#VALUE!</v>
      </c>
      <c r="W3" t="e">
        <f>AND(Conciliación!C38,"AAAAAHW/thY=")</f>
        <v>#VALUE!</v>
      </c>
      <c r="X3" t="e">
        <f>AND(Conciliación!D38,"AAAAAHW/thc=")</f>
        <v>#VALUE!</v>
      </c>
      <c r="Y3" t="e">
        <f>AND(Conciliación!E38,"AAAAAHW/thg=")</f>
        <v>#VALUE!</v>
      </c>
      <c r="Z3" t="e">
        <f>AND(Conciliación!F38,"AAAAAHW/thk=")</f>
        <v>#VALUE!</v>
      </c>
      <c r="AA3" t="e">
        <f>AND(Conciliación!G38,"AAAAAHW/tho=")</f>
        <v>#VALUE!</v>
      </c>
      <c r="AB3" t="e">
        <f>AND(Conciliación!H38,"AAAAAHW/ths=")</f>
        <v>#VALUE!</v>
      </c>
      <c r="AC3" t="e">
        <f>AND(Conciliación!I38,"AAAAAHW/thw=")</f>
        <v>#VALUE!</v>
      </c>
      <c r="AD3" t="e">
        <f>AND(Conciliación!J38,"AAAAAHW/th0=")</f>
        <v>#VALUE!</v>
      </c>
      <c r="AE3" t="e">
        <f>AND(Conciliación!K38,"AAAAAHW/th4=")</f>
        <v>#VALUE!</v>
      </c>
      <c r="AF3" t="e">
        <f>AND(Conciliación!L38,"AAAAAHW/th8=")</f>
        <v>#VALUE!</v>
      </c>
      <c r="AG3" t="e">
        <f>AND(Conciliación!M38,"AAAAAHW/tiA=")</f>
        <v>#VALUE!</v>
      </c>
      <c r="AH3" t="e">
        <f>AND(Conciliación!N38,"AAAAAHW/tiE=")</f>
        <v>#VALUE!</v>
      </c>
      <c r="AI3">
        <f>IF(Conciliación!39:39,"AAAAAHW/tiI=",0)</f>
        <v>0</v>
      </c>
      <c r="AJ3" t="e">
        <f>AND(Conciliación!B39,"AAAAAHW/tiM=")</f>
        <v>#VALUE!</v>
      </c>
      <c r="AK3" t="e">
        <f>AND(Conciliación!C39,"AAAAAHW/tiQ=")</f>
        <v>#VALUE!</v>
      </c>
      <c r="AL3" t="e">
        <f>AND(Conciliación!D39,"AAAAAHW/tiU=")</f>
        <v>#VALUE!</v>
      </c>
      <c r="AM3" t="e">
        <f>AND(Conciliación!E39,"AAAAAHW/tiY=")</f>
        <v>#VALUE!</v>
      </c>
      <c r="AN3" t="e">
        <f>AND(Conciliación!F39,"AAAAAHW/tic=")</f>
        <v>#VALUE!</v>
      </c>
      <c r="AO3" t="e">
        <f>AND(Conciliación!G39,"AAAAAHW/tig=")</f>
        <v>#VALUE!</v>
      </c>
      <c r="AP3" t="e">
        <f>AND(Conciliación!H39,"AAAAAHW/tik=")</f>
        <v>#VALUE!</v>
      </c>
      <c r="AQ3" t="e">
        <f>AND(Conciliación!I39,"AAAAAHW/tio=")</f>
        <v>#VALUE!</v>
      </c>
      <c r="AR3" t="e">
        <f>AND(Conciliación!J39,"AAAAAHW/tis=")</f>
        <v>#VALUE!</v>
      </c>
      <c r="AS3" t="e">
        <f>AND(Conciliación!K39,"AAAAAHW/tiw=")</f>
        <v>#VALUE!</v>
      </c>
      <c r="AT3" t="e">
        <f>AND(Conciliación!L39,"AAAAAHW/ti0=")</f>
        <v>#VALUE!</v>
      </c>
      <c r="AU3" t="e">
        <f>AND(Conciliación!M39,"AAAAAHW/ti4=")</f>
        <v>#VALUE!</v>
      </c>
      <c r="AV3" t="e">
        <f>AND(Conciliación!N39,"AAAAAHW/ti8=")</f>
        <v>#VALUE!</v>
      </c>
      <c r="AW3">
        <f>IF(Conciliación!40:40,"AAAAAHW/tjA=",0)</f>
        <v>0</v>
      </c>
      <c r="AX3" t="e">
        <f>AND(Conciliación!B40,"AAAAAHW/tjE=")</f>
        <v>#VALUE!</v>
      </c>
      <c r="AY3" t="e">
        <f>AND(Conciliación!C40,"AAAAAHW/tjI=")</f>
        <v>#VALUE!</v>
      </c>
      <c r="AZ3" t="e">
        <f>AND(Conciliación!D40,"AAAAAHW/tjM=")</f>
        <v>#VALUE!</v>
      </c>
      <c r="BA3" t="e">
        <f>AND(Conciliación!E40,"AAAAAHW/tjQ=")</f>
        <v>#VALUE!</v>
      </c>
      <c r="BB3" t="e">
        <f>AND(Conciliación!F40,"AAAAAHW/tjU=")</f>
        <v>#VALUE!</v>
      </c>
      <c r="BC3" t="e">
        <f>AND(Conciliación!G40,"AAAAAHW/tjY=")</f>
        <v>#VALUE!</v>
      </c>
      <c r="BD3" t="e">
        <f>AND(Conciliación!H40,"AAAAAHW/tjc=")</f>
        <v>#VALUE!</v>
      </c>
      <c r="BE3" t="e">
        <f>AND(Conciliación!I40,"AAAAAHW/tjg=")</f>
        <v>#VALUE!</v>
      </c>
      <c r="BF3" t="e">
        <f>AND(Conciliación!J40,"AAAAAHW/tjk=")</f>
        <v>#VALUE!</v>
      </c>
      <c r="BG3" t="e">
        <f>AND(Conciliación!K40,"AAAAAHW/tjo=")</f>
        <v>#VALUE!</v>
      </c>
      <c r="BH3" t="e">
        <f>AND(Conciliación!L40,"AAAAAHW/tjs=")</f>
        <v>#VALUE!</v>
      </c>
      <c r="BI3" t="e">
        <f>AND(Conciliación!M40,"AAAAAHW/tjw=")</f>
        <v>#VALUE!</v>
      </c>
      <c r="BJ3" t="e">
        <f>AND(Conciliación!N40,"AAAAAHW/tj0=")</f>
        <v>#VALUE!</v>
      </c>
      <c r="BK3">
        <f>IF(Conciliación!41:41,"AAAAAHW/tj4=",0)</f>
        <v>0</v>
      </c>
      <c r="BL3" t="e">
        <f>AND(Conciliación!B41,"AAAAAHW/tj8=")</f>
        <v>#VALUE!</v>
      </c>
      <c r="BM3" t="e">
        <f>AND(Conciliación!C41,"AAAAAHW/tkA=")</f>
        <v>#VALUE!</v>
      </c>
      <c r="BN3" t="e">
        <f>AND(Conciliación!D41,"AAAAAHW/tkE=")</f>
        <v>#VALUE!</v>
      </c>
      <c r="BO3" t="e">
        <f>AND(Conciliación!E41,"AAAAAHW/tkI=")</f>
        <v>#VALUE!</v>
      </c>
      <c r="BP3" t="e">
        <f>AND(Conciliación!F41,"AAAAAHW/tkM=")</f>
        <v>#VALUE!</v>
      </c>
      <c r="BQ3" t="e">
        <f>AND(Conciliación!G41,"AAAAAHW/tkQ=")</f>
        <v>#VALUE!</v>
      </c>
      <c r="BR3" t="e">
        <f>AND(Conciliación!H41,"AAAAAHW/tkU=")</f>
        <v>#VALUE!</v>
      </c>
      <c r="BS3" t="e">
        <f>AND(Conciliación!I41,"AAAAAHW/tkY=")</f>
        <v>#VALUE!</v>
      </c>
      <c r="BT3" t="e">
        <f>AND(Conciliación!J41,"AAAAAHW/tkc=")</f>
        <v>#VALUE!</v>
      </c>
      <c r="BU3" t="e">
        <f>AND(Conciliación!K41,"AAAAAHW/tkg=")</f>
        <v>#VALUE!</v>
      </c>
      <c r="BV3" t="e">
        <f>AND(Conciliación!L41,"AAAAAHW/tkk=")</f>
        <v>#VALUE!</v>
      </c>
      <c r="BW3" t="e">
        <f>AND(Conciliación!M41,"AAAAAHW/tko=")</f>
        <v>#VALUE!</v>
      </c>
      <c r="BX3" t="e">
        <f>AND(Conciliación!N41,"AAAAAHW/tks=")</f>
        <v>#VALUE!</v>
      </c>
      <c r="BY3">
        <f>IF(Conciliación!42:42,"AAAAAHW/tkw=",0)</f>
        <v>0</v>
      </c>
      <c r="BZ3" t="e">
        <f>AND(Conciliación!B42,"AAAAAHW/tk0=")</f>
        <v>#VALUE!</v>
      </c>
      <c r="CA3" t="e">
        <f>AND(Conciliación!C42,"AAAAAHW/tk4=")</f>
        <v>#VALUE!</v>
      </c>
      <c r="CB3" t="e">
        <f>AND(Conciliación!D42,"AAAAAHW/tk8=")</f>
        <v>#VALUE!</v>
      </c>
      <c r="CC3" t="e">
        <f>AND(Conciliación!E42,"AAAAAHW/tlA=")</f>
        <v>#VALUE!</v>
      </c>
      <c r="CD3" t="e">
        <f>AND(Conciliación!F42,"AAAAAHW/tlE=")</f>
        <v>#VALUE!</v>
      </c>
      <c r="CE3" t="e">
        <f>AND(Conciliación!G42,"AAAAAHW/tlI=")</f>
        <v>#VALUE!</v>
      </c>
      <c r="CF3" t="e">
        <f>AND(Conciliación!H42,"AAAAAHW/tlM=")</f>
        <v>#VALUE!</v>
      </c>
      <c r="CG3" t="e">
        <f>AND(Conciliación!I42,"AAAAAHW/tlQ=")</f>
        <v>#VALUE!</v>
      </c>
      <c r="CH3" t="e">
        <f>AND(Conciliación!J42,"AAAAAHW/tlU=")</f>
        <v>#VALUE!</v>
      </c>
      <c r="CI3" t="e">
        <f>AND(Conciliación!K42,"AAAAAHW/tlY=")</f>
        <v>#VALUE!</v>
      </c>
      <c r="CJ3" t="e">
        <f>AND(Conciliación!L42,"AAAAAHW/tlc=")</f>
        <v>#VALUE!</v>
      </c>
      <c r="CK3" t="e">
        <f>AND(Conciliación!M42,"AAAAAHW/tlg=")</f>
        <v>#VALUE!</v>
      </c>
      <c r="CL3" t="e">
        <f>AND(Conciliación!N42,"AAAAAHW/tlk=")</f>
        <v>#VALUE!</v>
      </c>
      <c r="CM3">
        <f>IF(Conciliación!43:43,"AAAAAHW/tlo=",0)</f>
        <v>0</v>
      </c>
      <c r="CN3" t="e">
        <f>AND(Conciliación!B43,"AAAAAHW/tls=")</f>
        <v>#VALUE!</v>
      </c>
      <c r="CO3" t="e">
        <f>AND(Conciliación!C43,"AAAAAHW/tlw=")</f>
        <v>#VALUE!</v>
      </c>
      <c r="CP3" t="e">
        <f>AND(Conciliación!D43,"AAAAAHW/tl0=")</f>
        <v>#VALUE!</v>
      </c>
      <c r="CQ3" t="e">
        <f>AND(Conciliación!E43,"AAAAAHW/tl4=")</f>
        <v>#VALUE!</v>
      </c>
      <c r="CR3" t="e">
        <f>AND(Conciliación!F43,"AAAAAHW/tl8=")</f>
        <v>#VALUE!</v>
      </c>
      <c r="CS3" t="e">
        <f>AND(Conciliación!G43,"AAAAAHW/tmA=")</f>
        <v>#VALUE!</v>
      </c>
      <c r="CT3" t="e">
        <f>AND(Conciliación!H43,"AAAAAHW/tmE=")</f>
        <v>#VALUE!</v>
      </c>
      <c r="CU3" t="e">
        <f>AND(Conciliación!I43,"AAAAAHW/tmI=")</f>
        <v>#VALUE!</v>
      </c>
      <c r="CV3" t="e">
        <f>AND(Conciliación!J43,"AAAAAHW/tmM=")</f>
        <v>#VALUE!</v>
      </c>
      <c r="CW3" t="e">
        <f>AND(Conciliación!K43,"AAAAAHW/tmQ=")</f>
        <v>#VALUE!</v>
      </c>
      <c r="CX3" t="e">
        <f>AND(Conciliación!L43,"AAAAAHW/tmU=")</f>
        <v>#VALUE!</v>
      </c>
      <c r="CY3" t="e">
        <f>AND(Conciliación!M43,"AAAAAHW/tmY=")</f>
        <v>#VALUE!</v>
      </c>
      <c r="CZ3" t="e">
        <f>AND(Conciliación!N43,"AAAAAHW/tmc=")</f>
        <v>#VALUE!</v>
      </c>
      <c r="DA3">
        <f>IF(Conciliación!44:44,"AAAAAHW/tmg=",0)</f>
        <v>0</v>
      </c>
      <c r="DB3" t="e">
        <f>AND(Conciliación!B44,"AAAAAHW/tmk=")</f>
        <v>#VALUE!</v>
      </c>
      <c r="DC3" t="e">
        <f>AND(Conciliación!C44,"AAAAAHW/tmo=")</f>
        <v>#VALUE!</v>
      </c>
      <c r="DD3" t="e">
        <f>AND(Conciliación!D44,"AAAAAHW/tms=")</f>
        <v>#VALUE!</v>
      </c>
      <c r="DE3" t="e">
        <f>AND(Conciliación!E44,"AAAAAHW/tmw=")</f>
        <v>#VALUE!</v>
      </c>
      <c r="DF3" t="e">
        <f>AND(Conciliación!F44,"AAAAAHW/tm0=")</f>
        <v>#VALUE!</v>
      </c>
      <c r="DG3" t="e">
        <f>AND(Conciliación!G44,"AAAAAHW/tm4=")</f>
        <v>#VALUE!</v>
      </c>
      <c r="DH3" t="e">
        <f>AND(Conciliación!H44,"AAAAAHW/tm8=")</f>
        <v>#VALUE!</v>
      </c>
      <c r="DI3" t="e">
        <f>AND(Conciliación!I44,"AAAAAHW/tnA=")</f>
        <v>#VALUE!</v>
      </c>
      <c r="DJ3" t="e">
        <f>AND(Conciliación!J44,"AAAAAHW/tnE=")</f>
        <v>#VALUE!</v>
      </c>
      <c r="DK3" t="e">
        <f>AND(Conciliación!K44,"AAAAAHW/tnI=")</f>
        <v>#VALUE!</v>
      </c>
      <c r="DL3" t="e">
        <f>AND(Conciliación!L44,"AAAAAHW/tnM=")</f>
        <v>#VALUE!</v>
      </c>
      <c r="DM3" t="e">
        <f>AND(Conciliación!M44,"AAAAAHW/tnQ=")</f>
        <v>#VALUE!</v>
      </c>
      <c r="DN3" t="e">
        <f>AND(Conciliación!N44,"AAAAAHW/tnU=")</f>
        <v>#VALUE!</v>
      </c>
      <c r="DO3">
        <f>IF(Conciliación!45:45,"AAAAAHW/tnY=",0)</f>
        <v>0</v>
      </c>
      <c r="DP3" t="e">
        <f>AND(Conciliación!B45,"AAAAAHW/tnc=")</f>
        <v>#VALUE!</v>
      </c>
      <c r="DQ3" t="e">
        <f>AND(Conciliación!C45,"AAAAAHW/tng=")</f>
        <v>#VALUE!</v>
      </c>
      <c r="DR3" t="e">
        <f>AND(Conciliación!D45,"AAAAAHW/tnk=")</f>
        <v>#VALUE!</v>
      </c>
      <c r="DS3" t="e">
        <f>AND(Conciliación!E45,"AAAAAHW/tno=")</f>
        <v>#VALUE!</v>
      </c>
      <c r="DT3" t="e">
        <f>AND(Conciliación!F45,"AAAAAHW/tns=")</f>
        <v>#VALUE!</v>
      </c>
      <c r="DU3" t="e">
        <f>AND(Conciliación!G45,"AAAAAHW/tnw=")</f>
        <v>#VALUE!</v>
      </c>
      <c r="DV3" t="e">
        <f>AND(Conciliación!H45,"AAAAAHW/tn0=")</f>
        <v>#VALUE!</v>
      </c>
      <c r="DW3" t="e">
        <f>AND(Conciliación!I45,"AAAAAHW/tn4=")</f>
        <v>#VALUE!</v>
      </c>
      <c r="DX3" t="e">
        <f>AND(Conciliación!J45,"AAAAAHW/tn8=")</f>
        <v>#VALUE!</v>
      </c>
      <c r="DY3" t="e">
        <f>AND(Conciliación!K45,"AAAAAHW/toA=")</f>
        <v>#VALUE!</v>
      </c>
      <c r="DZ3" t="e">
        <f>AND(Conciliación!L45,"AAAAAHW/toE=")</f>
        <v>#VALUE!</v>
      </c>
      <c r="EA3" t="e">
        <f>AND(Conciliación!M45,"AAAAAHW/toI=")</f>
        <v>#VALUE!</v>
      </c>
      <c r="EB3" t="e">
        <f>AND(Conciliación!N45,"AAAAAHW/toM=")</f>
        <v>#VALUE!</v>
      </c>
      <c r="EC3">
        <f>IF(Conciliación!46:46,"AAAAAHW/toQ=",0)</f>
        <v>0</v>
      </c>
      <c r="ED3" t="e">
        <f>AND(Conciliación!B46,"AAAAAHW/toU=")</f>
        <v>#VALUE!</v>
      </c>
      <c r="EE3" t="e">
        <f>AND(Conciliación!C46,"AAAAAHW/toY=")</f>
        <v>#VALUE!</v>
      </c>
      <c r="EF3" t="e">
        <f>AND(Conciliación!D46,"AAAAAHW/toc=")</f>
        <v>#VALUE!</v>
      </c>
      <c r="EG3" t="e">
        <f>AND(Conciliación!E46,"AAAAAHW/tog=")</f>
        <v>#VALUE!</v>
      </c>
      <c r="EH3" t="e">
        <f>AND(Conciliación!F46,"AAAAAHW/tok=")</f>
        <v>#VALUE!</v>
      </c>
      <c r="EI3" t="e">
        <f>AND(Conciliación!G46,"AAAAAHW/too=")</f>
        <v>#VALUE!</v>
      </c>
      <c r="EJ3" t="e">
        <f>AND(Conciliación!H46,"AAAAAHW/tos=")</f>
        <v>#VALUE!</v>
      </c>
      <c r="EK3" t="e">
        <f>AND(Conciliación!I46,"AAAAAHW/tow=")</f>
        <v>#VALUE!</v>
      </c>
      <c r="EL3" t="e">
        <f>AND(Conciliación!J46,"AAAAAHW/to0=")</f>
        <v>#VALUE!</v>
      </c>
      <c r="EM3" t="e">
        <f>AND(Conciliación!K46,"AAAAAHW/to4=")</f>
        <v>#VALUE!</v>
      </c>
      <c r="EN3" t="e">
        <f>AND(Conciliación!L46,"AAAAAHW/to8=")</f>
        <v>#VALUE!</v>
      </c>
      <c r="EO3" t="e">
        <f>AND(Conciliación!M46,"AAAAAHW/tpA=")</f>
        <v>#VALUE!</v>
      </c>
      <c r="EP3" t="e">
        <f>AND(Conciliación!N46,"AAAAAHW/tpE=")</f>
        <v>#VALUE!</v>
      </c>
      <c r="EQ3">
        <f>IF(Conciliación!47:47,"AAAAAHW/tpI=",0)</f>
        <v>0</v>
      </c>
      <c r="ER3" t="e">
        <f>AND(Conciliación!B47,"AAAAAHW/tpM=")</f>
        <v>#VALUE!</v>
      </c>
      <c r="ES3" t="e">
        <f>AND(Conciliación!C47,"AAAAAHW/tpQ=")</f>
        <v>#VALUE!</v>
      </c>
      <c r="ET3" t="e">
        <f>AND(Conciliación!D47,"AAAAAHW/tpU=")</f>
        <v>#VALUE!</v>
      </c>
      <c r="EU3" t="e">
        <f>AND(Conciliación!E47,"AAAAAHW/tpY=")</f>
        <v>#VALUE!</v>
      </c>
      <c r="EV3" t="e">
        <f>AND(Conciliación!F47,"AAAAAHW/tpc=")</f>
        <v>#VALUE!</v>
      </c>
      <c r="EW3" t="e">
        <f>AND(Conciliación!G47,"AAAAAHW/tpg=")</f>
        <v>#VALUE!</v>
      </c>
      <c r="EX3" t="e">
        <f>AND(Conciliación!H47,"AAAAAHW/tpk=")</f>
        <v>#VALUE!</v>
      </c>
      <c r="EY3" t="e">
        <f>AND(Conciliación!I47,"AAAAAHW/tpo=")</f>
        <v>#VALUE!</v>
      </c>
      <c r="EZ3" t="e">
        <f>AND(Conciliación!J47,"AAAAAHW/tps=")</f>
        <v>#VALUE!</v>
      </c>
      <c r="FA3" t="e">
        <f>AND(Conciliación!K47,"AAAAAHW/tpw=")</f>
        <v>#VALUE!</v>
      </c>
      <c r="FB3" t="e">
        <f>AND(Conciliación!L47,"AAAAAHW/tp0=")</f>
        <v>#VALUE!</v>
      </c>
      <c r="FC3" t="e">
        <f>AND(Conciliación!M47,"AAAAAHW/tp4=")</f>
        <v>#VALUE!</v>
      </c>
      <c r="FD3" t="e">
        <f>AND(Conciliación!N47,"AAAAAHW/tp8=")</f>
        <v>#VALUE!</v>
      </c>
      <c r="FE3">
        <f>IF(Conciliación!48:48,"AAAAAHW/tqA=",0)</f>
        <v>0</v>
      </c>
      <c r="FF3" t="e">
        <f>AND(Conciliación!B48,"AAAAAHW/tqE=")</f>
        <v>#VALUE!</v>
      </c>
      <c r="FG3" t="e">
        <f>AND(Conciliación!C48,"AAAAAHW/tqI=")</f>
        <v>#VALUE!</v>
      </c>
      <c r="FH3" t="e">
        <f>AND(Conciliación!D48,"AAAAAHW/tqM=")</f>
        <v>#VALUE!</v>
      </c>
      <c r="FI3" t="e">
        <f>AND(Conciliación!E48,"AAAAAHW/tqQ=")</f>
        <v>#VALUE!</v>
      </c>
      <c r="FJ3" t="e">
        <f>AND(Conciliación!F48,"AAAAAHW/tqU=")</f>
        <v>#VALUE!</v>
      </c>
      <c r="FK3" t="e">
        <f>AND(Conciliación!G48,"AAAAAHW/tqY=")</f>
        <v>#VALUE!</v>
      </c>
      <c r="FL3" t="e">
        <f>AND(Conciliación!H48,"AAAAAHW/tqc=")</f>
        <v>#VALUE!</v>
      </c>
      <c r="FM3" t="e">
        <f>AND(Conciliación!I48,"AAAAAHW/tqg=")</f>
        <v>#VALUE!</v>
      </c>
      <c r="FN3" t="e">
        <f>AND(Conciliación!J48,"AAAAAHW/tqk=")</f>
        <v>#VALUE!</v>
      </c>
      <c r="FO3" t="e">
        <f>AND(Conciliación!K48,"AAAAAHW/tqo=")</f>
        <v>#VALUE!</v>
      </c>
      <c r="FP3" t="e">
        <f>AND(Conciliación!L48,"AAAAAHW/tqs=")</f>
        <v>#VALUE!</v>
      </c>
      <c r="FQ3" t="e">
        <f>AND(Conciliación!M48,"AAAAAHW/tqw=")</f>
        <v>#VALUE!</v>
      </c>
      <c r="FR3" t="e">
        <f>AND(Conciliación!N48,"AAAAAHW/tq0=")</f>
        <v>#VALUE!</v>
      </c>
      <c r="FS3">
        <f>IF(Conciliación!49:49,"AAAAAHW/tq4=",0)</f>
        <v>0</v>
      </c>
      <c r="FT3" t="e">
        <f>AND(Conciliación!B49,"AAAAAHW/tq8=")</f>
        <v>#VALUE!</v>
      </c>
      <c r="FU3" t="e">
        <f>AND(Conciliación!C49,"AAAAAHW/trA=")</f>
        <v>#VALUE!</v>
      </c>
      <c r="FV3" t="e">
        <f>AND(Conciliación!D49,"AAAAAHW/trE=")</f>
        <v>#VALUE!</v>
      </c>
      <c r="FW3" t="e">
        <f>AND(Conciliación!E49,"AAAAAHW/trI=")</f>
        <v>#VALUE!</v>
      </c>
      <c r="FX3" t="e">
        <f>AND(Conciliación!F49,"AAAAAHW/trM=")</f>
        <v>#VALUE!</v>
      </c>
      <c r="FY3" t="e">
        <f>AND(Conciliación!G49,"AAAAAHW/trQ=")</f>
        <v>#VALUE!</v>
      </c>
      <c r="FZ3" t="e">
        <f>AND(Conciliación!H49,"AAAAAHW/trU=")</f>
        <v>#VALUE!</v>
      </c>
      <c r="GA3" t="e">
        <f>AND(Conciliación!I49,"AAAAAHW/trY=")</f>
        <v>#VALUE!</v>
      </c>
      <c r="GB3" t="e">
        <f>AND(Conciliación!J49,"AAAAAHW/trc=")</f>
        <v>#VALUE!</v>
      </c>
      <c r="GC3" t="e">
        <f>AND(Conciliación!K49,"AAAAAHW/trg=")</f>
        <v>#VALUE!</v>
      </c>
      <c r="GD3" t="e">
        <f>AND(Conciliación!L49,"AAAAAHW/trk=")</f>
        <v>#VALUE!</v>
      </c>
      <c r="GE3" t="e">
        <f>AND(Conciliación!M49,"AAAAAHW/tro=")</f>
        <v>#VALUE!</v>
      </c>
      <c r="GF3" t="e">
        <f>AND(Conciliación!N49,"AAAAAHW/trs=")</f>
        <v>#VALUE!</v>
      </c>
      <c r="GG3">
        <f>IF(Conciliación!50:50,"AAAAAHW/trw=",0)</f>
        <v>0</v>
      </c>
      <c r="GH3" t="e">
        <f>AND(Conciliación!B50,"AAAAAHW/tr0=")</f>
        <v>#VALUE!</v>
      </c>
      <c r="GI3" t="e">
        <f>AND(Conciliación!C50,"AAAAAHW/tr4=")</f>
        <v>#VALUE!</v>
      </c>
      <c r="GJ3" t="e">
        <f>AND(Conciliación!D50,"AAAAAHW/tr8=")</f>
        <v>#VALUE!</v>
      </c>
      <c r="GK3" t="e">
        <f>AND(Conciliación!E50,"AAAAAHW/tsA=")</f>
        <v>#VALUE!</v>
      </c>
      <c r="GL3" t="e">
        <f>AND(Conciliación!F50,"AAAAAHW/tsE=")</f>
        <v>#VALUE!</v>
      </c>
      <c r="GM3" t="e">
        <f>AND(Conciliación!G50,"AAAAAHW/tsI=")</f>
        <v>#VALUE!</v>
      </c>
      <c r="GN3" t="e">
        <f>AND(Conciliación!H50,"AAAAAHW/tsM=")</f>
        <v>#VALUE!</v>
      </c>
      <c r="GO3" t="e">
        <f>AND(Conciliación!I50,"AAAAAHW/tsQ=")</f>
        <v>#VALUE!</v>
      </c>
      <c r="GP3" t="e">
        <f>AND(Conciliación!J50,"AAAAAHW/tsU=")</f>
        <v>#VALUE!</v>
      </c>
      <c r="GQ3" t="e">
        <f>AND(Conciliación!K50,"AAAAAHW/tsY=")</f>
        <v>#VALUE!</v>
      </c>
      <c r="GR3" t="e">
        <f>AND(Conciliación!L50,"AAAAAHW/tsc=")</f>
        <v>#VALUE!</v>
      </c>
      <c r="GS3" t="e">
        <f>AND(Conciliación!M50,"AAAAAHW/tsg=")</f>
        <v>#VALUE!</v>
      </c>
      <c r="GT3" t="e">
        <f>AND(Conciliación!N50,"AAAAAHW/tsk=")</f>
        <v>#VALUE!</v>
      </c>
      <c r="GU3">
        <f>IF(Conciliación!51:51,"AAAAAHW/tso=",0)</f>
        <v>0</v>
      </c>
      <c r="GV3" t="e">
        <f>AND(Conciliación!B51,"AAAAAHW/tss=")</f>
        <v>#VALUE!</v>
      </c>
      <c r="GW3" t="e">
        <f>AND(Conciliación!C51,"AAAAAHW/tsw=")</f>
        <v>#VALUE!</v>
      </c>
      <c r="GX3" t="e">
        <f>AND(Conciliación!D51,"AAAAAHW/ts0=")</f>
        <v>#VALUE!</v>
      </c>
      <c r="GY3" t="e">
        <f>AND(Conciliación!E51,"AAAAAHW/ts4=")</f>
        <v>#VALUE!</v>
      </c>
      <c r="GZ3" t="e">
        <f>AND(Conciliación!F51,"AAAAAHW/ts8=")</f>
        <v>#VALUE!</v>
      </c>
      <c r="HA3" t="e">
        <f>AND(Conciliación!G51,"AAAAAHW/ttA=")</f>
        <v>#VALUE!</v>
      </c>
      <c r="HB3" t="e">
        <f>AND(Conciliación!H51,"AAAAAHW/ttE=")</f>
        <v>#VALUE!</v>
      </c>
      <c r="HC3" t="e">
        <f>AND(Conciliación!I51,"AAAAAHW/ttI=")</f>
        <v>#VALUE!</v>
      </c>
      <c r="HD3" t="e">
        <f>AND(Conciliación!J51,"AAAAAHW/ttM=")</f>
        <v>#VALUE!</v>
      </c>
      <c r="HE3" t="e">
        <f>AND(Conciliación!K51,"AAAAAHW/ttQ=")</f>
        <v>#VALUE!</v>
      </c>
      <c r="HF3" t="e">
        <f>AND(Conciliación!L51,"AAAAAHW/ttU=")</f>
        <v>#VALUE!</v>
      </c>
      <c r="HG3" t="e">
        <f>AND(Conciliación!M51,"AAAAAHW/ttY=")</f>
        <v>#VALUE!</v>
      </c>
      <c r="HH3" t="e">
        <f>AND(Conciliación!N51,"AAAAAHW/ttc=")</f>
        <v>#VALUE!</v>
      </c>
      <c r="HI3">
        <f>IF(Conciliación!52:52,"AAAAAHW/ttg=",0)</f>
        <v>0</v>
      </c>
      <c r="HJ3" t="e">
        <f>AND(Conciliación!B52,"AAAAAHW/ttk=")</f>
        <v>#VALUE!</v>
      </c>
      <c r="HK3" t="e">
        <f>AND(Conciliación!C52,"AAAAAHW/tto=")</f>
        <v>#VALUE!</v>
      </c>
      <c r="HL3" t="e">
        <f>AND(Conciliación!D52,"AAAAAHW/tts=")</f>
        <v>#VALUE!</v>
      </c>
      <c r="HM3" t="e">
        <f>AND(Conciliación!E52,"AAAAAHW/ttw=")</f>
        <v>#VALUE!</v>
      </c>
      <c r="HN3" t="e">
        <f>AND(Conciliación!F52,"AAAAAHW/tt0=")</f>
        <v>#VALUE!</v>
      </c>
      <c r="HO3" t="e">
        <f>AND(Conciliación!G52,"AAAAAHW/tt4=")</f>
        <v>#VALUE!</v>
      </c>
      <c r="HP3" t="e">
        <f>AND(Conciliación!H52,"AAAAAHW/tt8=")</f>
        <v>#VALUE!</v>
      </c>
      <c r="HQ3" t="e">
        <f>AND(Conciliación!I52,"AAAAAHW/tuA=")</f>
        <v>#VALUE!</v>
      </c>
      <c r="HR3" t="e">
        <f>AND(Conciliación!J52,"AAAAAHW/tuE=")</f>
        <v>#VALUE!</v>
      </c>
      <c r="HS3" t="e">
        <f>AND(Conciliación!K52,"AAAAAHW/tuI=")</f>
        <v>#VALUE!</v>
      </c>
      <c r="HT3" t="e">
        <f>AND(Conciliación!L52,"AAAAAHW/tuM=")</f>
        <v>#VALUE!</v>
      </c>
      <c r="HU3" t="e">
        <f>AND(Conciliación!M52,"AAAAAHW/tuQ=")</f>
        <v>#VALUE!</v>
      </c>
      <c r="HV3" t="e">
        <f>AND(Conciliación!N52,"AAAAAHW/tuU=")</f>
        <v>#VALUE!</v>
      </c>
      <c r="HW3">
        <f>IF(Conciliación!53:53,"AAAAAHW/tuY=",0)</f>
        <v>0</v>
      </c>
      <c r="HX3" t="e">
        <f>AND(Conciliación!B53,"AAAAAHW/tuc=")</f>
        <v>#VALUE!</v>
      </c>
      <c r="HY3" t="e">
        <f>AND(Conciliación!C53,"AAAAAHW/tug=")</f>
        <v>#VALUE!</v>
      </c>
      <c r="HZ3" t="e">
        <f>AND(Conciliación!D53,"AAAAAHW/tuk=")</f>
        <v>#VALUE!</v>
      </c>
      <c r="IA3" t="e">
        <f>AND(Conciliación!E53,"AAAAAHW/tuo=")</f>
        <v>#VALUE!</v>
      </c>
      <c r="IB3" t="e">
        <f>AND(Conciliación!F53,"AAAAAHW/tus=")</f>
        <v>#VALUE!</v>
      </c>
      <c r="IC3" t="e">
        <f>AND(Conciliación!G53,"AAAAAHW/tuw=")</f>
        <v>#VALUE!</v>
      </c>
      <c r="ID3" t="e">
        <f>AND(Conciliación!H53,"AAAAAHW/tu0=")</f>
        <v>#VALUE!</v>
      </c>
      <c r="IE3" t="e">
        <f>AND(Conciliación!I53,"AAAAAHW/tu4=")</f>
        <v>#VALUE!</v>
      </c>
      <c r="IF3" t="e">
        <f>AND(Conciliación!J53,"AAAAAHW/tu8=")</f>
        <v>#VALUE!</v>
      </c>
      <c r="IG3" t="e">
        <f>AND(Conciliación!K53,"AAAAAHW/tvA=")</f>
        <v>#VALUE!</v>
      </c>
      <c r="IH3" t="e">
        <f>AND(Conciliación!L53,"AAAAAHW/tvE=")</f>
        <v>#VALUE!</v>
      </c>
      <c r="II3" t="e">
        <f>AND(Conciliación!M53,"AAAAAHW/tvI=")</f>
        <v>#VALUE!</v>
      </c>
      <c r="IJ3" t="e">
        <f>AND(Conciliación!N53,"AAAAAHW/tvM=")</f>
        <v>#VALUE!</v>
      </c>
      <c r="IK3">
        <f>IF(Conciliación!54:54,"AAAAAHW/tvQ=",0)</f>
        <v>0</v>
      </c>
      <c r="IL3" t="e">
        <f>AND(Conciliación!B54,"AAAAAHW/tvU=")</f>
        <v>#VALUE!</v>
      </c>
      <c r="IM3" t="e">
        <f>AND(Conciliación!C54,"AAAAAHW/tvY=")</f>
        <v>#VALUE!</v>
      </c>
      <c r="IN3" t="e">
        <f>AND(Conciliación!D54,"AAAAAHW/tvc=")</f>
        <v>#VALUE!</v>
      </c>
      <c r="IO3" t="e">
        <f>AND(Conciliación!E54,"AAAAAHW/tvg=")</f>
        <v>#VALUE!</v>
      </c>
      <c r="IP3" t="e">
        <f>AND(Conciliación!F54,"AAAAAHW/tvk=")</f>
        <v>#VALUE!</v>
      </c>
      <c r="IQ3" t="e">
        <f>AND(Conciliación!G54,"AAAAAHW/tvo=")</f>
        <v>#VALUE!</v>
      </c>
      <c r="IR3" t="e">
        <f>AND(Conciliación!H54,"AAAAAHW/tvs=")</f>
        <v>#VALUE!</v>
      </c>
      <c r="IS3" t="e">
        <f>AND(Conciliación!I54,"AAAAAHW/tvw=")</f>
        <v>#VALUE!</v>
      </c>
      <c r="IT3" t="e">
        <f>AND(Conciliación!J54,"AAAAAHW/tv0=")</f>
        <v>#VALUE!</v>
      </c>
      <c r="IU3" t="e">
        <f>AND(Conciliación!K54,"AAAAAHW/tv4=")</f>
        <v>#VALUE!</v>
      </c>
      <c r="IV3" t="e">
        <f>AND(Conciliación!L54,"AAAAAHW/tv8=")</f>
        <v>#VALUE!</v>
      </c>
    </row>
    <row r="4" spans="1:256" x14ac:dyDescent="0.2">
      <c r="A4" t="e">
        <f>AND(Conciliación!M54,"AAAAAHufXwA=")</f>
        <v>#VALUE!</v>
      </c>
      <c r="B4" t="e">
        <f>AND(Conciliación!N54,"AAAAAHufXwE=")</f>
        <v>#VALUE!</v>
      </c>
      <c r="C4">
        <f>IF(Conciliación!55:55,"AAAAAHufXwI=",0)</f>
        <v>0</v>
      </c>
      <c r="D4" t="e">
        <f>AND(Conciliación!B55,"AAAAAHufXwM=")</f>
        <v>#VALUE!</v>
      </c>
      <c r="E4" t="e">
        <f>AND(Conciliación!C55,"AAAAAHufXwQ=")</f>
        <v>#VALUE!</v>
      </c>
      <c r="F4" t="e">
        <f>AND(Conciliación!D55,"AAAAAHufXwU=")</f>
        <v>#VALUE!</v>
      </c>
      <c r="G4" t="e">
        <f>AND(Conciliación!E55,"AAAAAHufXwY=")</f>
        <v>#VALUE!</v>
      </c>
      <c r="H4" t="e">
        <f>AND(Conciliación!F55,"AAAAAHufXwc=")</f>
        <v>#VALUE!</v>
      </c>
      <c r="I4" t="e">
        <f>AND(Conciliación!G55,"AAAAAHufXwg=")</f>
        <v>#VALUE!</v>
      </c>
      <c r="J4" t="e">
        <f>AND(Conciliación!H55,"AAAAAHufXwk=")</f>
        <v>#VALUE!</v>
      </c>
      <c r="K4" t="e">
        <f>AND(Conciliación!I55,"AAAAAHufXwo=")</f>
        <v>#VALUE!</v>
      </c>
      <c r="L4" t="e">
        <f>AND(Conciliación!J55,"AAAAAHufXws=")</f>
        <v>#VALUE!</v>
      </c>
      <c r="M4" t="e">
        <f>AND(Conciliación!K55,"AAAAAHufXww=")</f>
        <v>#VALUE!</v>
      </c>
      <c r="N4" t="e">
        <f>AND(Conciliación!L55,"AAAAAHufXw0=")</f>
        <v>#VALUE!</v>
      </c>
      <c r="O4" t="e">
        <f>AND(Conciliación!M55,"AAAAAHufXw4=")</f>
        <v>#VALUE!</v>
      </c>
      <c r="P4" t="e">
        <f>AND(Conciliación!N55,"AAAAAHufXw8=")</f>
        <v>#VALUE!</v>
      </c>
      <c r="Q4">
        <f>IF(Conciliación!56:56,"AAAAAHufXxA=",0)</f>
        <v>0</v>
      </c>
      <c r="R4" t="e">
        <f>AND(Conciliación!B56,"AAAAAHufXxE=")</f>
        <v>#VALUE!</v>
      </c>
      <c r="S4" t="e">
        <f>AND(Conciliación!C56,"AAAAAHufXxI=")</f>
        <v>#VALUE!</v>
      </c>
      <c r="T4" t="e">
        <f>AND(Conciliación!D56,"AAAAAHufXxM=")</f>
        <v>#VALUE!</v>
      </c>
      <c r="U4" t="e">
        <f>AND(Conciliación!E56,"AAAAAHufXxQ=")</f>
        <v>#VALUE!</v>
      </c>
      <c r="V4" t="e">
        <f>AND(Conciliación!F56,"AAAAAHufXxU=")</f>
        <v>#VALUE!</v>
      </c>
      <c r="W4" t="e">
        <f>AND(Conciliación!G56,"AAAAAHufXxY=")</f>
        <v>#VALUE!</v>
      </c>
      <c r="X4" t="e">
        <f>AND(Conciliación!H56,"AAAAAHufXxc=")</f>
        <v>#VALUE!</v>
      </c>
      <c r="Y4" t="e">
        <f>AND(Conciliación!I56,"AAAAAHufXxg=")</f>
        <v>#VALUE!</v>
      </c>
      <c r="Z4" t="e">
        <f>AND(Conciliación!J56,"AAAAAHufXxk=")</f>
        <v>#VALUE!</v>
      </c>
      <c r="AA4" t="e">
        <f>AND(Conciliación!K56,"AAAAAHufXxo=")</f>
        <v>#VALUE!</v>
      </c>
      <c r="AB4" t="e">
        <f>AND(Conciliación!L56,"AAAAAHufXxs=")</f>
        <v>#VALUE!</v>
      </c>
      <c r="AC4" t="e">
        <f>AND(Conciliación!M56,"AAAAAHufXxw=")</f>
        <v>#VALUE!</v>
      </c>
      <c r="AD4" t="e">
        <f>AND(Conciliación!N56,"AAAAAHufXx0=")</f>
        <v>#VALUE!</v>
      </c>
      <c r="AE4">
        <f>IF(Conciliación!57:57,"AAAAAHufXx4=",0)</f>
        <v>0</v>
      </c>
      <c r="AF4" t="e">
        <f>AND(Conciliación!B57,"AAAAAHufXx8=")</f>
        <v>#VALUE!</v>
      </c>
      <c r="AG4" t="e">
        <f>AND(Conciliación!C57,"AAAAAHufXyA=")</f>
        <v>#VALUE!</v>
      </c>
      <c r="AH4" t="e">
        <f>AND(Conciliación!D57,"AAAAAHufXyE=")</f>
        <v>#VALUE!</v>
      </c>
      <c r="AI4" t="e">
        <f>AND(Conciliación!E57,"AAAAAHufXyI=")</f>
        <v>#VALUE!</v>
      </c>
      <c r="AJ4" t="e">
        <f>AND(Conciliación!F57,"AAAAAHufXyM=")</f>
        <v>#VALUE!</v>
      </c>
      <c r="AK4" t="e">
        <f>AND(Conciliación!G57,"AAAAAHufXyQ=")</f>
        <v>#VALUE!</v>
      </c>
      <c r="AL4" t="e">
        <f>AND(Conciliación!H57,"AAAAAHufXyU=")</f>
        <v>#VALUE!</v>
      </c>
      <c r="AM4" t="e">
        <f>AND(Conciliación!I57,"AAAAAHufXyY=")</f>
        <v>#VALUE!</v>
      </c>
      <c r="AN4" t="e">
        <f>AND(Conciliación!J57,"AAAAAHufXyc=")</f>
        <v>#VALUE!</v>
      </c>
      <c r="AO4" t="e">
        <f>AND(Conciliación!K57,"AAAAAHufXyg=")</f>
        <v>#VALUE!</v>
      </c>
      <c r="AP4" t="e">
        <f>AND(Conciliación!L57,"AAAAAHufXyk=")</f>
        <v>#VALUE!</v>
      </c>
      <c r="AQ4" t="e">
        <f>AND(Conciliación!M57,"AAAAAHufXyo=")</f>
        <v>#VALUE!</v>
      </c>
      <c r="AR4" t="e">
        <f>AND(Conciliación!N57,"AAAAAHufXys=")</f>
        <v>#VALUE!</v>
      </c>
      <c r="AS4">
        <f>IF(Conciliación!58:58,"AAAAAHufXyw=",0)</f>
        <v>0</v>
      </c>
      <c r="AT4" t="e">
        <f>AND(Conciliación!B58,"AAAAAHufXy0=")</f>
        <v>#VALUE!</v>
      </c>
      <c r="AU4" t="e">
        <f>AND(Conciliación!C58,"AAAAAHufXy4=")</f>
        <v>#VALUE!</v>
      </c>
      <c r="AV4" t="e">
        <f>AND(Conciliación!D58,"AAAAAHufXy8=")</f>
        <v>#VALUE!</v>
      </c>
      <c r="AW4" t="e">
        <f>AND(Conciliación!E58,"AAAAAHufXzA=")</f>
        <v>#VALUE!</v>
      </c>
      <c r="AX4" t="e">
        <f>AND(Conciliación!F58,"AAAAAHufXzE=")</f>
        <v>#VALUE!</v>
      </c>
      <c r="AY4" t="e">
        <f>AND(Conciliación!G58,"AAAAAHufXzI=")</f>
        <v>#VALUE!</v>
      </c>
      <c r="AZ4" t="e">
        <f>AND(Conciliación!H58,"AAAAAHufXzM=")</f>
        <v>#VALUE!</v>
      </c>
      <c r="BA4" t="e">
        <f>AND(Conciliación!I58,"AAAAAHufXzQ=")</f>
        <v>#VALUE!</v>
      </c>
      <c r="BB4" t="e">
        <f>AND(Conciliación!J58,"AAAAAHufXzU=")</f>
        <v>#VALUE!</v>
      </c>
      <c r="BC4" t="e">
        <f>AND(Conciliación!K58,"AAAAAHufXzY=")</f>
        <v>#VALUE!</v>
      </c>
      <c r="BD4" t="e">
        <f>AND(Conciliación!L58,"AAAAAHufXzc=")</f>
        <v>#VALUE!</v>
      </c>
      <c r="BE4" t="e">
        <f>AND(Conciliación!M58,"AAAAAHufXzg=")</f>
        <v>#VALUE!</v>
      </c>
      <c r="BF4" t="e">
        <f>AND(Conciliación!N58,"AAAAAHufXzk=")</f>
        <v>#VALUE!</v>
      </c>
      <c r="BG4">
        <f>IF(Conciliación!59:59,"AAAAAHufXzo=",0)</f>
        <v>0</v>
      </c>
      <c r="BH4" t="e">
        <f>AND(Conciliación!B59,"AAAAAHufXzs=")</f>
        <v>#VALUE!</v>
      </c>
      <c r="BI4" t="e">
        <f>AND(Conciliación!C59,"AAAAAHufXzw=")</f>
        <v>#VALUE!</v>
      </c>
      <c r="BJ4" t="e">
        <f>AND(Conciliación!D59,"AAAAAHufXz0=")</f>
        <v>#VALUE!</v>
      </c>
      <c r="BK4" t="e">
        <f>AND(Conciliación!E59,"AAAAAHufXz4=")</f>
        <v>#VALUE!</v>
      </c>
      <c r="BL4" t="e">
        <f>AND(Conciliación!F59,"AAAAAHufXz8=")</f>
        <v>#VALUE!</v>
      </c>
      <c r="BM4" t="e">
        <f>AND(Conciliación!G59,"AAAAAHufX0A=")</f>
        <v>#VALUE!</v>
      </c>
      <c r="BN4" t="e">
        <f>AND(Conciliación!H59,"AAAAAHufX0E=")</f>
        <v>#VALUE!</v>
      </c>
      <c r="BO4" t="e">
        <f>AND(Conciliación!I59,"AAAAAHufX0I=")</f>
        <v>#VALUE!</v>
      </c>
      <c r="BP4" t="e">
        <f>AND(Conciliación!J59,"AAAAAHufX0M=")</f>
        <v>#VALUE!</v>
      </c>
      <c r="BQ4" t="e">
        <f>AND(Conciliación!K59,"AAAAAHufX0Q=")</f>
        <v>#VALUE!</v>
      </c>
      <c r="BR4" t="e">
        <f>AND(Conciliación!L59,"AAAAAHufX0U=")</f>
        <v>#VALUE!</v>
      </c>
      <c r="BS4" t="e">
        <f>AND(Conciliación!M59,"AAAAAHufX0Y=")</f>
        <v>#VALUE!</v>
      </c>
      <c r="BT4" t="e">
        <f>AND(Conciliación!N59,"AAAAAHufX0c=")</f>
        <v>#VALUE!</v>
      </c>
      <c r="BU4">
        <f>IF(Conciliación!60:60,"AAAAAHufX0g=",0)</f>
        <v>0</v>
      </c>
      <c r="BV4" t="e">
        <f>AND(Conciliación!B60,"AAAAAHufX0k=")</f>
        <v>#VALUE!</v>
      </c>
      <c r="BW4" t="e">
        <f>AND(Conciliación!C60,"AAAAAHufX0o=")</f>
        <v>#VALUE!</v>
      </c>
      <c r="BX4" t="e">
        <f>AND(Conciliación!D60,"AAAAAHufX0s=")</f>
        <v>#VALUE!</v>
      </c>
      <c r="BY4" t="e">
        <f>AND(Conciliación!E60,"AAAAAHufX0w=")</f>
        <v>#VALUE!</v>
      </c>
      <c r="BZ4" t="e">
        <f>AND(Conciliación!F60,"AAAAAHufX00=")</f>
        <v>#VALUE!</v>
      </c>
      <c r="CA4" t="e">
        <f>AND(Conciliación!G60,"AAAAAHufX04=")</f>
        <v>#VALUE!</v>
      </c>
      <c r="CB4" t="e">
        <f>AND(Conciliación!H60,"AAAAAHufX08=")</f>
        <v>#VALUE!</v>
      </c>
      <c r="CC4" t="e">
        <f>AND(Conciliación!I60,"AAAAAHufX1A=")</f>
        <v>#VALUE!</v>
      </c>
      <c r="CD4" t="e">
        <f>AND(Conciliación!J60,"AAAAAHufX1E=")</f>
        <v>#VALUE!</v>
      </c>
      <c r="CE4" t="e">
        <f>AND(Conciliación!K60,"AAAAAHufX1I=")</f>
        <v>#VALUE!</v>
      </c>
      <c r="CF4" t="e">
        <f>AND(Conciliación!L60,"AAAAAHufX1M=")</f>
        <v>#VALUE!</v>
      </c>
      <c r="CG4" t="e">
        <f>AND(Conciliación!M60,"AAAAAHufX1Q=")</f>
        <v>#VALUE!</v>
      </c>
      <c r="CH4" t="e">
        <f>AND(Conciliación!N60,"AAAAAHufX1U=")</f>
        <v>#VALUE!</v>
      </c>
      <c r="CI4">
        <f>IF(Conciliación!61:61,"AAAAAHufX1Y=",0)</f>
        <v>0</v>
      </c>
      <c r="CJ4" t="e">
        <f>AND(Conciliación!B61,"AAAAAHufX1c=")</f>
        <v>#VALUE!</v>
      </c>
      <c r="CK4" t="e">
        <f>AND(Conciliación!C61,"AAAAAHufX1g=")</f>
        <v>#VALUE!</v>
      </c>
      <c r="CL4" t="e">
        <f>AND(Conciliación!D61,"AAAAAHufX1k=")</f>
        <v>#VALUE!</v>
      </c>
      <c r="CM4" t="e">
        <f>AND(Conciliación!E61,"AAAAAHufX1o=")</f>
        <v>#VALUE!</v>
      </c>
      <c r="CN4" t="e">
        <f>AND(Conciliación!F61,"AAAAAHufX1s=")</f>
        <v>#VALUE!</v>
      </c>
      <c r="CO4" t="e">
        <f>AND(Conciliación!G61,"AAAAAHufX1w=")</f>
        <v>#VALUE!</v>
      </c>
      <c r="CP4" t="e">
        <f>AND(Conciliación!H61,"AAAAAHufX10=")</f>
        <v>#VALUE!</v>
      </c>
      <c r="CQ4" t="e">
        <f>AND(Conciliación!I61,"AAAAAHufX14=")</f>
        <v>#VALUE!</v>
      </c>
      <c r="CR4" t="e">
        <f>AND(Conciliación!J61,"AAAAAHufX18=")</f>
        <v>#VALUE!</v>
      </c>
      <c r="CS4" t="e">
        <f>AND(Conciliación!K61,"AAAAAHufX2A=")</f>
        <v>#VALUE!</v>
      </c>
      <c r="CT4" t="e">
        <f>AND(Conciliación!L61,"AAAAAHufX2E=")</f>
        <v>#VALUE!</v>
      </c>
      <c r="CU4" t="e">
        <f>AND(Conciliación!M61,"AAAAAHufX2I=")</f>
        <v>#VALUE!</v>
      </c>
      <c r="CV4" t="e">
        <f>AND(Conciliación!N61,"AAAAAHufX2M=")</f>
        <v>#VALUE!</v>
      </c>
      <c r="CW4">
        <f>IF(Conciliación!62:62,"AAAAAHufX2Q=",0)</f>
        <v>0</v>
      </c>
      <c r="CX4" t="e">
        <f>AND(Conciliación!B62,"AAAAAHufX2U=")</f>
        <v>#VALUE!</v>
      </c>
      <c r="CY4" t="e">
        <f>AND(Conciliación!C62,"AAAAAHufX2Y=")</f>
        <v>#VALUE!</v>
      </c>
      <c r="CZ4" t="e">
        <f>AND(Conciliación!D62,"AAAAAHufX2c=")</f>
        <v>#VALUE!</v>
      </c>
      <c r="DA4" t="e">
        <f>AND(Conciliación!E62,"AAAAAHufX2g=")</f>
        <v>#VALUE!</v>
      </c>
      <c r="DB4" t="e">
        <f>AND(Conciliación!F62,"AAAAAHufX2k=")</f>
        <v>#VALUE!</v>
      </c>
      <c r="DC4" t="e">
        <f>AND(Conciliación!G62,"AAAAAHufX2o=")</f>
        <v>#VALUE!</v>
      </c>
      <c r="DD4" t="e">
        <f>AND(Conciliación!H62,"AAAAAHufX2s=")</f>
        <v>#VALUE!</v>
      </c>
      <c r="DE4" t="e">
        <f>AND(Conciliación!I62,"AAAAAHufX2w=")</f>
        <v>#VALUE!</v>
      </c>
      <c r="DF4" t="e">
        <f>AND(Conciliación!J62,"AAAAAHufX20=")</f>
        <v>#VALUE!</v>
      </c>
      <c r="DG4" t="e">
        <f>AND(Conciliación!K62,"AAAAAHufX24=")</f>
        <v>#VALUE!</v>
      </c>
      <c r="DH4" t="e">
        <f>AND(Conciliación!L62,"AAAAAHufX28=")</f>
        <v>#VALUE!</v>
      </c>
      <c r="DI4" t="e">
        <f>AND(Conciliación!M62,"AAAAAHufX3A=")</f>
        <v>#VALUE!</v>
      </c>
      <c r="DJ4" t="e">
        <f>AND(Conciliación!N62,"AAAAAHufX3E=")</f>
        <v>#VALUE!</v>
      </c>
      <c r="DK4">
        <f>IF(Conciliación!63:63,"AAAAAHufX3I=",0)</f>
        <v>0</v>
      </c>
      <c r="DL4" t="e">
        <f>AND(Conciliación!B63,"AAAAAHufX3M=")</f>
        <v>#VALUE!</v>
      </c>
      <c r="DM4" t="e">
        <f>AND(Conciliación!C63,"AAAAAHufX3Q=")</f>
        <v>#VALUE!</v>
      </c>
      <c r="DN4" t="e">
        <f>AND(Conciliación!D63,"AAAAAHufX3U=")</f>
        <v>#VALUE!</v>
      </c>
      <c r="DO4" t="e">
        <f>AND(Conciliación!E63,"AAAAAHufX3Y=")</f>
        <v>#VALUE!</v>
      </c>
      <c r="DP4" t="e">
        <f>AND(Conciliación!F63,"AAAAAHufX3c=")</f>
        <v>#VALUE!</v>
      </c>
      <c r="DQ4" t="e">
        <f>AND(Conciliación!G63,"AAAAAHufX3g=")</f>
        <v>#VALUE!</v>
      </c>
      <c r="DR4" t="e">
        <f>AND(Conciliación!H63,"AAAAAHufX3k=")</f>
        <v>#VALUE!</v>
      </c>
      <c r="DS4" t="e">
        <f>AND(Conciliación!I63,"AAAAAHufX3o=")</f>
        <v>#VALUE!</v>
      </c>
      <c r="DT4" t="e">
        <f>AND(Conciliación!J63,"AAAAAHufX3s=")</f>
        <v>#VALUE!</v>
      </c>
      <c r="DU4" t="e">
        <f>AND(Conciliación!K63,"AAAAAHufX3w=")</f>
        <v>#VALUE!</v>
      </c>
      <c r="DV4" t="e">
        <f>AND(Conciliación!L63,"AAAAAHufX30=")</f>
        <v>#VALUE!</v>
      </c>
      <c r="DW4" t="e">
        <f>AND(Conciliación!M63,"AAAAAHufX34=")</f>
        <v>#VALUE!</v>
      </c>
      <c r="DX4" t="e">
        <f>AND(Conciliación!N63,"AAAAAHufX38=")</f>
        <v>#VALUE!</v>
      </c>
      <c r="DY4">
        <f>IF(Conciliación!64:64,"AAAAAHufX4A=",0)</f>
        <v>0</v>
      </c>
      <c r="DZ4" t="e">
        <f>AND(Conciliación!B64,"AAAAAHufX4E=")</f>
        <v>#VALUE!</v>
      </c>
      <c r="EA4" t="e">
        <f>AND(Conciliación!C64,"AAAAAHufX4I=")</f>
        <v>#VALUE!</v>
      </c>
      <c r="EB4" t="e">
        <f>AND(Conciliación!D64,"AAAAAHufX4M=")</f>
        <v>#VALUE!</v>
      </c>
      <c r="EC4" t="e">
        <f>AND(Conciliación!E64,"AAAAAHufX4Q=")</f>
        <v>#VALUE!</v>
      </c>
      <c r="ED4" t="e">
        <f>AND(Conciliación!F64,"AAAAAHufX4U=")</f>
        <v>#VALUE!</v>
      </c>
      <c r="EE4" t="e">
        <f>AND(Conciliación!G64,"AAAAAHufX4Y=")</f>
        <v>#VALUE!</v>
      </c>
      <c r="EF4" t="e">
        <f>AND(Conciliación!H64,"AAAAAHufX4c=")</f>
        <v>#VALUE!</v>
      </c>
      <c r="EG4" t="e">
        <f>AND(Conciliación!I64,"AAAAAHufX4g=")</f>
        <v>#VALUE!</v>
      </c>
      <c r="EH4" t="e">
        <f>AND(Conciliación!J64,"AAAAAHufX4k=")</f>
        <v>#VALUE!</v>
      </c>
      <c r="EI4" t="e">
        <f>AND(Conciliación!K64,"AAAAAHufX4o=")</f>
        <v>#VALUE!</v>
      </c>
      <c r="EJ4" t="e">
        <f>AND(Conciliación!L64,"AAAAAHufX4s=")</f>
        <v>#VALUE!</v>
      </c>
      <c r="EK4" t="e">
        <f>AND(Conciliación!M64,"AAAAAHufX4w=")</f>
        <v>#VALUE!</v>
      </c>
      <c r="EL4" t="e">
        <f>AND(Conciliación!N64,"AAAAAHufX40=")</f>
        <v>#VALUE!</v>
      </c>
      <c r="EM4">
        <f>IF(Conciliación!65:65,"AAAAAHufX44=",0)</f>
        <v>0</v>
      </c>
      <c r="EN4" t="e">
        <f>AND(Conciliación!B65,"AAAAAHufX48=")</f>
        <v>#VALUE!</v>
      </c>
      <c r="EO4" t="e">
        <f>AND(Conciliación!C65,"AAAAAHufX5A=")</f>
        <v>#VALUE!</v>
      </c>
      <c r="EP4" t="e">
        <f>AND(Conciliación!D65,"AAAAAHufX5E=")</f>
        <v>#VALUE!</v>
      </c>
      <c r="EQ4" t="e">
        <f>AND(Conciliación!E65,"AAAAAHufX5I=")</f>
        <v>#VALUE!</v>
      </c>
      <c r="ER4" t="e">
        <f>AND(Conciliación!F65,"AAAAAHufX5M=")</f>
        <v>#VALUE!</v>
      </c>
      <c r="ES4" t="e">
        <f>AND(Conciliación!G65,"AAAAAHufX5Q=")</f>
        <v>#VALUE!</v>
      </c>
      <c r="ET4" t="e">
        <f>AND(Conciliación!H65,"AAAAAHufX5U=")</f>
        <v>#VALUE!</v>
      </c>
      <c r="EU4" t="e">
        <f>AND(Conciliación!I65,"AAAAAHufX5Y=")</f>
        <v>#VALUE!</v>
      </c>
      <c r="EV4" t="e">
        <f>AND(Conciliación!J65,"AAAAAHufX5c=")</f>
        <v>#VALUE!</v>
      </c>
      <c r="EW4" t="e">
        <f>AND(Conciliación!K65,"AAAAAHufX5g=")</f>
        <v>#VALUE!</v>
      </c>
      <c r="EX4" t="e">
        <f>AND(Conciliación!L65,"AAAAAHufX5k=")</f>
        <v>#VALUE!</v>
      </c>
      <c r="EY4" t="e">
        <f>AND(Conciliación!M65,"AAAAAHufX5o=")</f>
        <v>#VALUE!</v>
      </c>
      <c r="EZ4" t="e">
        <f>AND(Conciliación!N65,"AAAAAHufX5s=")</f>
        <v>#VALUE!</v>
      </c>
      <c r="FA4">
        <f>IF(Conciliación!66:66,"AAAAAHufX5w=",0)</f>
        <v>0</v>
      </c>
      <c r="FB4" t="e">
        <f>AND(Conciliación!B66,"AAAAAHufX50=")</f>
        <v>#VALUE!</v>
      </c>
      <c r="FC4" t="e">
        <f>AND(Conciliación!C66,"AAAAAHufX54=")</f>
        <v>#VALUE!</v>
      </c>
      <c r="FD4" t="e">
        <f>AND(Conciliación!D66,"AAAAAHufX58=")</f>
        <v>#VALUE!</v>
      </c>
      <c r="FE4" t="e">
        <f>AND(Conciliación!E66,"AAAAAHufX6A=")</f>
        <v>#VALUE!</v>
      </c>
      <c r="FF4" t="e">
        <f>AND(Conciliación!F66,"AAAAAHufX6E=")</f>
        <v>#VALUE!</v>
      </c>
      <c r="FG4" t="e">
        <f>AND(Conciliación!G66,"AAAAAHufX6I=")</f>
        <v>#VALUE!</v>
      </c>
      <c r="FH4" t="e">
        <f>AND(Conciliación!H66,"AAAAAHufX6M=")</f>
        <v>#VALUE!</v>
      </c>
      <c r="FI4" t="e">
        <f>AND(Conciliación!I66,"AAAAAHufX6Q=")</f>
        <v>#VALUE!</v>
      </c>
      <c r="FJ4" t="e">
        <f>AND(Conciliación!J66,"AAAAAHufX6U=")</f>
        <v>#VALUE!</v>
      </c>
      <c r="FK4" t="e">
        <f>AND(Conciliación!K66,"AAAAAHufX6Y=")</f>
        <v>#VALUE!</v>
      </c>
      <c r="FL4" t="e">
        <f>AND(Conciliación!L66,"AAAAAHufX6c=")</f>
        <v>#VALUE!</v>
      </c>
      <c r="FM4" t="e">
        <f>AND(Conciliación!M66,"AAAAAHufX6g=")</f>
        <v>#VALUE!</v>
      </c>
      <c r="FN4" t="e">
        <f>AND(Conciliación!N66,"AAAAAHufX6k=")</f>
        <v>#VALUE!</v>
      </c>
      <c r="FO4">
        <f>IF(Conciliación!67:67,"AAAAAHufX6o=",0)</f>
        <v>0</v>
      </c>
      <c r="FP4" t="e">
        <f>AND(Conciliación!B67,"AAAAAHufX6s=")</f>
        <v>#VALUE!</v>
      </c>
      <c r="FQ4" t="e">
        <f>AND(Conciliación!C67,"AAAAAHufX6w=")</f>
        <v>#VALUE!</v>
      </c>
      <c r="FR4" t="e">
        <f>AND(Conciliación!D67,"AAAAAHufX60=")</f>
        <v>#VALUE!</v>
      </c>
      <c r="FS4" t="e">
        <f>AND(Conciliación!E67,"AAAAAHufX64=")</f>
        <v>#VALUE!</v>
      </c>
      <c r="FT4" t="e">
        <f>AND(Conciliación!F67,"AAAAAHufX68=")</f>
        <v>#VALUE!</v>
      </c>
      <c r="FU4" t="e">
        <f>AND(Conciliación!G67,"AAAAAHufX7A=")</f>
        <v>#VALUE!</v>
      </c>
      <c r="FV4" t="e">
        <f>AND(Conciliación!H67,"AAAAAHufX7E=")</f>
        <v>#VALUE!</v>
      </c>
      <c r="FW4" t="e">
        <f>AND(Conciliación!I67,"AAAAAHufX7I=")</f>
        <v>#VALUE!</v>
      </c>
      <c r="FX4" t="e">
        <f>AND(Conciliación!J67,"AAAAAHufX7M=")</f>
        <v>#VALUE!</v>
      </c>
      <c r="FY4" t="e">
        <f>AND(Conciliación!K67,"AAAAAHufX7Q=")</f>
        <v>#VALUE!</v>
      </c>
      <c r="FZ4" t="e">
        <f>AND(Conciliación!L67,"AAAAAHufX7U=")</f>
        <v>#VALUE!</v>
      </c>
      <c r="GA4" t="e">
        <f>AND(Conciliación!M67,"AAAAAHufX7Y=")</f>
        <v>#VALUE!</v>
      </c>
      <c r="GB4" t="e">
        <f>AND(Conciliación!N67,"AAAAAHufX7c=")</f>
        <v>#VALUE!</v>
      </c>
      <c r="GC4">
        <f>IF(Conciliación!68:68,"AAAAAHufX7g=",0)</f>
        <v>0</v>
      </c>
      <c r="GD4" t="e">
        <f>AND(Conciliación!B68,"AAAAAHufX7k=")</f>
        <v>#VALUE!</v>
      </c>
      <c r="GE4" t="e">
        <f>AND(Conciliación!C68,"AAAAAHufX7o=")</f>
        <v>#VALUE!</v>
      </c>
      <c r="GF4" t="e">
        <f>AND(Conciliación!D68,"AAAAAHufX7s=")</f>
        <v>#VALUE!</v>
      </c>
      <c r="GG4" t="e">
        <f>AND(Conciliación!E68,"AAAAAHufX7w=")</f>
        <v>#VALUE!</v>
      </c>
      <c r="GH4" t="e">
        <f>AND(Conciliación!F68,"AAAAAHufX70=")</f>
        <v>#VALUE!</v>
      </c>
      <c r="GI4" t="e">
        <f>AND(Conciliación!G68,"AAAAAHufX74=")</f>
        <v>#VALUE!</v>
      </c>
      <c r="GJ4" t="e">
        <f>AND(Conciliación!H68,"AAAAAHufX78=")</f>
        <v>#VALUE!</v>
      </c>
      <c r="GK4" t="e">
        <f>AND(Conciliación!I68,"AAAAAHufX8A=")</f>
        <v>#VALUE!</v>
      </c>
      <c r="GL4" t="e">
        <f>AND(Conciliación!J68,"AAAAAHufX8E=")</f>
        <v>#VALUE!</v>
      </c>
      <c r="GM4" t="e">
        <f>AND(Conciliación!K68,"AAAAAHufX8I=")</f>
        <v>#VALUE!</v>
      </c>
      <c r="GN4" t="e">
        <f>AND(Conciliación!L68,"AAAAAHufX8M=")</f>
        <v>#VALUE!</v>
      </c>
      <c r="GO4" t="e">
        <f>AND(Conciliación!M68,"AAAAAHufX8Q=")</f>
        <v>#VALUE!</v>
      </c>
      <c r="GP4" t="e">
        <f>AND(Conciliación!N68,"AAAAAHufX8U=")</f>
        <v>#VALUE!</v>
      </c>
      <c r="GQ4">
        <f>IF(Conciliación!69:69,"AAAAAHufX8Y=",0)</f>
        <v>0</v>
      </c>
      <c r="GR4" t="e">
        <f>AND(Conciliación!B69,"AAAAAHufX8c=")</f>
        <v>#VALUE!</v>
      </c>
      <c r="GS4" t="e">
        <f>AND(Conciliación!C69,"AAAAAHufX8g=")</f>
        <v>#VALUE!</v>
      </c>
      <c r="GT4" t="e">
        <f>AND(Conciliación!D69,"AAAAAHufX8k=")</f>
        <v>#VALUE!</v>
      </c>
      <c r="GU4" t="e">
        <f>AND(Conciliación!E69,"AAAAAHufX8o=")</f>
        <v>#VALUE!</v>
      </c>
      <c r="GV4" t="e">
        <f>AND(Conciliación!F69,"AAAAAHufX8s=")</f>
        <v>#VALUE!</v>
      </c>
      <c r="GW4" t="e">
        <f>AND(Conciliación!G69,"AAAAAHufX8w=")</f>
        <v>#VALUE!</v>
      </c>
      <c r="GX4" t="e">
        <f>AND(Conciliación!H69,"AAAAAHufX80=")</f>
        <v>#VALUE!</v>
      </c>
      <c r="GY4" t="e">
        <f>AND(Conciliación!I69,"AAAAAHufX84=")</f>
        <v>#VALUE!</v>
      </c>
      <c r="GZ4" t="e">
        <f>AND(Conciliación!J69,"AAAAAHufX88=")</f>
        <v>#VALUE!</v>
      </c>
      <c r="HA4" t="e">
        <f>AND(Conciliación!K69,"AAAAAHufX9A=")</f>
        <v>#VALUE!</v>
      </c>
      <c r="HB4" t="e">
        <f>AND(Conciliación!L69,"AAAAAHufX9E=")</f>
        <v>#VALUE!</v>
      </c>
      <c r="HC4" t="e">
        <f>AND(Conciliación!M69,"AAAAAHufX9I=")</f>
        <v>#VALUE!</v>
      </c>
      <c r="HD4" t="e">
        <f>AND(Conciliación!N69,"AAAAAHufX9M=")</f>
        <v>#VALUE!</v>
      </c>
      <c r="HE4">
        <f>IF(Conciliación!70:70,"AAAAAHufX9Q=",0)</f>
        <v>0</v>
      </c>
      <c r="HF4" t="e">
        <f>AND(Conciliación!B70,"AAAAAHufX9U=")</f>
        <v>#VALUE!</v>
      </c>
      <c r="HG4" t="e">
        <f>AND(Conciliación!C70,"AAAAAHufX9Y=")</f>
        <v>#VALUE!</v>
      </c>
      <c r="HH4" t="e">
        <f>AND(Conciliación!D70,"AAAAAHufX9c=")</f>
        <v>#VALUE!</v>
      </c>
      <c r="HI4" t="e">
        <f>AND(Conciliación!E70,"AAAAAHufX9g=")</f>
        <v>#VALUE!</v>
      </c>
      <c r="HJ4" t="e">
        <f>AND(Conciliación!F70,"AAAAAHufX9k=")</f>
        <v>#VALUE!</v>
      </c>
      <c r="HK4" t="e">
        <f>AND(Conciliación!G70,"AAAAAHufX9o=")</f>
        <v>#VALUE!</v>
      </c>
      <c r="HL4" t="e">
        <f>AND(Conciliación!H70,"AAAAAHufX9s=")</f>
        <v>#VALUE!</v>
      </c>
      <c r="HM4" t="e">
        <f>AND(Conciliación!I70,"AAAAAHufX9w=")</f>
        <v>#VALUE!</v>
      </c>
      <c r="HN4" t="e">
        <f>AND(Conciliación!J70,"AAAAAHufX90=")</f>
        <v>#VALUE!</v>
      </c>
      <c r="HO4" t="e">
        <f>AND(Conciliación!K70,"AAAAAHufX94=")</f>
        <v>#VALUE!</v>
      </c>
      <c r="HP4" t="e">
        <f>AND(Conciliación!L70,"AAAAAHufX98=")</f>
        <v>#VALUE!</v>
      </c>
      <c r="HQ4" t="e">
        <f>AND(Conciliación!M70,"AAAAAHufX+A=")</f>
        <v>#VALUE!</v>
      </c>
      <c r="HR4" t="e">
        <f>AND(Conciliación!N70,"AAAAAHufX+E=")</f>
        <v>#VALUE!</v>
      </c>
      <c r="HS4">
        <f>IF(Conciliación!71:71,"AAAAAHufX+I=",0)</f>
        <v>0</v>
      </c>
      <c r="HT4" t="e">
        <f>AND(Conciliación!B71,"AAAAAHufX+M=")</f>
        <v>#VALUE!</v>
      </c>
      <c r="HU4" t="e">
        <f>AND(Conciliación!C71,"AAAAAHufX+Q=")</f>
        <v>#VALUE!</v>
      </c>
      <c r="HV4" t="e">
        <f>AND(Conciliación!D71,"AAAAAHufX+U=")</f>
        <v>#VALUE!</v>
      </c>
      <c r="HW4" t="e">
        <f>AND(Conciliación!E71,"AAAAAHufX+Y=")</f>
        <v>#VALUE!</v>
      </c>
      <c r="HX4" t="e">
        <f>AND(Conciliación!F71,"AAAAAHufX+c=")</f>
        <v>#VALUE!</v>
      </c>
      <c r="HY4" t="e">
        <f>AND(Conciliación!G71,"AAAAAHufX+g=")</f>
        <v>#VALUE!</v>
      </c>
      <c r="HZ4" t="e">
        <f>AND(Conciliación!H71,"AAAAAHufX+k=")</f>
        <v>#VALUE!</v>
      </c>
      <c r="IA4" t="e">
        <f>AND(Conciliación!I71,"AAAAAHufX+o=")</f>
        <v>#VALUE!</v>
      </c>
      <c r="IB4" t="e">
        <f>AND(Conciliación!J71,"AAAAAHufX+s=")</f>
        <v>#VALUE!</v>
      </c>
      <c r="IC4" t="e">
        <f>AND(Conciliación!K71,"AAAAAHufX+w=")</f>
        <v>#VALUE!</v>
      </c>
      <c r="ID4" t="e">
        <f>AND(Conciliación!L71,"AAAAAHufX+0=")</f>
        <v>#VALUE!</v>
      </c>
      <c r="IE4" t="e">
        <f>AND(Conciliación!M71,"AAAAAHufX+4=")</f>
        <v>#VALUE!</v>
      </c>
      <c r="IF4" t="e">
        <f>AND(Conciliación!N71,"AAAAAHufX+8=")</f>
        <v>#VALUE!</v>
      </c>
      <c r="IG4">
        <f>IF(Conciliación!72:72,"AAAAAHufX/A=",0)</f>
        <v>0</v>
      </c>
      <c r="IH4" t="e">
        <f>AND(Conciliación!B72,"AAAAAHufX/E=")</f>
        <v>#VALUE!</v>
      </c>
      <c r="II4" t="e">
        <f>AND(Conciliación!C72,"AAAAAHufX/I=")</f>
        <v>#VALUE!</v>
      </c>
      <c r="IJ4" t="e">
        <f>AND(Conciliación!D72,"AAAAAHufX/M=")</f>
        <v>#VALUE!</v>
      </c>
      <c r="IK4" t="e">
        <f>AND(Conciliación!E72,"AAAAAHufX/Q=")</f>
        <v>#VALUE!</v>
      </c>
      <c r="IL4" t="e">
        <f>AND(Conciliación!F72,"AAAAAHufX/U=")</f>
        <v>#VALUE!</v>
      </c>
      <c r="IM4" t="e">
        <f>AND(Conciliación!G72,"AAAAAHufX/Y=")</f>
        <v>#VALUE!</v>
      </c>
      <c r="IN4" t="e">
        <f>AND(Conciliación!H72,"AAAAAHufX/c=")</f>
        <v>#VALUE!</v>
      </c>
      <c r="IO4" t="e">
        <f>AND(Conciliación!I72,"AAAAAHufX/g=")</f>
        <v>#VALUE!</v>
      </c>
      <c r="IP4" t="e">
        <f>AND(Conciliación!J72,"AAAAAHufX/k=")</f>
        <v>#VALUE!</v>
      </c>
      <c r="IQ4" t="e">
        <f>AND(Conciliación!K72,"AAAAAHufX/o=")</f>
        <v>#VALUE!</v>
      </c>
      <c r="IR4" t="e">
        <f>AND(Conciliación!L72,"AAAAAHufX/s=")</f>
        <v>#VALUE!</v>
      </c>
      <c r="IS4" t="e">
        <f>AND(Conciliación!M72,"AAAAAHufX/w=")</f>
        <v>#VALUE!</v>
      </c>
      <c r="IT4" t="e">
        <f>AND(Conciliación!N72,"AAAAAHufX/0=")</f>
        <v>#VALUE!</v>
      </c>
      <c r="IU4">
        <f>IF(Conciliación!73:73,"AAAAAHufX/4=",0)</f>
        <v>0</v>
      </c>
      <c r="IV4" t="e">
        <f>AND(Conciliación!B73,"AAAAAHufX/8=")</f>
        <v>#VALUE!</v>
      </c>
    </row>
    <row r="5" spans="1:256" x14ac:dyDescent="0.2">
      <c r="A5" t="e">
        <f>AND(Conciliación!C73,"AAAAAFNb+wA=")</f>
        <v>#VALUE!</v>
      </c>
      <c r="B5" t="e">
        <f>AND(Conciliación!D73,"AAAAAFNb+wE=")</f>
        <v>#VALUE!</v>
      </c>
      <c r="C5" t="e">
        <f>AND(Conciliación!E73,"AAAAAFNb+wI=")</f>
        <v>#VALUE!</v>
      </c>
      <c r="D5" t="e">
        <f>AND(Conciliación!F73,"AAAAAFNb+wM=")</f>
        <v>#VALUE!</v>
      </c>
      <c r="E5" t="e">
        <f>AND(Conciliación!G73,"AAAAAFNb+wQ=")</f>
        <v>#VALUE!</v>
      </c>
      <c r="F5" t="e">
        <f>AND(Conciliación!H73,"AAAAAFNb+wU=")</f>
        <v>#VALUE!</v>
      </c>
      <c r="G5" t="e">
        <f>AND(Conciliación!I73,"AAAAAFNb+wY=")</f>
        <v>#VALUE!</v>
      </c>
      <c r="H5" t="e">
        <f>AND(Conciliación!J73,"AAAAAFNb+wc=")</f>
        <v>#VALUE!</v>
      </c>
      <c r="I5" t="e">
        <f>AND(Conciliación!K73,"AAAAAFNb+wg=")</f>
        <v>#VALUE!</v>
      </c>
      <c r="J5" t="e">
        <f>AND(Conciliación!L73,"AAAAAFNb+wk=")</f>
        <v>#VALUE!</v>
      </c>
      <c r="K5" t="e">
        <f>AND(Conciliación!M73,"AAAAAFNb+wo=")</f>
        <v>#VALUE!</v>
      </c>
      <c r="L5" t="e">
        <f>AND(Conciliación!N73,"AAAAAFNb+ws=")</f>
        <v>#VALUE!</v>
      </c>
      <c r="M5">
        <f>IF(Conciliación!74:74,"AAAAAFNb+ww=",0)</f>
        <v>0</v>
      </c>
      <c r="N5" t="e">
        <f>AND(Conciliación!B74,"AAAAAFNb+w0=")</f>
        <v>#VALUE!</v>
      </c>
      <c r="O5" t="e">
        <f>AND(Conciliación!C74,"AAAAAFNb+w4=")</f>
        <v>#VALUE!</v>
      </c>
      <c r="P5" t="e">
        <f>AND(Conciliación!D74,"AAAAAFNb+w8=")</f>
        <v>#VALUE!</v>
      </c>
      <c r="Q5" t="e">
        <f>AND(Conciliación!E74,"AAAAAFNb+xA=")</f>
        <v>#VALUE!</v>
      </c>
      <c r="R5" t="e">
        <f>AND(Conciliación!F74,"AAAAAFNb+xE=")</f>
        <v>#VALUE!</v>
      </c>
      <c r="S5" t="e">
        <f>AND(Conciliación!G74,"AAAAAFNb+xI=")</f>
        <v>#VALUE!</v>
      </c>
      <c r="T5" t="e">
        <f>AND(Conciliación!H74,"AAAAAFNb+xM=")</f>
        <v>#VALUE!</v>
      </c>
      <c r="U5" t="e">
        <f>AND(Conciliación!I74,"AAAAAFNb+xQ=")</f>
        <v>#VALUE!</v>
      </c>
      <c r="V5" t="e">
        <f>AND(Conciliación!J74,"AAAAAFNb+xU=")</f>
        <v>#VALUE!</v>
      </c>
      <c r="W5" t="e">
        <f>AND(Conciliación!K74,"AAAAAFNb+xY=")</f>
        <v>#VALUE!</v>
      </c>
      <c r="X5" t="e">
        <f>AND(Conciliación!L74,"AAAAAFNb+xc=")</f>
        <v>#VALUE!</v>
      </c>
      <c r="Y5" t="e">
        <f>AND(Conciliación!M74,"AAAAAFNb+xg=")</f>
        <v>#VALUE!</v>
      </c>
      <c r="Z5" t="e">
        <f>AND(Conciliación!N74,"AAAAAFNb+xk=")</f>
        <v>#VALUE!</v>
      </c>
      <c r="AA5">
        <f>IF(Conciliación!75:75,"AAAAAFNb+xo=",0)</f>
        <v>0</v>
      </c>
      <c r="AB5" t="e">
        <f>AND(Conciliación!B75,"AAAAAFNb+xs=")</f>
        <v>#VALUE!</v>
      </c>
      <c r="AC5" t="e">
        <f>AND(Conciliación!C75,"AAAAAFNb+xw=")</f>
        <v>#VALUE!</v>
      </c>
      <c r="AD5" t="e">
        <f>AND(Conciliación!D75,"AAAAAFNb+x0=")</f>
        <v>#VALUE!</v>
      </c>
      <c r="AE5" t="e">
        <f>AND(Conciliación!E75,"AAAAAFNb+x4=")</f>
        <v>#VALUE!</v>
      </c>
      <c r="AF5" t="e">
        <f>AND(Conciliación!F75,"AAAAAFNb+x8=")</f>
        <v>#VALUE!</v>
      </c>
      <c r="AG5" t="e">
        <f>AND(Conciliación!G75,"AAAAAFNb+yA=")</f>
        <v>#VALUE!</v>
      </c>
      <c r="AH5" t="e">
        <f>AND(Conciliación!H75,"AAAAAFNb+yE=")</f>
        <v>#VALUE!</v>
      </c>
      <c r="AI5" t="e">
        <f>AND(Conciliación!I75,"AAAAAFNb+yI=")</f>
        <v>#VALUE!</v>
      </c>
      <c r="AJ5" t="e">
        <f>AND(Conciliación!J75,"AAAAAFNb+yM=")</f>
        <v>#VALUE!</v>
      </c>
      <c r="AK5" t="e">
        <f>AND(Conciliación!K75,"AAAAAFNb+yQ=")</f>
        <v>#VALUE!</v>
      </c>
      <c r="AL5" t="e">
        <f>AND(Conciliación!L75,"AAAAAFNb+yU=")</f>
        <v>#VALUE!</v>
      </c>
      <c r="AM5" t="e">
        <f>AND(Conciliación!M75,"AAAAAFNb+yY=")</f>
        <v>#VALUE!</v>
      </c>
      <c r="AN5" t="e">
        <f>AND(Conciliación!N75,"AAAAAFNb+yc=")</f>
        <v>#VALUE!</v>
      </c>
      <c r="AO5">
        <f>IF(Conciliación!76:76,"AAAAAFNb+yg=",0)</f>
        <v>0</v>
      </c>
      <c r="AP5" t="e">
        <f>AND(Conciliación!B76,"AAAAAFNb+yk=")</f>
        <v>#VALUE!</v>
      </c>
      <c r="AQ5" t="e">
        <f>AND(Conciliación!C76,"AAAAAFNb+yo=")</f>
        <v>#VALUE!</v>
      </c>
      <c r="AR5" t="e">
        <f>AND(Conciliación!D76,"AAAAAFNb+ys=")</f>
        <v>#VALUE!</v>
      </c>
      <c r="AS5" t="e">
        <f>AND(Conciliación!E76,"AAAAAFNb+yw=")</f>
        <v>#VALUE!</v>
      </c>
      <c r="AT5" t="e">
        <f>AND(Conciliación!F76,"AAAAAFNb+y0=")</f>
        <v>#VALUE!</v>
      </c>
      <c r="AU5" t="e">
        <f>AND(Conciliación!G76,"AAAAAFNb+y4=")</f>
        <v>#VALUE!</v>
      </c>
      <c r="AV5" t="e">
        <f>AND(Conciliación!H76,"AAAAAFNb+y8=")</f>
        <v>#VALUE!</v>
      </c>
      <c r="AW5" t="e">
        <f>AND(Conciliación!I76,"AAAAAFNb+zA=")</f>
        <v>#VALUE!</v>
      </c>
      <c r="AX5" t="e">
        <f>AND(Conciliación!J76,"AAAAAFNb+zE=")</f>
        <v>#VALUE!</v>
      </c>
      <c r="AY5" t="e">
        <f>AND(Conciliación!K76,"AAAAAFNb+zI=")</f>
        <v>#VALUE!</v>
      </c>
      <c r="AZ5" t="e">
        <f>AND(Conciliación!L76,"AAAAAFNb+zM=")</f>
        <v>#VALUE!</v>
      </c>
      <c r="BA5" t="e">
        <f>AND(Conciliación!M76,"AAAAAFNb+zQ=")</f>
        <v>#VALUE!</v>
      </c>
      <c r="BB5" t="e">
        <f>AND(Conciliación!N76,"AAAAAFNb+zU=")</f>
        <v>#VALUE!</v>
      </c>
      <c r="BC5">
        <f>IF(Conciliación!77:77,"AAAAAFNb+zY=",0)</f>
        <v>0</v>
      </c>
      <c r="BD5" t="e">
        <f>AND(Conciliación!B77,"AAAAAFNb+zc=")</f>
        <v>#VALUE!</v>
      </c>
      <c r="BE5" t="e">
        <f>AND(Conciliación!C77,"AAAAAFNb+zg=")</f>
        <v>#VALUE!</v>
      </c>
      <c r="BF5" t="e">
        <f>AND(Conciliación!D77,"AAAAAFNb+zk=")</f>
        <v>#VALUE!</v>
      </c>
      <c r="BG5" t="e">
        <f>AND(Conciliación!E77,"AAAAAFNb+zo=")</f>
        <v>#VALUE!</v>
      </c>
      <c r="BH5" t="e">
        <f>AND(Conciliación!F77,"AAAAAFNb+zs=")</f>
        <v>#VALUE!</v>
      </c>
      <c r="BI5" t="e">
        <f>AND(Conciliación!G77,"AAAAAFNb+zw=")</f>
        <v>#VALUE!</v>
      </c>
      <c r="BJ5" t="e">
        <f>AND(Conciliación!H77,"AAAAAFNb+z0=")</f>
        <v>#VALUE!</v>
      </c>
      <c r="BK5" t="e">
        <f>AND(Conciliación!I77,"AAAAAFNb+z4=")</f>
        <v>#VALUE!</v>
      </c>
      <c r="BL5" t="e">
        <f>AND(Conciliación!J77,"AAAAAFNb+z8=")</f>
        <v>#VALUE!</v>
      </c>
      <c r="BM5" t="e">
        <f>AND(Conciliación!K77,"AAAAAFNb+0A=")</f>
        <v>#VALUE!</v>
      </c>
      <c r="BN5" t="e">
        <f>AND(Conciliación!L77,"AAAAAFNb+0E=")</f>
        <v>#VALUE!</v>
      </c>
      <c r="BO5" t="e">
        <f>AND(Conciliación!M77,"AAAAAFNb+0I=")</f>
        <v>#VALUE!</v>
      </c>
      <c r="BP5" t="e">
        <f>AND(Conciliación!N77,"AAAAAFNb+0M=")</f>
        <v>#VALUE!</v>
      </c>
      <c r="BQ5">
        <f>IF(Conciliación!78:78,"AAAAAFNb+0Q=",0)</f>
        <v>0</v>
      </c>
      <c r="BR5" t="e">
        <f>AND(Conciliación!B78,"AAAAAFNb+0U=")</f>
        <v>#VALUE!</v>
      </c>
      <c r="BS5" t="e">
        <f>AND(Conciliación!C78,"AAAAAFNb+0Y=")</f>
        <v>#VALUE!</v>
      </c>
      <c r="BT5" t="e">
        <f>AND(Conciliación!D78,"AAAAAFNb+0c=")</f>
        <v>#VALUE!</v>
      </c>
      <c r="BU5" t="e">
        <f>AND(Conciliación!E78,"AAAAAFNb+0g=")</f>
        <v>#VALUE!</v>
      </c>
      <c r="BV5" t="e">
        <f>AND(Conciliación!F78,"AAAAAFNb+0k=")</f>
        <v>#VALUE!</v>
      </c>
      <c r="BW5" t="e">
        <f>AND(Conciliación!G78,"AAAAAFNb+0o=")</f>
        <v>#VALUE!</v>
      </c>
      <c r="BX5" t="e">
        <f>AND(Conciliación!H78,"AAAAAFNb+0s=")</f>
        <v>#VALUE!</v>
      </c>
      <c r="BY5" t="e">
        <f>AND(Conciliación!I78,"AAAAAFNb+0w=")</f>
        <v>#VALUE!</v>
      </c>
      <c r="BZ5" t="e">
        <f>AND(Conciliación!J78,"AAAAAFNb+00=")</f>
        <v>#VALUE!</v>
      </c>
      <c r="CA5" t="e">
        <f>AND(Conciliación!K78,"AAAAAFNb+04=")</f>
        <v>#VALUE!</v>
      </c>
      <c r="CB5" t="e">
        <f>AND(Conciliación!L78,"AAAAAFNb+08=")</f>
        <v>#VALUE!</v>
      </c>
      <c r="CC5" t="e">
        <f>AND(Conciliación!M78,"AAAAAFNb+1A=")</f>
        <v>#VALUE!</v>
      </c>
      <c r="CD5" t="e">
        <f>AND(Conciliación!N78,"AAAAAFNb+1E=")</f>
        <v>#VALUE!</v>
      </c>
      <c r="CE5">
        <f>IF(Conciliación!79:79,"AAAAAFNb+1I=",0)</f>
        <v>0</v>
      </c>
      <c r="CF5" t="e">
        <f>AND(Conciliación!B79,"AAAAAFNb+1M=")</f>
        <v>#VALUE!</v>
      </c>
      <c r="CG5" t="e">
        <f>AND(Conciliación!C79,"AAAAAFNb+1Q=")</f>
        <v>#VALUE!</v>
      </c>
      <c r="CH5" t="e">
        <f>AND(Conciliación!D79,"AAAAAFNb+1U=")</f>
        <v>#VALUE!</v>
      </c>
      <c r="CI5" t="e">
        <f>AND(Conciliación!E79,"AAAAAFNb+1Y=")</f>
        <v>#VALUE!</v>
      </c>
      <c r="CJ5" t="e">
        <f>AND(Conciliación!F79,"AAAAAFNb+1c=")</f>
        <v>#VALUE!</v>
      </c>
      <c r="CK5" t="e">
        <f>AND(Conciliación!G79,"AAAAAFNb+1g=")</f>
        <v>#VALUE!</v>
      </c>
      <c r="CL5" t="e">
        <f>AND(Conciliación!H79,"AAAAAFNb+1k=")</f>
        <v>#VALUE!</v>
      </c>
      <c r="CM5" t="e">
        <f>AND(Conciliación!I79,"AAAAAFNb+1o=")</f>
        <v>#VALUE!</v>
      </c>
      <c r="CN5" t="e">
        <f>AND(Conciliación!J79,"AAAAAFNb+1s=")</f>
        <v>#VALUE!</v>
      </c>
      <c r="CO5" t="e">
        <f>AND(Conciliación!K79,"AAAAAFNb+1w=")</f>
        <v>#VALUE!</v>
      </c>
      <c r="CP5" t="e">
        <f>AND(Conciliación!L79,"AAAAAFNb+10=")</f>
        <v>#VALUE!</v>
      </c>
      <c r="CQ5" t="e">
        <f>AND(Conciliación!M79,"AAAAAFNb+14=")</f>
        <v>#VALUE!</v>
      </c>
      <c r="CR5" t="e">
        <f>AND(Conciliación!N79,"AAAAAFNb+18=")</f>
        <v>#VALUE!</v>
      </c>
      <c r="CS5">
        <f>IF(Conciliación!80:80,"AAAAAFNb+2A=",0)</f>
        <v>0</v>
      </c>
      <c r="CT5" t="e">
        <f>AND(Conciliación!B80,"AAAAAFNb+2E=")</f>
        <v>#VALUE!</v>
      </c>
      <c r="CU5" t="e">
        <f>AND(Conciliación!C80,"AAAAAFNb+2I=")</f>
        <v>#VALUE!</v>
      </c>
      <c r="CV5" t="e">
        <f>AND(Conciliación!D80,"AAAAAFNb+2M=")</f>
        <v>#VALUE!</v>
      </c>
      <c r="CW5" t="e">
        <f>AND(Conciliación!E80,"AAAAAFNb+2Q=")</f>
        <v>#VALUE!</v>
      </c>
      <c r="CX5" t="e">
        <f>AND(Conciliación!F80,"AAAAAFNb+2U=")</f>
        <v>#VALUE!</v>
      </c>
      <c r="CY5" t="e">
        <f>AND(Conciliación!G80,"AAAAAFNb+2Y=")</f>
        <v>#VALUE!</v>
      </c>
      <c r="CZ5" t="e">
        <f>AND(Conciliación!H80,"AAAAAFNb+2c=")</f>
        <v>#VALUE!</v>
      </c>
      <c r="DA5" t="e">
        <f>AND(Conciliación!I80,"AAAAAFNb+2g=")</f>
        <v>#VALUE!</v>
      </c>
      <c r="DB5" t="e">
        <f>AND(Conciliación!J80,"AAAAAFNb+2k=")</f>
        <v>#VALUE!</v>
      </c>
      <c r="DC5" t="e">
        <f>AND(Conciliación!K80,"AAAAAFNb+2o=")</f>
        <v>#VALUE!</v>
      </c>
      <c r="DD5" t="e">
        <f>AND(Conciliación!L80,"AAAAAFNb+2s=")</f>
        <v>#VALUE!</v>
      </c>
      <c r="DE5" t="e">
        <f>AND(Conciliación!M80,"AAAAAFNb+2w=")</f>
        <v>#VALUE!</v>
      </c>
      <c r="DF5" t="e">
        <f>AND(Conciliación!N80,"AAAAAFNb+20=")</f>
        <v>#VALUE!</v>
      </c>
      <c r="DG5">
        <f>IF(Conciliación!81:81,"AAAAAFNb+24=",0)</f>
        <v>0</v>
      </c>
      <c r="DH5" t="e">
        <f>AND(Conciliación!B81,"AAAAAFNb+28=")</f>
        <v>#VALUE!</v>
      </c>
      <c r="DI5" t="e">
        <f>AND(Conciliación!C81,"AAAAAFNb+3A=")</f>
        <v>#VALUE!</v>
      </c>
      <c r="DJ5" t="e">
        <f>AND(Conciliación!D81,"AAAAAFNb+3E=")</f>
        <v>#VALUE!</v>
      </c>
      <c r="DK5" t="e">
        <f>AND(Conciliación!E81,"AAAAAFNb+3I=")</f>
        <v>#VALUE!</v>
      </c>
      <c r="DL5" t="e">
        <f>AND(Conciliación!F81,"AAAAAFNb+3M=")</f>
        <v>#VALUE!</v>
      </c>
      <c r="DM5" t="e">
        <f>AND(Conciliación!G81,"AAAAAFNb+3Q=")</f>
        <v>#VALUE!</v>
      </c>
      <c r="DN5" t="e">
        <f>AND(Conciliación!H81,"AAAAAFNb+3U=")</f>
        <v>#VALUE!</v>
      </c>
      <c r="DO5" t="e">
        <f>AND(Conciliación!I81,"AAAAAFNb+3Y=")</f>
        <v>#VALUE!</v>
      </c>
      <c r="DP5" t="e">
        <f>AND(Conciliación!J81,"AAAAAFNb+3c=")</f>
        <v>#VALUE!</v>
      </c>
      <c r="DQ5" t="e">
        <f>AND(Conciliación!K81,"AAAAAFNb+3g=")</f>
        <v>#VALUE!</v>
      </c>
      <c r="DR5" t="e">
        <f>AND(Conciliación!L81,"AAAAAFNb+3k=")</f>
        <v>#VALUE!</v>
      </c>
      <c r="DS5" t="e">
        <f>AND(Conciliación!M81,"AAAAAFNb+3o=")</f>
        <v>#VALUE!</v>
      </c>
      <c r="DT5" t="e">
        <f>AND(Conciliación!N81,"AAAAAFNb+3s=")</f>
        <v>#VALUE!</v>
      </c>
      <c r="DU5">
        <f>IF(Conciliación!82:82,"AAAAAFNb+3w=",0)</f>
        <v>0</v>
      </c>
      <c r="DV5" t="e">
        <f>AND(Conciliación!B82,"AAAAAFNb+30=")</f>
        <v>#VALUE!</v>
      </c>
      <c r="DW5" t="e">
        <f>AND(Conciliación!C82,"AAAAAFNb+34=")</f>
        <v>#VALUE!</v>
      </c>
      <c r="DX5" t="e">
        <f>AND(Conciliación!D82,"AAAAAFNb+38=")</f>
        <v>#VALUE!</v>
      </c>
      <c r="DY5" t="e">
        <f>AND(Conciliación!E82,"AAAAAFNb+4A=")</f>
        <v>#VALUE!</v>
      </c>
      <c r="DZ5" t="e">
        <f>AND(Conciliación!F82,"AAAAAFNb+4E=")</f>
        <v>#VALUE!</v>
      </c>
      <c r="EA5" t="e">
        <f>AND(Conciliación!G82,"AAAAAFNb+4I=")</f>
        <v>#VALUE!</v>
      </c>
      <c r="EB5" t="e">
        <f>AND(Conciliación!H82,"AAAAAFNb+4M=")</f>
        <v>#VALUE!</v>
      </c>
      <c r="EC5" t="e">
        <f>AND(Conciliación!I82,"AAAAAFNb+4Q=")</f>
        <v>#VALUE!</v>
      </c>
      <c r="ED5" t="e">
        <f>AND(Conciliación!J82,"AAAAAFNb+4U=")</f>
        <v>#VALUE!</v>
      </c>
      <c r="EE5" t="e">
        <f>AND(Conciliación!K82,"AAAAAFNb+4Y=")</f>
        <v>#VALUE!</v>
      </c>
      <c r="EF5" t="e">
        <f>AND(Conciliación!L82,"AAAAAFNb+4c=")</f>
        <v>#VALUE!</v>
      </c>
      <c r="EG5" t="e">
        <f>AND(Conciliación!M82,"AAAAAFNb+4g=")</f>
        <v>#VALUE!</v>
      </c>
      <c r="EH5" t="e">
        <f>AND(Conciliación!N82,"AAAAAFNb+4k=")</f>
        <v>#VALUE!</v>
      </c>
      <c r="EI5">
        <f>IF(Conciliación!83:83,"AAAAAFNb+4o=",0)</f>
        <v>0</v>
      </c>
      <c r="EJ5" t="e">
        <f>AND(Conciliación!B83,"AAAAAFNb+4s=")</f>
        <v>#VALUE!</v>
      </c>
      <c r="EK5" t="e">
        <f>AND(Conciliación!C83,"AAAAAFNb+4w=")</f>
        <v>#VALUE!</v>
      </c>
      <c r="EL5" t="e">
        <f>AND(Conciliación!D83,"AAAAAFNb+40=")</f>
        <v>#VALUE!</v>
      </c>
      <c r="EM5" t="e">
        <f>AND(Conciliación!E83,"AAAAAFNb+44=")</f>
        <v>#VALUE!</v>
      </c>
      <c r="EN5" t="e">
        <f>AND(Conciliación!F83,"AAAAAFNb+48=")</f>
        <v>#VALUE!</v>
      </c>
      <c r="EO5" t="e">
        <f>AND(Conciliación!G83,"AAAAAFNb+5A=")</f>
        <v>#VALUE!</v>
      </c>
      <c r="EP5" t="e">
        <f>AND(Conciliación!H83,"AAAAAFNb+5E=")</f>
        <v>#VALUE!</v>
      </c>
      <c r="EQ5" t="e">
        <f>AND(Conciliación!I83,"AAAAAFNb+5I=")</f>
        <v>#VALUE!</v>
      </c>
      <c r="ER5" t="e">
        <f>AND(Conciliación!J83,"AAAAAFNb+5M=")</f>
        <v>#VALUE!</v>
      </c>
      <c r="ES5" t="e">
        <f>AND(Conciliación!K83,"AAAAAFNb+5Q=")</f>
        <v>#VALUE!</v>
      </c>
      <c r="ET5" t="e">
        <f>AND(Conciliación!L83,"AAAAAFNb+5U=")</f>
        <v>#VALUE!</v>
      </c>
      <c r="EU5" t="e">
        <f>AND(Conciliación!M83,"AAAAAFNb+5Y=")</f>
        <v>#VALUE!</v>
      </c>
      <c r="EV5" t="e">
        <f>AND(Conciliación!N83,"AAAAAFNb+5c=")</f>
        <v>#VALUE!</v>
      </c>
      <c r="EW5">
        <f>IF(Conciliación!84:84,"AAAAAFNb+5g=",0)</f>
        <v>0</v>
      </c>
      <c r="EX5" t="e">
        <f>AND(Conciliación!B84,"AAAAAFNb+5k=")</f>
        <v>#VALUE!</v>
      </c>
      <c r="EY5" t="e">
        <f>AND(Conciliación!C84,"AAAAAFNb+5o=")</f>
        <v>#VALUE!</v>
      </c>
      <c r="EZ5" t="e">
        <f>AND(Conciliación!D84,"AAAAAFNb+5s=")</f>
        <v>#VALUE!</v>
      </c>
      <c r="FA5" t="e">
        <f>AND(Conciliación!E84,"AAAAAFNb+5w=")</f>
        <v>#VALUE!</v>
      </c>
      <c r="FB5" t="e">
        <f>AND(Conciliación!F84,"AAAAAFNb+50=")</f>
        <v>#VALUE!</v>
      </c>
      <c r="FC5" t="e">
        <f>AND(Conciliación!G84,"AAAAAFNb+54=")</f>
        <v>#VALUE!</v>
      </c>
      <c r="FD5" t="e">
        <f>AND(Conciliación!H84,"AAAAAFNb+58=")</f>
        <v>#VALUE!</v>
      </c>
      <c r="FE5" t="e">
        <f>AND(Conciliación!I84,"AAAAAFNb+6A=")</f>
        <v>#VALUE!</v>
      </c>
      <c r="FF5" t="e">
        <f>AND(Conciliación!J84,"AAAAAFNb+6E=")</f>
        <v>#VALUE!</v>
      </c>
      <c r="FG5" t="e">
        <f>AND(Conciliación!K84,"AAAAAFNb+6I=")</f>
        <v>#VALUE!</v>
      </c>
      <c r="FH5" t="e">
        <f>AND(Conciliación!L84,"AAAAAFNb+6M=")</f>
        <v>#VALUE!</v>
      </c>
      <c r="FI5" t="e">
        <f>AND(Conciliación!M84,"AAAAAFNb+6Q=")</f>
        <v>#VALUE!</v>
      </c>
      <c r="FJ5" t="e">
        <f>AND(Conciliación!N84,"AAAAAFNb+6U=")</f>
        <v>#VALUE!</v>
      </c>
      <c r="FK5">
        <f>IF(Conciliación!85:85,"AAAAAFNb+6Y=",0)</f>
        <v>0</v>
      </c>
      <c r="FL5" t="e">
        <f>AND(Conciliación!B85,"AAAAAFNb+6c=")</f>
        <v>#VALUE!</v>
      </c>
      <c r="FM5" t="e">
        <f>AND(Conciliación!C85,"AAAAAFNb+6g=")</f>
        <v>#VALUE!</v>
      </c>
      <c r="FN5" t="e">
        <f>AND(Conciliación!D85,"AAAAAFNb+6k=")</f>
        <v>#VALUE!</v>
      </c>
      <c r="FO5" t="e">
        <f>AND(Conciliación!E85,"AAAAAFNb+6o=")</f>
        <v>#VALUE!</v>
      </c>
      <c r="FP5" t="e">
        <f>AND(Conciliación!F85,"AAAAAFNb+6s=")</f>
        <v>#VALUE!</v>
      </c>
      <c r="FQ5" t="e">
        <f>AND(Conciliación!G85,"AAAAAFNb+6w=")</f>
        <v>#VALUE!</v>
      </c>
      <c r="FR5" t="e">
        <f>AND(Conciliación!H85,"AAAAAFNb+60=")</f>
        <v>#VALUE!</v>
      </c>
      <c r="FS5" t="e">
        <f>AND(Conciliación!I85,"AAAAAFNb+64=")</f>
        <v>#VALUE!</v>
      </c>
      <c r="FT5" t="e">
        <f>AND(Conciliación!J85,"AAAAAFNb+68=")</f>
        <v>#VALUE!</v>
      </c>
      <c r="FU5" t="e">
        <f>AND(Conciliación!K85,"AAAAAFNb+7A=")</f>
        <v>#VALUE!</v>
      </c>
      <c r="FV5" t="e">
        <f>AND(Conciliación!L85,"AAAAAFNb+7E=")</f>
        <v>#VALUE!</v>
      </c>
      <c r="FW5" t="e">
        <f>AND(Conciliación!M85,"AAAAAFNb+7I=")</f>
        <v>#VALUE!</v>
      </c>
      <c r="FX5" t="e">
        <f>AND(Conciliación!N85,"AAAAAFNb+7M=")</f>
        <v>#VALUE!</v>
      </c>
      <c r="FY5">
        <f>IF(Conciliación!86:86,"AAAAAFNb+7Q=",0)</f>
        <v>0</v>
      </c>
      <c r="FZ5" t="e">
        <f>AND(Conciliación!B86,"AAAAAFNb+7U=")</f>
        <v>#VALUE!</v>
      </c>
      <c r="GA5" t="e">
        <f>AND(Conciliación!C86,"AAAAAFNb+7Y=")</f>
        <v>#VALUE!</v>
      </c>
      <c r="GB5" t="e">
        <f>AND(Conciliación!D86,"AAAAAFNb+7c=")</f>
        <v>#VALUE!</v>
      </c>
      <c r="GC5" t="e">
        <f>AND(Conciliación!E86,"AAAAAFNb+7g=")</f>
        <v>#VALUE!</v>
      </c>
      <c r="GD5" t="e">
        <f>AND(Conciliación!F86,"AAAAAFNb+7k=")</f>
        <v>#VALUE!</v>
      </c>
      <c r="GE5" t="e">
        <f>AND(Conciliación!G86,"AAAAAFNb+7o=")</f>
        <v>#VALUE!</v>
      </c>
      <c r="GF5" t="e">
        <f>AND(Conciliación!H86,"AAAAAFNb+7s=")</f>
        <v>#VALUE!</v>
      </c>
      <c r="GG5" t="e">
        <f>AND(Conciliación!I86,"AAAAAFNb+7w=")</f>
        <v>#VALUE!</v>
      </c>
      <c r="GH5" t="e">
        <f>AND(Conciliación!J86,"AAAAAFNb+70=")</f>
        <v>#VALUE!</v>
      </c>
      <c r="GI5" t="e">
        <f>AND(Conciliación!K86,"AAAAAFNb+74=")</f>
        <v>#VALUE!</v>
      </c>
      <c r="GJ5" t="e">
        <f>AND(Conciliación!L86,"AAAAAFNb+78=")</f>
        <v>#VALUE!</v>
      </c>
      <c r="GK5" t="e">
        <f>AND(Conciliación!M86,"AAAAAFNb+8A=")</f>
        <v>#VALUE!</v>
      </c>
      <c r="GL5" t="e">
        <f>AND(Conciliación!N86,"AAAAAFNb+8E=")</f>
        <v>#VALUE!</v>
      </c>
      <c r="GM5">
        <f>IF(Conciliación!87:87,"AAAAAFNb+8I=",0)</f>
        <v>0</v>
      </c>
      <c r="GN5" t="e">
        <f>AND(Conciliación!B87,"AAAAAFNb+8M=")</f>
        <v>#VALUE!</v>
      </c>
      <c r="GO5" t="e">
        <f>AND(Conciliación!C87,"AAAAAFNb+8Q=")</f>
        <v>#VALUE!</v>
      </c>
      <c r="GP5" t="e">
        <f>AND(Conciliación!D87,"AAAAAFNb+8U=")</f>
        <v>#VALUE!</v>
      </c>
      <c r="GQ5" t="e">
        <f>AND(Conciliación!E87,"AAAAAFNb+8Y=")</f>
        <v>#VALUE!</v>
      </c>
      <c r="GR5" t="e">
        <f>AND(Conciliación!F87,"AAAAAFNb+8c=")</f>
        <v>#VALUE!</v>
      </c>
      <c r="GS5" t="e">
        <f>AND(Conciliación!G87,"AAAAAFNb+8g=")</f>
        <v>#VALUE!</v>
      </c>
      <c r="GT5" t="e">
        <f>AND(Conciliación!H87,"AAAAAFNb+8k=")</f>
        <v>#VALUE!</v>
      </c>
      <c r="GU5" t="e">
        <f>AND(Conciliación!I87,"AAAAAFNb+8o=")</f>
        <v>#VALUE!</v>
      </c>
      <c r="GV5" t="e">
        <f>AND(Conciliación!J87,"AAAAAFNb+8s=")</f>
        <v>#VALUE!</v>
      </c>
      <c r="GW5" t="e">
        <f>AND(Conciliación!K87,"AAAAAFNb+8w=")</f>
        <v>#VALUE!</v>
      </c>
      <c r="GX5" t="e">
        <f>AND(Conciliación!L87,"AAAAAFNb+80=")</f>
        <v>#VALUE!</v>
      </c>
      <c r="GY5" t="e">
        <f>AND(Conciliación!M87,"AAAAAFNb+84=")</f>
        <v>#VALUE!</v>
      </c>
      <c r="GZ5" t="e">
        <f>AND(Conciliación!N87,"AAAAAFNb+88=")</f>
        <v>#VALUE!</v>
      </c>
      <c r="HA5">
        <f>IF(Conciliación!88:88,"AAAAAFNb+9A=",0)</f>
        <v>0</v>
      </c>
      <c r="HB5" t="e">
        <f>AND(Conciliación!B88,"AAAAAFNb+9E=")</f>
        <v>#VALUE!</v>
      </c>
      <c r="HC5" t="e">
        <f>AND(Conciliación!C88,"AAAAAFNb+9I=")</f>
        <v>#VALUE!</v>
      </c>
      <c r="HD5" t="e">
        <f>AND(Conciliación!D88,"AAAAAFNb+9M=")</f>
        <v>#VALUE!</v>
      </c>
      <c r="HE5" t="e">
        <f>AND(Conciliación!E88,"AAAAAFNb+9Q=")</f>
        <v>#VALUE!</v>
      </c>
      <c r="HF5" t="e">
        <f>AND(Conciliación!F88,"AAAAAFNb+9U=")</f>
        <v>#VALUE!</v>
      </c>
      <c r="HG5" t="e">
        <f>AND(Conciliación!G88,"AAAAAFNb+9Y=")</f>
        <v>#VALUE!</v>
      </c>
      <c r="HH5" t="e">
        <f>AND(Conciliación!H88,"AAAAAFNb+9c=")</f>
        <v>#VALUE!</v>
      </c>
      <c r="HI5" t="e">
        <f>AND(Conciliación!I88,"AAAAAFNb+9g=")</f>
        <v>#VALUE!</v>
      </c>
      <c r="HJ5" t="e">
        <f>AND(Conciliación!J88,"AAAAAFNb+9k=")</f>
        <v>#VALUE!</v>
      </c>
      <c r="HK5" t="e">
        <f>AND(Conciliación!K88,"AAAAAFNb+9o=")</f>
        <v>#VALUE!</v>
      </c>
      <c r="HL5" t="e">
        <f>AND(Conciliación!L88,"AAAAAFNb+9s=")</f>
        <v>#VALUE!</v>
      </c>
      <c r="HM5" t="e">
        <f>AND(Conciliación!M88,"AAAAAFNb+9w=")</f>
        <v>#VALUE!</v>
      </c>
      <c r="HN5" t="e">
        <f>AND(Conciliación!N88,"AAAAAFNb+90=")</f>
        <v>#VALUE!</v>
      </c>
      <c r="HO5">
        <f>IF(Conciliación!89:89,"AAAAAFNb+94=",0)</f>
        <v>0</v>
      </c>
      <c r="HP5" t="e">
        <f>AND(Conciliación!B89,"AAAAAFNb+98=")</f>
        <v>#VALUE!</v>
      </c>
      <c r="HQ5" t="e">
        <f>AND(Conciliación!C89,"AAAAAFNb++A=")</f>
        <v>#VALUE!</v>
      </c>
      <c r="HR5" t="e">
        <f>AND(Conciliación!D89,"AAAAAFNb++E=")</f>
        <v>#VALUE!</v>
      </c>
      <c r="HS5" t="e">
        <f>AND(Conciliación!E89,"AAAAAFNb++I=")</f>
        <v>#VALUE!</v>
      </c>
      <c r="HT5" t="e">
        <f>AND(Conciliación!F89,"AAAAAFNb++M=")</f>
        <v>#VALUE!</v>
      </c>
      <c r="HU5" t="e">
        <f>AND(Conciliación!G89,"AAAAAFNb++Q=")</f>
        <v>#VALUE!</v>
      </c>
      <c r="HV5" t="e">
        <f>AND(Conciliación!H89,"AAAAAFNb++U=")</f>
        <v>#VALUE!</v>
      </c>
      <c r="HW5" t="e">
        <f>AND(Conciliación!I89,"AAAAAFNb++Y=")</f>
        <v>#VALUE!</v>
      </c>
      <c r="HX5" t="e">
        <f>AND(Conciliación!J89,"AAAAAFNb++c=")</f>
        <v>#VALUE!</v>
      </c>
      <c r="HY5" t="e">
        <f>AND(Conciliación!K89,"AAAAAFNb++g=")</f>
        <v>#VALUE!</v>
      </c>
      <c r="HZ5" t="e">
        <f>AND(Conciliación!L89,"AAAAAFNb++k=")</f>
        <v>#VALUE!</v>
      </c>
      <c r="IA5" t="e">
        <f>AND(Conciliación!M89,"AAAAAFNb++o=")</f>
        <v>#VALUE!</v>
      </c>
      <c r="IB5" t="e">
        <f>AND(Conciliación!N89,"AAAAAFNb++s=")</f>
        <v>#VALUE!</v>
      </c>
      <c r="IC5">
        <f>IF(Conciliación!90:90,"AAAAAFNb++w=",0)</f>
        <v>0</v>
      </c>
      <c r="ID5" t="e">
        <f>AND(Conciliación!B90,"AAAAAFNb++0=")</f>
        <v>#VALUE!</v>
      </c>
      <c r="IE5" t="e">
        <f>AND(Conciliación!C90,"AAAAAFNb++4=")</f>
        <v>#VALUE!</v>
      </c>
      <c r="IF5" t="e">
        <f>AND(Conciliación!D90,"AAAAAFNb++8=")</f>
        <v>#VALUE!</v>
      </c>
      <c r="IG5" t="e">
        <f>AND(Conciliación!E90,"AAAAAFNb+/A=")</f>
        <v>#VALUE!</v>
      </c>
      <c r="IH5" t="e">
        <f>AND(Conciliación!F90,"AAAAAFNb+/E=")</f>
        <v>#VALUE!</v>
      </c>
      <c r="II5" t="e">
        <f>AND(Conciliación!G90,"AAAAAFNb+/I=")</f>
        <v>#VALUE!</v>
      </c>
      <c r="IJ5" t="e">
        <f>AND(Conciliación!H90,"AAAAAFNb+/M=")</f>
        <v>#VALUE!</v>
      </c>
      <c r="IK5" t="e">
        <f>AND(Conciliación!I90,"AAAAAFNb+/Q=")</f>
        <v>#VALUE!</v>
      </c>
      <c r="IL5" t="e">
        <f>AND(Conciliación!J90,"AAAAAFNb+/U=")</f>
        <v>#VALUE!</v>
      </c>
      <c r="IM5" t="e">
        <f>AND(Conciliación!K90,"AAAAAFNb+/Y=")</f>
        <v>#VALUE!</v>
      </c>
      <c r="IN5" t="e">
        <f>AND(Conciliación!L90,"AAAAAFNb+/c=")</f>
        <v>#VALUE!</v>
      </c>
      <c r="IO5" t="e">
        <f>AND(Conciliación!M90,"AAAAAFNb+/g=")</f>
        <v>#VALUE!</v>
      </c>
      <c r="IP5" t="e">
        <f>AND(Conciliación!N90,"AAAAAFNb+/k=")</f>
        <v>#VALUE!</v>
      </c>
      <c r="IQ5">
        <f>IF(Conciliación!91:91,"AAAAAFNb+/o=",0)</f>
        <v>0</v>
      </c>
      <c r="IR5" t="e">
        <f>AND(Conciliación!B91,"AAAAAFNb+/s=")</f>
        <v>#VALUE!</v>
      </c>
      <c r="IS5" t="e">
        <f>AND(Conciliación!C91,"AAAAAFNb+/w=")</f>
        <v>#VALUE!</v>
      </c>
      <c r="IT5" t="e">
        <f>AND(Conciliación!D91,"AAAAAFNb+/0=")</f>
        <v>#VALUE!</v>
      </c>
      <c r="IU5" t="e">
        <f>AND(Conciliación!E91,"AAAAAFNb+/4=")</f>
        <v>#VALUE!</v>
      </c>
      <c r="IV5" t="e">
        <f>AND(Conciliación!F91,"AAAAAFNb+/8=")</f>
        <v>#VALUE!</v>
      </c>
    </row>
    <row r="6" spans="1:256" x14ac:dyDescent="0.2">
      <c r="A6" t="e">
        <f>AND(Conciliación!G91,"AAAAAH3y5QA=")</f>
        <v>#VALUE!</v>
      </c>
      <c r="B6" t="e">
        <f>AND(Conciliación!H91,"AAAAAH3y5QE=")</f>
        <v>#VALUE!</v>
      </c>
      <c r="C6" t="e">
        <f>AND(Conciliación!I91,"AAAAAH3y5QI=")</f>
        <v>#VALUE!</v>
      </c>
      <c r="D6" t="e">
        <f>AND(Conciliación!J91,"AAAAAH3y5QM=")</f>
        <v>#VALUE!</v>
      </c>
      <c r="E6" t="e">
        <f>AND(Conciliación!K91,"AAAAAH3y5QQ=")</f>
        <v>#VALUE!</v>
      </c>
      <c r="F6" t="e">
        <f>AND(Conciliación!L91,"AAAAAH3y5QU=")</f>
        <v>#VALUE!</v>
      </c>
      <c r="G6" t="e">
        <f>AND(Conciliación!M91,"AAAAAH3y5QY=")</f>
        <v>#VALUE!</v>
      </c>
      <c r="H6" t="e">
        <f>AND(Conciliación!N91,"AAAAAH3y5Qc=")</f>
        <v>#VALUE!</v>
      </c>
      <c r="I6">
        <f>IF(Conciliación!92:92,"AAAAAH3y5Qg=",0)</f>
        <v>0</v>
      </c>
      <c r="J6" t="e">
        <f>AND(Conciliación!B92,"AAAAAH3y5Qk=")</f>
        <v>#VALUE!</v>
      </c>
      <c r="K6" t="e">
        <f>AND(Conciliación!C92,"AAAAAH3y5Qo=")</f>
        <v>#VALUE!</v>
      </c>
      <c r="L6" t="e">
        <f>AND(Conciliación!D92,"AAAAAH3y5Qs=")</f>
        <v>#VALUE!</v>
      </c>
      <c r="M6" t="e">
        <f>AND(Conciliación!E92,"AAAAAH3y5Qw=")</f>
        <v>#VALUE!</v>
      </c>
      <c r="N6" t="e">
        <f>AND(Conciliación!F92,"AAAAAH3y5Q0=")</f>
        <v>#VALUE!</v>
      </c>
      <c r="O6" t="e">
        <f>AND(Conciliación!G92,"AAAAAH3y5Q4=")</f>
        <v>#VALUE!</v>
      </c>
      <c r="P6" t="e">
        <f>AND(Conciliación!H92,"AAAAAH3y5Q8=")</f>
        <v>#VALUE!</v>
      </c>
      <c r="Q6" t="e">
        <f>AND(Conciliación!I92,"AAAAAH3y5RA=")</f>
        <v>#VALUE!</v>
      </c>
      <c r="R6" t="e">
        <f>AND(Conciliación!J92,"AAAAAH3y5RE=")</f>
        <v>#VALUE!</v>
      </c>
      <c r="S6" t="e">
        <f>AND(Conciliación!K92,"AAAAAH3y5RI=")</f>
        <v>#VALUE!</v>
      </c>
      <c r="T6" t="e">
        <f>AND(Conciliación!L92,"AAAAAH3y5RM=")</f>
        <v>#VALUE!</v>
      </c>
      <c r="U6" t="e">
        <f>AND(Conciliación!M92,"AAAAAH3y5RQ=")</f>
        <v>#VALUE!</v>
      </c>
      <c r="V6" t="e">
        <f>AND(Conciliación!N92,"AAAAAH3y5RU=")</f>
        <v>#VALUE!</v>
      </c>
      <c r="W6">
        <f>IF(Conciliación!93:93,"AAAAAH3y5RY=",0)</f>
        <v>0</v>
      </c>
      <c r="X6" t="e">
        <f>AND(Conciliación!B93,"AAAAAH3y5Rc=")</f>
        <v>#VALUE!</v>
      </c>
      <c r="Y6" t="e">
        <f>AND(Conciliación!C93,"AAAAAH3y5Rg=")</f>
        <v>#VALUE!</v>
      </c>
      <c r="Z6" t="e">
        <f>AND(Conciliación!D93,"AAAAAH3y5Rk=")</f>
        <v>#VALUE!</v>
      </c>
      <c r="AA6" t="e">
        <f>AND(Conciliación!E93,"AAAAAH3y5Ro=")</f>
        <v>#VALUE!</v>
      </c>
      <c r="AB6" t="e">
        <f>AND(Conciliación!F93,"AAAAAH3y5Rs=")</f>
        <v>#VALUE!</v>
      </c>
      <c r="AC6" t="e">
        <f>AND(Conciliación!G93,"AAAAAH3y5Rw=")</f>
        <v>#VALUE!</v>
      </c>
      <c r="AD6" t="e">
        <f>AND(Conciliación!H93,"AAAAAH3y5R0=")</f>
        <v>#VALUE!</v>
      </c>
      <c r="AE6" t="e">
        <f>AND(Conciliación!I93,"AAAAAH3y5R4=")</f>
        <v>#VALUE!</v>
      </c>
      <c r="AF6" t="e">
        <f>AND(Conciliación!J93,"AAAAAH3y5R8=")</f>
        <v>#VALUE!</v>
      </c>
      <c r="AG6" t="e">
        <f>AND(Conciliación!K93,"AAAAAH3y5SA=")</f>
        <v>#VALUE!</v>
      </c>
      <c r="AH6" t="e">
        <f>AND(Conciliación!L93,"AAAAAH3y5SE=")</f>
        <v>#VALUE!</v>
      </c>
      <c r="AI6" t="e">
        <f>AND(Conciliación!M93,"AAAAAH3y5SI=")</f>
        <v>#VALUE!</v>
      </c>
      <c r="AJ6" t="e">
        <f>AND(Conciliación!N93,"AAAAAH3y5SM=")</f>
        <v>#VALUE!</v>
      </c>
      <c r="AK6">
        <f>IF(Conciliación!94:94,"AAAAAH3y5SQ=",0)</f>
        <v>0</v>
      </c>
      <c r="AL6" t="e">
        <f>AND(Conciliación!B94,"AAAAAH3y5SU=")</f>
        <v>#VALUE!</v>
      </c>
      <c r="AM6" t="e">
        <f>AND(Conciliación!C94,"AAAAAH3y5SY=")</f>
        <v>#VALUE!</v>
      </c>
      <c r="AN6" t="e">
        <f>AND(Conciliación!D94,"AAAAAH3y5Sc=")</f>
        <v>#VALUE!</v>
      </c>
      <c r="AO6" t="e">
        <f>AND(Conciliación!E94,"AAAAAH3y5Sg=")</f>
        <v>#VALUE!</v>
      </c>
      <c r="AP6" t="e">
        <f>AND(Conciliación!F94,"AAAAAH3y5Sk=")</f>
        <v>#VALUE!</v>
      </c>
      <c r="AQ6" t="e">
        <f>AND(Conciliación!G94,"AAAAAH3y5So=")</f>
        <v>#VALUE!</v>
      </c>
      <c r="AR6" t="e">
        <f>AND(Conciliación!H94,"AAAAAH3y5Ss=")</f>
        <v>#VALUE!</v>
      </c>
      <c r="AS6" t="e">
        <f>AND(Conciliación!I94,"AAAAAH3y5Sw=")</f>
        <v>#VALUE!</v>
      </c>
      <c r="AT6" t="e">
        <f>AND(Conciliación!J94,"AAAAAH3y5S0=")</f>
        <v>#VALUE!</v>
      </c>
      <c r="AU6" t="e">
        <f>AND(Conciliación!K94,"AAAAAH3y5S4=")</f>
        <v>#VALUE!</v>
      </c>
      <c r="AV6" t="e">
        <f>AND(Conciliación!L94,"AAAAAH3y5S8=")</f>
        <v>#VALUE!</v>
      </c>
      <c r="AW6" t="e">
        <f>AND(Conciliación!M94,"AAAAAH3y5TA=")</f>
        <v>#VALUE!</v>
      </c>
      <c r="AX6" t="e">
        <f>AND(Conciliación!N94,"AAAAAH3y5TE=")</f>
        <v>#VALUE!</v>
      </c>
      <c r="AY6">
        <f>IF(Conciliación!95:95,"AAAAAH3y5TI=",0)</f>
        <v>0</v>
      </c>
      <c r="AZ6" t="e">
        <f>AND(Conciliación!B95,"AAAAAH3y5TM=")</f>
        <v>#VALUE!</v>
      </c>
      <c r="BA6" t="e">
        <f>AND(Conciliación!C95,"AAAAAH3y5TQ=")</f>
        <v>#VALUE!</v>
      </c>
      <c r="BB6" t="e">
        <f>AND(Conciliación!D95,"AAAAAH3y5TU=")</f>
        <v>#VALUE!</v>
      </c>
      <c r="BC6" t="e">
        <f>AND(Conciliación!E95,"AAAAAH3y5TY=")</f>
        <v>#VALUE!</v>
      </c>
      <c r="BD6" t="e">
        <f>AND(Conciliación!F95,"AAAAAH3y5Tc=")</f>
        <v>#VALUE!</v>
      </c>
      <c r="BE6" t="e">
        <f>AND(Conciliación!G95,"AAAAAH3y5Tg=")</f>
        <v>#VALUE!</v>
      </c>
      <c r="BF6" t="e">
        <f>AND(Conciliación!H95,"AAAAAH3y5Tk=")</f>
        <v>#VALUE!</v>
      </c>
      <c r="BG6" t="e">
        <f>AND(Conciliación!I95,"AAAAAH3y5To=")</f>
        <v>#VALUE!</v>
      </c>
      <c r="BH6" t="e">
        <f>AND(Conciliación!J95,"AAAAAH3y5Ts=")</f>
        <v>#VALUE!</v>
      </c>
      <c r="BI6" t="e">
        <f>AND(Conciliación!K95,"AAAAAH3y5Tw=")</f>
        <v>#VALUE!</v>
      </c>
      <c r="BJ6" t="e">
        <f>AND(Conciliación!L95,"AAAAAH3y5T0=")</f>
        <v>#VALUE!</v>
      </c>
      <c r="BK6" t="e">
        <f>AND(Conciliación!M95,"AAAAAH3y5T4=")</f>
        <v>#VALUE!</v>
      </c>
      <c r="BL6" t="e">
        <f>AND(Conciliación!N95,"AAAAAH3y5T8=")</f>
        <v>#VALUE!</v>
      </c>
      <c r="BM6">
        <f>IF(Conciliación!96:96,"AAAAAH3y5UA=",0)</f>
        <v>0</v>
      </c>
      <c r="BN6" t="e">
        <f>AND(Conciliación!B96,"AAAAAH3y5UE=")</f>
        <v>#VALUE!</v>
      </c>
      <c r="BO6" t="e">
        <f>AND(Conciliación!C96,"AAAAAH3y5UI=")</f>
        <v>#VALUE!</v>
      </c>
      <c r="BP6" t="e">
        <f>AND(Conciliación!D96,"AAAAAH3y5UM=")</f>
        <v>#VALUE!</v>
      </c>
      <c r="BQ6" t="e">
        <f>AND(Conciliación!E96,"AAAAAH3y5UQ=")</f>
        <v>#VALUE!</v>
      </c>
      <c r="BR6" t="e">
        <f>AND(Conciliación!F96,"AAAAAH3y5UU=")</f>
        <v>#VALUE!</v>
      </c>
      <c r="BS6" t="e">
        <f>AND(Conciliación!G96,"AAAAAH3y5UY=")</f>
        <v>#VALUE!</v>
      </c>
      <c r="BT6" t="e">
        <f>AND(Conciliación!H96,"AAAAAH3y5Uc=")</f>
        <v>#VALUE!</v>
      </c>
      <c r="BU6" t="e">
        <f>AND(Conciliación!I96,"AAAAAH3y5Ug=")</f>
        <v>#VALUE!</v>
      </c>
      <c r="BV6" t="e">
        <f>AND(Conciliación!J96,"AAAAAH3y5Uk=")</f>
        <v>#VALUE!</v>
      </c>
      <c r="BW6" t="e">
        <f>AND(Conciliación!K96,"AAAAAH3y5Uo=")</f>
        <v>#VALUE!</v>
      </c>
      <c r="BX6" t="e">
        <f>AND(Conciliación!L96,"AAAAAH3y5Us=")</f>
        <v>#VALUE!</v>
      </c>
      <c r="BY6" t="e">
        <f>AND(Conciliación!M96,"AAAAAH3y5Uw=")</f>
        <v>#VALUE!</v>
      </c>
      <c r="BZ6" t="e">
        <f>AND(Conciliación!N96,"AAAAAH3y5U0=")</f>
        <v>#VALUE!</v>
      </c>
      <c r="CA6">
        <f>IF(Conciliación!97:97,"AAAAAH3y5U4=",0)</f>
        <v>0</v>
      </c>
      <c r="CB6" t="e">
        <f>AND(Conciliación!B97,"AAAAAH3y5U8=")</f>
        <v>#VALUE!</v>
      </c>
      <c r="CC6" t="e">
        <f>AND(Conciliación!C97,"AAAAAH3y5VA=")</f>
        <v>#VALUE!</v>
      </c>
      <c r="CD6" t="e">
        <f>AND(Conciliación!D97,"AAAAAH3y5VE=")</f>
        <v>#VALUE!</v>
      </c>
      <c r="CE6" t="e">
        <f>AND(Conciliación!E97,"AAAAAH3y5VI=")</f>
        <v>#VALUE!</v>
      </c>
      <c r="CF6" t="e">
        <f>AND(Conciliación!F97,"AAAAAH3y5VM=")</f>
        <v>#VALUE!</v>
      </c>
      <c r="CG6" t="e">
        <f>AND(Conciliación!G97,"AAAAAH3y5VQ=")</f>
        <v>#VALUE!</v>
      </c>
      <c r="CH6" t="e">
        <f>AND(Conciliación!H97,"AAAAAH3y5VU=")</f>
        <v>#VALUE!</v>
      </c>
      <c r="CI6" t="e">
        <f>AND(Conciliación!I97,"AAAAAH3y5VY=")</f>
        <v>#VALUE!</v>
      </c>
      <c r="CJ6" t="e">
        <f>AND(Conciliación!J97,"AAAAAH3y5Vc=")</f>
        <v>#VALUE!</v>
      </c>
      <c r="CK6" t="e">
        <f>AND(Conciliación!K97,"AAAAAH3y5Vg=")</f>
        <v>#VALUE!</v>
      </c>
      <c r="CL6" t="e">
        <f>AND(Conciliación!L97,"AAAAAH3y5Vk=")</f>
        <v>#VALUE!</v>
      </c>
      <c r="CM6" t="e">
        <f>AND(Conciliación!M97,"AAAAAH3y5Vo=")</f>
        <v>#VALUE!</v>
      </c>
      <c r="CN6" t="e">
        <f>AND(Conciliación!N97,"AAAAAH3y5Vs=")</f>
        <v>#VALUE!</v>
      </c>
      <c r="CO6">
        <f>IF(Conciliación!98:98,"AAAAAH3y5Vw=",0)</f>
        <v>0</v>
      </c>
      <c r="CP6" t="e">
        <f>AND(Conciliación!B98,"AAAAAH3y5V0=")</f>
        <v>#VALUE!</v>
      </c>
      <c r="CQ6" t="e">
        <f>AND(Conciliación!C98,"AAAAAH3y5V4=")</f>
        <v>#VALUE!</v>
      </c>
      <c r="CR6" t="e">
        <f>AND(Conciliación!D98,"AAAAAH3y5V8=")</f>
        <v>#VALUE!</v>
      </c>
      <c r="CS6" t="e">
        <f>AND(Conciliación!E98,"AAAAAH3y5WA=")</f>
        <v>#VALUE!</v>
      </c>
      <c r="CT6" t="e">
        <f>AND(Conciliación!F98,"AAAAAH3y5WE=")</f>
        <v>#VALUE!</v>
      </c>
      <c r="CU6" t="e">
        <f>AND(Conciliación!G98,"AAAAAH3y5WI=")</f>
        <v>#VALUE!</v>
      </c>
      <c r="CV6" t="e">
        <f>AND(Conciliación!H98,"AAAAAH3y5WM=")</f>
        <v>#VALUE!</v>
      </c>
      <c r="CW6" t="e">
        <f>AND(Conciliación!I98,"AAAAAH3y5WQ=")</f>
        <v>#VALUE!</v>
      </c>
      <c r="CX6" t="e">
        <f>AND(Conciliación!J98,"AAAAAH3y5WU=")</f>
        <v>#VALUE!</v>
      </c>
      <c r="CY6" t="e">
        <f>AND(Conciliación!K98,"AAAAAH3y5WY=")</f>
        <v>#VALUE!</v>
      </c>
      <c r="CZ6" t="e">
        <f>AND(Conciliación!L98,"AAAAAH3y5Wc=")</f>
        <v>#VALUE!</v>
      </c>
      <c r="DA6" t="e">
        <f>AND(Conciliación!M98,"AAAAAH3y5Wg=")</f>
        <v>#VALUE!</v>
      </c>
      <c r="DB6" t="e">
        <f>AND(Conciliación!N98,"AAAAAH3y5Wk=")</f>
        <v>#VALUE!</v>
      </c>
      <c r="DC6">
        <f>IF(Conciliación!99:99,"AAAAAH3y5Wo=",0)</f>
        <v>0</v>
      </c>
      <c r="DD6" t="e">
        <f>AND(Conciliación!B99,"AAAAAH3y5Ws=")</f>
        <v>#VALUE!</v>
      </c>
      <c r="DE6" t="e">
        <f>AND(Conciliación!C99,"AAAAAH3y5Ww=")</f>
        <v>#VALUE!</v>
      </c>
      <c r="DF6" t="e">
        <f>AND(Conciliación!D99,"AAAAAH3y5W0=")</f>
        <v>#VALUE!</v>
      </c>
      <c r="DG6" t="e">
        <f>AND(Conciliación!E99,"AAAAAH3y5W4=")</f>
        <v>#VALUE!</v>
      </c>
      <c r="DH6" t="e">
        <f>AND(Conciliación!F99,"AAAAAH3y5W8=")</f>
        <v>#VALUE!</v>
      </c>
      <c r="DI6" t="e">
        <f>AND(Conciliación!G99,"AAAAAH3y5XA=")</f>
        <v>#VALUE!</v>
      </c>
      <c r="DJ6" t="e">
        <f>AND(Conciliación!H99,"AAAAAH3y5XE=")</f>
        <v>#VALUE!</v>
      </c>
      <c r="DK6" t="e">
        <f>AND(Conciliación!I99,"AAAAAH3y5XI=")</f>
        <v>#VALUE!</v>
      </c>
      <c r="DL6" t="e">
        <f>AND(Conciliación!J99,"AAAAAH3y5XM=")</f>
        <v>#VALUE!</v>
      </c>
      <c r="DM6" t="e">
        <f>AND(Conciliación!K99,"AAAAAH3y5XQ=")</f>
        <v>#VALUE!</v>
      </c>
      <c r="DN6" t="e">
        <f>AND(Conciliación!L99,"AAAAAH3y5XU=")</f>
        <v>#VALUE!</v>
      </c>
      <c r="DO6" t="e">
        <f>AND(Conciliación!M99,"AAAAAH3y5XY=")</f>
        <v>#VALUE!</v>
      </c>
      <c r="DP6" t="e">
        <f>AND(Conciliación!N99,"AAAAAH3y5Xc=")</f>
        <v>#VALUE!</v>
      </c>
      <c r="DQ6">
        <f>IF(Conciliación!100:100,"AAAAAH3y5Xg=",0)</f>
        <v>0</v>
      </c>
      <c r="DR6" t="e">
        <f>AND(Conciliación!B100,"AAAAAH3y5Xk=")</f>
        <v>#VALUE!</v>
      </c>
      <c r="DS6" t="e">
        <f>AND(Conciliación!C100,"AAAAAH3y5Xo=")</f>
        <v>#VALUE!</v>
      </c>
      <c r="DT6" t="e">
        <f>AND(Conciliación!D100,"AAAAAH3y5Xs=")</f>
        <v>#VALUE!</v>
      </c>
      <c r="DU6" t="e">
        <f>AND(Conciliación!E100,"AAAAAH3y5Xw=")</f>
        <v>#VALUE!</v>
      </c>
      <c r="DV6" t="e">
        <f>AND(Conciliación!F100,"AAAAAH3y5X0=")</f>
        <v>#VALUE!</v>
      </c>
      <c r="DW6" t="e">
        <f>AND(Conciliación!G100,"AAAAAH3y5X4=")</f>
        <v>#VALUE!</v>
      </c>
      <c r="DX6" t="e">
        <f>AND(Conciliación!H100,"AAAAAH3y5X8=")</f>
        <v>#VALUE!</v>
      </c>
      <c r="DY6" t="e">
        <f>AND(Conciliación!I100,"AAAAAH3y5YA=")</f>
        <v>#VALUE!</v>
      </c>
      <c r="DZ6" t="e">
        <f>AND(Conciliación!J100,"AAAAAH3y5YE=")</f>
        <v>#VALUE!</v>
      </c>
      <c r="EA6" t="e">
        <f>AND(Conciliación!K100,"AAAAAH3y5YI=")</f>
        <v>#VALUE!</v>
      </c>
      <c r="EB6" t="e">
        <f>AND(Conciliación!L100,"AAAAAH3y5YM=")</f>
        <v>#VALUE!</v>
      </c>
      <c r="EC6" t="e">
        <f>AND(Conciliación!M100,"AAAAAH3y5YQ=")</f>
        <v>#VALUE!</v>
      </c>
      <c r="ED6" t="e">
        <f>AND(Conciliación!N100,"AAAAAH3y5YU=")</f>
        <v>#VALUE!</v>
      </c>
      <c r="EE6">
        <f>IF(Conciliación!101:101,"AAAAAH3y5YY=",0)</f>
        <v>0</v>
      </c>
      <c r="EF6" t="e">
        <f>AND(Conciliación!B101,"AAAAAH3y5Yc=")</f>
        <v>#VALUE!</v>
      </c>
      <c r="EG6" t="e">
        <f>AND(Conciliación!C101,"AAAAAH3y5Yg=")</f>
        <v>#VALUE!</v>
      </c>
      <c r="EH6" t="e">
        <f>AND(Conciliación!D101,"AAAAAH3y5Yk=")</f>
        <v>#VALUE!</v>
      </c>
      <c r="EI6" t="e">
        <f>AND(Conciliación!E101,"AAAAAH3y5Yo=")</f>
        <v>#VALUE!</v>
      </c>
      <c r="EJ6" t="e">
        <f>AND(Conciliación!F101,"AAAAAH3y5Ys=")</f>
        <v>#VALUE!</v>
      </c>
      <c r="EK6" t="e">
        <f>AND(Conciliación!G101,"AAAAAH3y5Yw=")</f>
        <v>#VALUE!</v>
      </c>
      <c r="EL6" t="e">
        <f>AND(Conciliación!H101,"AAAAAH3y5Y0=")</f>
        <v>#VALUE!</v>
      </c>
      <c r="EM6" t="e">
        <f>AND(Conciliación!I101,"AAAAAH3y5Y4=")</f>
        <v>#VALUE!</v>
      </c>
      <c r="EN6" t="e">
        <f>AND(Conciliación!J101,"AAAAAH3y5Y8=")</f>
        <v>#VALUE!</v>
      </c>
      <c r="EO6" t="e">
        <f>AND(Conciliación!K101,"AAAAAH3y5ZA=")</f>
        <v>#VALUE!</v>
      </c>
      <c r="EP6" t="e">
        <f>AND(Conciliación!L101,"AAAAAH3y5ZE=")</f>
        <v>#VALUE!</v>
      </c>
      <c r="EQ6" t="e">
        <f>AND(Conciliación!M101,"AAAAAH3y5ZI=")</f>
        <v>#VALUE!</v>
      </c>
      <c r="ER6" t="e">
        <f>AND(Conciliación!N101,"AAAAAH3y5ZM=")</f>
        <v>#VALUE!</v>
      </c>
      <c r="ES6">
        <f>IF(Conciliación!102:102,"AAAAAH3y5ZQ=",0)</f>
        <v>0</v>
      </c>
      <c r="ET6" t="e">
        <f>AND(Conciliación!B102,"AAAAAH3y5ZU=")</f>
        <v>#VALUE!</v>
      </c>
      <c r="EU6" t="e">
        <f>AND(Conciliación!C102,"AAAAAH3y5ZY=")</f>
        <v>#VALUE!</v>
      </c>
      <c r="EV6" t="e">
        <f>AND(Conciliación!D102,"AAAAAH3y5Zc=")</f>
        <v>#VALUE!</v>
      </c>
      <c r="EW6" t="e">
        <f>AND(Conciliación!E102,"AAAAAH3y5Zg=")</f>
        <v>#VALUE!</v>
      </c>
      <c r="EX6" t="e">
        <f>AND(Conciliación!F102,"AAAAAH3y5Zk=")</f>
        <v>#VALUE!</v>
      </c>
      <c r="EY6" t="e">
        <f>AND(Conciliación!G102,"AAAAAH3y5Zo=")</f>
        <v>#VALUE!</v>
      </c>
      <c r="EZ6" t="e">
        <f>AND(Conciliación!H102,"AAAAAH3y5Zs=")</f>
        <v>#VALUE!</v>
      </c>
      <c r="FA6" t="e">
        <f>AND(Conciliación!I102,"AAAAAH3y5Zw=")</f>
        <v>#VALUE!</v>
      </c>
      <c r="FB6" t="e">
        <f>AND(Conciliación!J102,"AAAAAH3y5Z0=")</f>
        <v>#VALUE!</v>
      </c>
      <c r="FC6" t="e">
        <f>AND(Conciliación!K102,"AAAAAH3y5Z4=")</f>
        <v>#VALUE!</v>
      </c>
      <c r="FD6" t="e">
        <f>AND(Conciliación!L102,"AAAAAH3y5Z8=")</f>
        <v>#VALUE!</v>
      </c>
      <c r="FE6" t="e">
        <f>AND(Conciliación!M102,"AAAAAH3y5aA=")</f>
        <v>#VALUE!</v>
      </c>
      <c r="FF6" t="e">
        <f>AND(Conciliación!N102,"AAAAAH3y5aE=")</f>
        <v>#VALUE!</v>
      </c>
      <c r="FG6">
        <f>IF(Conciliación!103:103,"AAAAAH3y5aI=",0)</f>
        <v>0</v>
      </c>
      <c r="FH6" t="e">
        <f>AND(Conciliación!B103,"AAAAAH3y5aM=")</f>
        <v>#VALUE!</v>
      </c>
      <c r="FI6" t="e">
        <f>AND(Conciliación!C103,"AAAAAH3y5aQ=")</f>
        <v>#VALUE!</v>
      </c>
      <c r="FJ6" t="e">
        <f>AND(Conciliación!D103,"AAAAAH3y5aU=")</f>
        <v>#VALUE!</v>
      </c>
      <c r="FK6" t="e">
        <f>AND(Conciliación!E103,"AAAAAH3y5aY=")</f>
        <v>#VALUE!</v>
      </c>
      <c r="FL6" t="e">
        <f>AND(Conciliación!F103,"AAAAAH3y5ac=")</f>
        <v>#VALUE!</v>
      </c>
      <c r="FM6" t="e">
        <f>AND(Conciliación!G103,"AAAAAH3y5ag=")</f>
        <v>#VALUE!</v>
      </c>
      <c r="FN6" t="e">
        <f>AND(Conciliación!H103,"AAAAAH3y5ak=")</f>
        <v>#VALUE!</v>
      </c>
      <c r="FO6" t="e">
        <f>AND(Conciliación!I103,"AAAAAH3y5ao=")</f>
        <v>#VALUE!</v>
      </c>
      <c r="FP6" t="e">
        <f>AND(Conciliación!J103,"AAAAAH3y5as=")</f>
        <v>#VALUE!</v>
      </c>
      <c r="FQ6" t="e">
        <f>AND(Conciliación!K103,"AAAAAH3y5aw=")</f>
        <v>#VALUE!</v>
      </c>
      <c r="FR6" t="e">
        <f>AND(Conciliación!L103,"AAAAAH3y5a0=")</f>
        <v>#VALUE!</v>
      </c>
      <c r="FS6" t="e">
        <f>AND(Conciliación!M103,"AAAAAH3y5a4=")</f>
        <v>#VALUE!</v>
      </c>
      <c r="FT6" t="e">
        <f>AND(Conciliación!N103,"AAAAAH3y5a8=")</f>
        <v>#VALUE!</v>
      </c>
      <c r="FU6">
        <f>IF(Conciliación!104:104,"AAAAAH3y5bA=",0)</f>
        <v>0</v>
      </c>
      <c r="FV6" t="e">
        <f>AND(Conciliación!B104,"AAAAAH3y5bE=")</f>
        <v>#VALUE!</v>
      </c>
      <c r="FW6" t="e">
        <f>AND(Conciliación!C104,"AAAAAH3y5bI=")</f>
        <v>#VALUE!</v>
      </c>
      <c r="FX6" t="e">
        <f>AND(Conciliación!D104,"AAAAAH3y5bM=")</f>
        <v>#VALUE!</v>
      </c>
      <c r="FY6" t="e">
        <f>AND(Conciliación!E104,"AAAAAH3y5bQ=")</f>
        <v>#VALUE!</v>
      </c>
      <c r="FZ6" t="e">
        <f>AND(Conciliación!F104,"AAAAAH3y5bU=")</f>
        <v>#VALUE!</v>
      </c>
      <c r="GA6" t="e">
        <f>AND(Conciliación!G104,"AAAAAH3y5bY=")</f>
        <v>#VALUE!</v>
      </c>
      <c r="GB6" t="e">
        <f>AND(Conciliación!H104,"AAAAAH3y5bc=")</f>
        <v>#VALUE!</v>
      </c>
      <c r="GC6" t="e">
        <f>AND(Conciliación!I104,"AAAAAH3y5bg=")</f>
        <v>#VALUE!</v>
      </c>
      <c r="GD6" t="e">
        <f>AND(Conciliación!J104,"AAAAAH3y5bk=")</f>
        <v>#VALUE!</v>
      </c>
      <c r="GE6" t="e">
        <f>AND(Conciliación!K104,"AAAAAH3y5bo=")</f>
        <v>#VALUE!</v>
      </c>
      <c r="GF6" t="e">
        <f>AND(Conciliación!L104,"AAAAAH3y5bs=")</f>
        <v>#VALUE!</v>
      </c>
      <c r="GG6" t="e">
        <f>AND(Conciliación!M104,"AAAAAH3y5bw=")</f>
        <v>#VALUE!</v>
      </c>
      <c r="GH6" t="e">
        <f>AND(Conciliación!N104,"AAAAAH3y5b0=")</f>
        <v>#VALUE!</v>
      </c>
      <c r="GI6">
        <f>IF(Conciliación!105:105,"AAAAAH3y5b4=",0)</f>
        <v>0</v>
      </c>
      <c r="GJ6" t="e">
        <f>AND(Conciliación!B105,"AAAAAH3y5b8=")</f>
        <v>#VALUE!</v>
      </c>
      <c r="GK6" t="e">
        <f>AND(Conciliación!C105,"AAAAAH3y5cA=")</f>
        <v>#VALUE!</v>
      </c>
      <c r="GL6" t="e">
        <f>AND(Conciliación!D105,"AAAAAH3y5cE=")</f>
        <v>#VALUE!</v>
      </c>
      <c r="GM6" t="e">
        <f>AND(Conciliación!E105,"AAAAAH3y5cI=")</f>
        <v>#VALUE!</v>
      </c>
      <c r="GN6" t="e">
        <f>AND(Conciliación!F105,"AAAAAH3y5cM=")</f>
        <v>#VALUE!</v>
      </c>
      <c r="GO6" t="e">
        <f>AND(Conciliación!G105,"AAAAAH3y5cQ=")</f>
        <v>#VALUE!</v>
      </c>
      <c r="GP6" t="e">
        <f>AND(Conciliación!H105,"AAAAAH3y5cU=")</f>
        <v>#VALUE!</v>
      </c>
      <c r="GQ6" t="e">
        <f>AND(Conciliación!I105,"AAAAAH3y5cY=")</f>
        <v>#VALUE!</v>
      </c>
      <c r="GR6" t="e">
        <f>AND(Conciliación!J105,"AAAAAH3y5cc=")</f>
        <v>#VALUE!</v>
      </c>
      <c r="GS6" t="e">
        <f>AND(Conciliación!K105,"AAAAAH3y5cg=")</f>
        <v>#VALUE!</v>
      </c>
      <c r="GT6" t="e">
        <f>AND(Conciliación!L105,"AAAAAH3y5ck=")</f>
        <v>#VALUE!</v>
      </c>
      <c r="GU6" t="e">
        <f>AND(Conciliación!M105,"AAAAAH3y5co=")</f>
        <v>#VALUE!</v>
      </c>
      <c r="GV6" t="e">
        <f>AND(Conciliación!N105,"AAAAAH3y5cs=")</f>
        <v>#VALUE!</v>
      </c>
      <c r="GW6">
        <f>IF(Conciliación!106:106,"AAAAAH3y5cw=",0)</f>
        <v>0</v>
      </c>
      <c r="GX6" t="e">
        <f>AND(Conciliación!B106,"AAAAAH3y5c0=")</f>
        <v>#VALUE!</v>
      </c>
      <c r="GY6" t="e">
        <f>AND(Conciliación!C106,"AAAAAH3y5c4=")</f>
        <v>#VALUE!</v>
      </c>
      <c r="GZ6" t="e">
        <f>AND(Conciliación!D106,"AAAAAH3y5c8=")</f>
        <v>#VALUE!</v>
      </c>
      <c r="HA6" t="e">
        <f>AND(Conciliación!E106,"AAAAAH3y5dA=")</f>
        <v>#VALUE!</v>
      </c>
      <c r="HB6" t="e">
        <f>AND(Conciliación!F106,"AAAAAH3y5dE=")</f>
        <v>#VALUE!</v>
      </c>
      <c r="HC6" t="e">
        <f>AND(Conciliación!G106,"AAAAAH3y5dI=")</f>
        <v>#VALUE!</v>
      </c>
      <c r="HD6" t="e">
        <f>AND(Conciliación!H106,"AAAAAH3y5dM=")</f>
        <v>#VALUE!</v>
      </c>
      <c r="HE6" t="e">
        <f>AND(Conciliación!I106,"AAAAAH3y5dQ=")</f>
        <v>#VALUE!</v>
      </c>
      <c r="HF6" t="e">
        <f>AND(Conciliación!J106,"AAAAAH3y5dU=")</f>
        <v>#VALUE!</v>
      </c>
      <c r="HG6" t="e">
        <f>AND(Conciliación!K106,"AAAAAH3y5dY=")</f>
        <v>#VALUE!</v>
      </c>
      <c r="HH6" t="e">
        <f>AND(Conciliación!L106,"AAAAAH3y5dc=")</f>
        <v>#VALUE!</v>
      </c>
      <c r="HI6" t="e">
        <f>AND(Conciliación!M106,"AAAAAH3y5dg=")</f>
        <v>#VALUE!</v>
      </c>
      <c r="HJ6" t="e">
        <f>AND(Conciliación!N106,"AAAAAH3y5dk=")</f>
        <v>#VALUE!</v>
      </c>
      <c r="HK6">
        <f>IF(Conciliación!107:107,"AAAAAH3y5do=",0)</f>
        <v>0</v>
      </c>
      <c r="HL6" t="e">
        <f>AND(Conciliación!B107,"AAAAAH3y5ds=")</f>
        <v>#VALUE!</v>
      </c>
      <c r="HM6" t="e">
        <f>AND(Conciliación!C107,"AAAAAH3y5dw=")</f>
        <v>#VALUE!</v>
      </c>
      <c r="HN6" t="e">
        <f>AND(Conciliación!D107,"AAAAAH3y5d0=")</f>
        <v>#VALUE!</v>
      </c>
      <c r="HO6" t="e">
        <f>AND(Conciliación!E107,"AAAAAH3y5d4=")</f>
        <v>#VALUE!</v>
      </c>
      <c r="HP6" t="e">
        <f>AND(Conciliación!F107,"AAAAAH3y5d8=")</f>
        <v>#VALUE!</v>
      </c>
      <c r="HQ6" t="e">
        <f>AND(Conciliación!G107,"AAAAAH3y5eA=")</f>
        <v>#VALUE!</v>
      </c>
      <c r="HR6" t="e">
        <f>AND(Conciliación!H107,"AAAAAH3y5eE=")</f>
        <v>#VALUE!</v>
      </c>
      <c r="HS6" t="e">
        <f>AND(Conciliación!I107,"AAAAAH3y5eI=")</f>
        <v>#VALUE!</v>
      </c>
      <c r="HT6" t="e">
        <f>AND(Conciliación!J107,"AAAAAH3y5eM=")</f>
        <v>#VALUE!</v>
      </c>
      <c r="HU6" t="e">
        <f>AND(Conciliación!K107,"AAAAAH3y5eQ=")</f>
        <v>#VALUE!</v>
      </c>
      <c r="HV6" t="e">
        <f>AND(Conciliación!L107,"AAAAAH3y5eU=")</f>
        <v>#VALUE!</v>
      </c>
      <c r="HW6" t="e">
        <f>AND(Conciliación!M107,"AAAAAH3y5eY=")</f>
        <v>#VALUE!</v>
      </c>
      <c r="HX6" t="e">
        <f>AND(Conciliación!N107,"AAAAAH3y5ec=")</f>
        <v>#VALUE!</v>
      </c>
      <c r="HY6">
        <f>IF(Conciliación!108:108,"AAAAAH3y5eg=",0)</f>
        <v>0</v>
      </c>
      <c r="HZ6" t="e">
        <f>AND(Conciliación!B108,"AAAAAH3y5ek=")</f>
        <v>#VALUE!</v>
      </c>
      <c r="IA6" t="e">
        <f>AND(Conciliación!C108,"AAAAAH3y5eo=")</f>
        <v>#VALUE!</v>
      </c>
      <c r="IB6" t="e">
        <f>AND(Conciliación!D108,"AAAAAH3y5es=")</f>
        <v>#VALUE!</v>
      </c>
      <c r="IC6" t="e">
        <f>AND(Conciliación!E108,"AAAAAH3y5ew=")</f>
        <v>#VALUE!</v>
      </c>
      <c r="ID6" t="e">
        <f>AND(Conciliación!F108,"AAAAAH3y5e0=")</f>
        <v>#VALUE!</v>
      </c>
      <c r="IE6" t="e">
        <f>AND(Conciliación!G108,"AAAAAH3y5e4=")</f>
        <v>#VALUE!</v>
      </c>
      <c r="IF6" t="e">
        <f>AND(Conciliación!H108,"AAAAAH3y5e8=")</f>
        <v>#VALUE!</v>
      </c>
      <c r="IG6" t="e">
        <f>AND(Conciliación!I108,"AAAAAH3y5fA=")</f>
        <v>#VALUE!</v>
      </c>
      <c r="IH6" t="e">
        <f>AND(Conciliación!J108,"AAAAAH3y5fE=")</f>
        <v>#VALUE!</v>
      </c>
      <c r="II6" t="e">
        <f>AND(Conciliación!K108,"AAAAAH3y5fI=")</f>
        <v>#VALUE!</v>
      </c>
      <c r="IJ6" t="e">
        <f>AND(Conciliación!L108,"AAAAAH3y5fM=")</f>
        <v>#VALUE!</v>
      </c>
      <c r="IK6" t="e">
        <f>AND(Conciliación!M108,"AAAAAH3y5fQ=")</f>
        <v>#VALUE!</v>
      </c>
      <c r="IL6" t="e">
        <f>AND(Conciliación!N108,"AAAAAH3y5fU=")</f>
        <v>#VALUE!</v>
      </c>
      <c r="IM6">
        <f>IF(Conciliación!109:109,"AAAAAH3y5fY=",0)</f>
        <v>0</v>
      </c>
      <c r="IN6" t="e">
        <f>AND(Conciliación!B109,"AAAAAH3y5fc=")</f>
        <v>#VALUE!</v>
      </c>
      <c r="IO6" t="e">
        <f>AND(Conciliación!C109,"AAAAAH3y5fg=")</f>
        <v>#VALUE!</v>
      </c>
      <c r="IP6" t="e">
        <f>AND(Conciliación!D109,"AAAAAH3y5fk=")</f>
        <v>#VALUE!</v>
      </c>
      <c r="IQ6" t="e">
        <f>AND(Conciliación!E109,"AAAAAH3y5fo=")</f>
        <v>#VALUE!</v>
      </c>
      <c r="IR6" t="e">
        <f>AND(Conciliación!F109,"AAAAAH3y5fs=")</f>
        <v>#VALUE!</v>
      </c>
      <c r="IS6" t="e">
        <f>AND(Conciliación!G109,"AAAAAH3y5fw=")</f>
        <v>#VALUE!</v>
      </c>
      <c r="IT6" t="e">
        <f>AND(Conciliación!H109,"AAAAAH3y5f0=")</f>
        <v>#VALUE!</v>
      </c>
      <c r="IU6" t="e">
        <f>AND(Conciliación!I109,"AAAAAH3y5f4=")</f>
        <v>#VALUE!</v>
      </c>
      <c r="IV6" t="e">
        <f>AND(Conciliación!J109,"AAAAAH3y5f8=")</f>
        <v>#VALUE!</v>
      </c>
    </row>
    <row r="7" spans="1:256" x14ac:dyDescent="0.2">
      <c r="A7" t="e">
        <f>AND(Conciliación!K109,"AAAAAH///wA=")</f>
        <v>#VALUE!</v>
      </c>
      <c r="B7" t="e">
        <f>AND(Conciliación!L109,"AAAAAH///wE=")</f>
        <v>#VALUE!</v>
      </c>
      <c r="C7" t="e">
        <f>AND(Conciliación!M109,"AAAAAH///wI=")</f>
        <v>#VALUE!</v>
      </c>
      <c r="D7" t="e">
        <f>AND(Conciliación!N109,"AAAAAH///wM=")</f>
        <v>#VALUE!</v>
      </c>
      <c r="E7">
        <f>IF(Conciliación!110:110,"AAAAAH///wQ=",0)</f>
        <v>0</v>
      </c>
      <c r="F7" t="e">
        <f>AND(Conciliación!B110,"AAAAAH///wU=")</f>
        <v>#VALUE!</v>
      </c>
      <c r="G7" t="e">
        <f>AND(Conciliación!C110,"AAAAAH///wY=")</f>
        <v>#VALUE!</v>
      </c>
      <c r="H7" t="e">
        <f>AND(Conciliación!D110,"AAAAAH///wc=")</f>
        <v>#VALUE!</v>
      </c>
      <c r="I7" t="e">
        <f>AND(Conciliación!E110,"AAAAAH///wg=")</f>
        <v>#VALUE!</v>
      </c>
      <c r="J7" t="e">
        <f>AND(Conciliación!F110,"AAAAAH///wk=")</f>
        <v>#VALUE!</v>
      </c>
      <c r="K7" t="e">
        <f>AND(Conciliación!G110,"AAAAAH///wo=")</f>
        <v>#VALUE!</v>
      </c>
      <c r="L7" t="e">
        <f>AND(Conciliación!H110,"AAAAAH///ws=")</f>
        <v>#VALUE!</v>
      </c>
      <c r="M7" t="e">
        <f>AND(Conciliación!I110,"AAAAAH///ww=")</f>
        <v>#VALUE!</v>
      </c>
      <c r="N7" t="e">
        <f>AND(Conciliación!J110,"AAAAAH///w0=")</f>
        <v>#VALUE!</v>
      </c>
      <c r="O7" t="e">
        <f>AND(Conciliación!K110,"AAAAAH///w4=")</f>
        <v>#VALUE!</v>
      </c>
      <c r="P7" t="e">
        <f>AND(Conciliación!L110,"AAAAAH///w8=")</f>
        <v>#VALUE!</v>
      </c>
      <c r="Q7" t="e">
        <f>AND(Conciliación!M110,"AAAAAH///xA=")</f>
        <v>#VALUE!</v>
      </c>
      <c r="R7" t="e">
        <f>AND(Conciliación!N110,"AAAAAH///xE=")</f>
        <v>#VALUE!</v>
      </c>
      <c r="S7">
        <f>IF(Conciliación!111:111,"AAAAAH///xI=",0)</f>
        <v>0</v>
      </c>
      <c r="T7" t="e">
        <f>AND(Conciliación!B111,"AAAAAH///xM=")</f>
        <v>#VALUE!</v>
      </c>
      <c r="U7" t="e">
        <f>AND(Conciliación!C111,"AAAAAH///xQ=")</f>
        <v>#VALUE!</v>
      </c>
      <c r="V7" t="e">
        <f>AND(Conciliación!D111,"AAAAAH///xU=")</f>
        <v>#VALUE!</v>
      </c>
      <c r="W7" t="e">
        <f>AND(Conciliación!E111,"AAAAAH///xY=")</f>
        <v>#VALUE!</v>
      </c>
      <c r="X7" t="e">
        <f>AND(Conciliación!F111,"AAAAAH///xc=")</f>
        <v>#VALUE!</v>
      </c>
      <c r="Y7" t="e">
        <f>AND(Conciliación!G111,"AAAAAH///xg=")</f>
        <v>#VALUE!</v>
      </c>
      <c r="Z7" t="e">
        <f>AND(Conciliación!H111,"AAAAAH///xk=")</f>
        <v>#VALUE!</v>
      </c>
      <c r="AA7" t="e">
        <f>AND(Conciliación!I111,"AAAAAH///xo=")</f>
        <v>#VALUE!</v>
      </c>
      <c r="AB7" t="e">
        <f>AND(Conciliación!J111,"AAAAAH///xs=")</f>
        <v>#VALUE!</v>
      </c>
      <c r="AC7" t="e">
        <f>AND(Conciliación!K111,"AAAAAH///xw=")</f>
        <v>#VALUE!</v>
      </c>
      <c r="AD7" t="e">
        <f>AND(Conciliación!L111,"AAAAAH///x0=")</f>
        <v>#VALUE!</v>
      </c>
      <c r="AE7" t="e">
        <f>AND(Conciliación!M111,"AAAAAH///x4=")</f>
        <v>#VALUE!</v>
      </c>
      <c r="AF7" t="e">
        <f>AND(Conciliación!N111,"AAAAAH///x8=")</f>
        <v>#VALUE!</v>
      </c>
      <c r="AG7">
        <f>IF(Conciliación!112:112,"AAAAAH///yA=",0)</f>
        <v>0</v>
      </c>
      <c r="AH7" t="e">
        <f>AND(Conciliación!B112,"AAAAAH///yE=")</f>
        <v>#VALUE!</v>
      </c>
      <c r="AI7" t="e">
        <f>AND(Conciliación!C112,"AAAAAH///yI=")</f>
        <v>#VALUE!</v>
      </c>
      <c r="AJ7" t="e">
        <f>AND(Conciliación!D112,"AAAAAH///yM=")</f>
        <v>#VALUE!</v>
      </c>
      <c r="AK7" t="e">
        <f>AND(Conciliación!E112,"AAAAAH///yQ=")</f>
        <v>#VALUE!</v>
      </c>
      <c r="AL7" t="e">
        <f>AND(Conciliación!F112,"AAAAAH///yU=")</f>
        <v>#VALUE!</v>
      </c>
      <c r="AM7" t="e">
        <f>AND(Conciliación!G112,"AAAAAH///yY=")</f>
        <v>#VALUE!</v>
      </c>
      <c r="AN7" t="e">
        <f>AND(Conciliación!H112,"AAAAAH///yc=")</f>
        <v>#VALUE!</v>
      </c>
      <c r="AO7" t="e">
        <f>AND(Conciliación!I112,"AAAAAH///yg=")</f>
        <v>#VALUE!</v>
      </c>
      <c r="AP7" t="e">
        <f>AND(Conciliación!J112,"AAAAAH///yk=")</f>
        <v>#VALUE!</v>
      </c>
      <c r="AQ7" t="e">
        <f>AND(Conciliación!K112,"AAAAAH///yo=")</f>
        <v>#VALUE!</v>
      </c>
      <c r="AR7" t="e">
        <f>AND(Conciliación!L112,"AAAAAH///ys=")</f>
        <v>#VALUE!</v>
      </c>
      <c r="AS7" t="e">
        <f>AND(Conciliación!M112,"AAAAAH///yw=")</f>
        <v>#VALUE!</v>
      </c>
      <c r="AT7" t="e">
        <f>AND(Conciliación!N112,"AAAAAH///y0=")</f>
        <v>#VALUE!</v>
      </c>
      <c r="AU7">
        <f>IF(Conciliación!113:113,"AAAAAH///y4=",0)</f>
        <v>0</v>
      </c>
      <c r="AV7" t="e">
        <f>AND(Conciliación!B113,"AAAAAH///y8=")</f>
        <v>#VALUE!</v>
      </c>
      <c r="AW7" t="e">
        <f>AND(Conciliación!C113,"AAAAAH///zA=")</f>
        <v>#VALUE!</v>
      </c>
      <c r="AX7" t="e">
        <f>AND(Conciliación!D113,"AAAAAH///zE=")</f>
        <v>#VALUE!</v>
      </c>
      <c r="AY7" t="e">
        <f>AND(Conciliación!E113,"AAAAAH///zI=")</f>
        <v>#VALUE!</v>
      </c>
      <c r="AZ7" t="e">
        <f>AND(Conciliación!F113,"AAAAAH///zM=")</f>
        <v>#VALUE!</v>
      </c>
      <c r="BA7" t="e">
        <f>AND(Conciliación!G113,"AAAAAH///zQ=")</f>
        <v>#VALUE!</v>
      </c>
      <c r="BB7" t="e">
        <f>AND(Conciliación!H113,"AAAAAH///zU=")</f>
        <v>#VALUE!</v>
      </c>
      <c r="BC7" t="e">
        <f>AND(Conciliación!I113,"AAAAAH///zY=")</f>
        <v>#VALUE!</v>
      </c>
      <c r="BD7" t="e">
        <f>AND(Conciliación!J113,"AAAAAH///zc=")</f>
        <v>#VALUE!</v>
      </c>
      <c r="BE7" t="e">
        <f>AND(Conciliación!K113,"AAAAAH///zg=")</f>
        <v>#VALUE!</v>
      </c>
      <c r="BF7" t="e">
        <f>AND(Conciliación!L113,"AAAAAH///zk=")</f>
        <v>#VALUE!</v>
      </c>
      <c r="BG7" t="e">
        <f>AND(Conciliación!M113,"AAAAAH///zo=")</f>
        <v>#VALUE!</v>
      </c>
      <c r="BH7" t="e">
        <f>AND(Conciliación!N113,"AAAAAH///zs=")</f>
        <v>#VALUE!</v>
      </c>
      <c r="BI7">
        <f>IF(Conciliación!114:114,"AAAAAH///zw=",0)</f>
        <v>0</v>
      </c>
      <c r="BJ7" t="e">
        <f>AND(Conciliación!B114,"AAAAAH///z0=")</f>
        <v>#VALUE!</v>
      </c>
      <c r="BK7" t="e">
        <f>AND(Conciliación!C114,"AAAAAH///z4=")</f>
        <v>#VALUE!</v>
      </c>
      <c r="BL7" t="e">
        <f>AND(Conciliación!D114,"AAAAAH///z8=")</f>
        <v>#VALUE!</v>
      </c>
      <c r="BM7" t="e">
        <f>AND(Conciliación!E114,"AAAAAH///0A=")</f>
        <v>#VALUE!</v>
      </c>
      <c r="BN7" t="e">
        <f>AND(Conciliación!F114,"AAAAAH///0E=")</f>
        <v>#VALUE!</v>
      </c>
      <c r="BO7" t="e">
        <f>AND(Conciliación!G114,"AAAAAH///0I=")</f>
        <v>#VALUE!</v>
      </c>
      <c r="BP7" t="e">
        <f>AND(Conciliación!H114,"AAAAAH///0M=")</f>
        <v>#VALUE!</v>
      </c>
      <c r="BQ7" t="e">
        <f>AND(Conciliación!I114,"AAAAAH///0Q=")</f>
        <v>#VALUE!</v>
      </c>
      <c r="BR7" t="e">
        <f>AND(Conciliación!J114,"AAAAAH///0U=")</f>
        <v>#VALUE!</v>
      </c>
      <c r="BS7" t="e">
        <f>AND(Conciliación!K114,"AAAAAH///0Y=")</f>
        <v>#VALUE!</v>
      </c>
      <c r="BT7" t="e">
        <f>AND(Conciliación!L114,"AAAAAH///0c=")</f>
        <v>#VALUE!</v>
      </c>
      <c r="BU7" t="e">
        <f>AND(Conciliación!M114,"AAAAAH///0g=")</f>
        <v>#VALUE!</v>
      </c>
      <c r="BV7" t="e">
        <f>AND(Conciliación!N114,"AAAAAH///0k=")</f>
        <v>#VALUE!</v>
      </c>
      <c r="BW7">
        <f>IF(Conciliación!115:115,"AAAAAH///0o=",0)</f>
        <v>0</v>
      </c>
      <c r="BX7" t="e">
        <f>AND(Conciliación!B115,"AAAAAH///0s=")</f>
        <v>#VALUE!</v>
      </c>
      <c r="BY7" t="e">
        <f>AND(Conciliación!C115,"AAAAAH///0w=")</f>
        <v>#VALUE!</v>
      </c>
      <c r="BZ7" t="e">
        <f>AND(Conciliación!D115,"AAAAAH///00=")</f>
        <v>#VALUE!</v>
      </c>
      <c r="CA7" t="e">
        <f>AND(Conciliación!E115,"AAAAAH///04=")</f>
        <v>#VALUE!</v>
      </c>
      <c r="CB7" t="e">
        <f>AND(Conciliación!F115,"AAAAAH///08=")</f>
        <v>#VALUE!</v>
      </c>
      <c r="CC7" t="e">
        <f>AND(Conciliación!G115,"AAAAAH///1A=")</f>
        <v>#VALUE!</v>
      </c>
      <c r="CD7" t="e">
        <f>AND(Conciliación!H115,"AAAAAH///1E=")</f>
        <v>#VALUE!</v>
      </c>
      <c r="CE7" t="e">
        <f>AND(Conciliación!I115,"AAAAAH///1I=")</f>
        <v>#VALUE!</v>
      </c>
      <c r="CF7" t="e">
        <f>AND(Conciliación!J115,"AAAAAH///1M=")</f>
        <v>#VALUE!</v>
      </c>
      <c r="CG7" t="e">
        <f>AND(Conciliación!K115,"AAAAAH///1Q=")</f>
        <v>#VALUE!</v>
      </c>
      <c r="CH7" t="e">
        <f>AND(Conciliación!L115,"AAAAAH///1U=")</f>
        <v>#VALUE!</v>
      </c>
      <c r="CI7" t="e">
        <f>AND(Conciliación!M115,"AAAAAH///1Y=")</f>
        <v>#VALUE!</v>
      </c>
      <c r="CJ7" t="e">
        <f>AND(Conciliación!N115,"AAAAAH///1c=")</f>
        <v>#VALUE!</v>
      </c>
      <c r="CK7">
        <f>IF(Conciliación!116:116,"AAAAAH///1g=",0)</f>
        <v>0</v>
      </c>
      <c r="CL7" t="e">
        <f>AND(Conciliación!B116,"AAAAAH///1k=")</f>
        <v>#VALUE!</v>
      </c>
      <c r="CM7" t="e">
        <f>AND(Conciliación!C116,"AAAAAH///1o=")</f>
        <v>#VALUE!</v>
      </c>
      <c r="CN7" t="e">
        <f>AND(Conciliación!D116,"AAAAAH///1s=")</f>
        <v>#VALUE!</v>
      </c>
      <c r="CO7">
        <f>IF(Conciliación!A:A,"AAAAAH///1w=",0)</f>
        <v>0</v>
      </c>
      <c r="CP7" t="e">
        <f>IF(Conciliación!B:B,"AAAAAH///10=",0)</f>
        <v>#VALUE!</v>
      </c>
      <c r="CQ7">
        <f>IF(Conciliación!C:C,"AAAAAH///14=",0)</f>
        <v>0</v>
      </c>
      <c r="CR7">
        <f>IF(Conciliación!D:D,"AAAAAH///18=",0)</f>
        <v>0</v>
      </c>
      <c r="CS7">
        <f>IF(Conciliación!E:E,"AAAAAH///2A=",0)</f>
        <v>0</v>
      </c>
      <c r="CT7">
        <f>IF(Conciliación!F:F,"AAAAAH///2E=",0)</f>
        <v>0</v>
      </c>
      <c r="CU7">
        <f>IF(Conciliación!G:G,"AAAAAH///2I=",0)</f>
        <v>0</v>
      </c>
      <c r="CV7">
        <f>IF(Conciliación!H:H,"AAAAAH///2M=",0)</f>
        <v>0</v>
      </c>
      <c r="CW7">
        <f>IF(Conciliación!I:I,"AAAAAH///2Q=",0)</f>
        <v>0</v>
      </c>
      <c r="CX7">
        <f>IF(Conciliación!J:J,"AAAAAH///2U=",0)</f>
        <v>0</v>
      </c>
      <c r="CY7">
        <f>IF(Conciliación!K:K,"AAAAAH///2Y=",0)</f>
        <v>0</v>
      </c>
      <c r="CZ7">
        <f>IF(Conciliación!L:L,"AAAAAH///2c=",0)</f>
        <v>0</v>
      </c>
      <c r="DA7">
        <f>IF(Conciliación!M:M,"AAAAAH///2g=",0)</f>
        <v>0</v>
      </c>
      <c r="DB7">
        <f>IF(Conciliación!N:N,"AAAAAH///2k=",0)</f>
        <v>0</v>
      </c>
      <c r="DC7" t="e">
        <f>IF(#REF!,"AAAAAH///2o=",0)</f>
        <v>#REF!</v>
      </c>
      <c r="DD7" t="e">
        <f>AND(#REF!,"AAAAAH///2s=")</f>
        <v>#REF!</v>
      </c>
      <c r="DE7" t="e">
        <f>AND(#REF!,"AAAAAH///2w=")</f>
        <v>#REF!</v>
      </c>
      <c r="DF7" t="e">
        <f>AND(#REF!,"AAAAAH///20=")</f>
        <v>#REF!</v>
      </c>
      <c r="DG7" t="e">
        <f>AND(#REF!,"AAAAAH///24=")</f>
        <v>#REF!</v>
      </c>
      <c r="DH7" t="e">
        <f>AND(#REF!,"AAAAAH///28=")</f>
        <v>#REF!</v>
      </c>
      <c r="DI7" t="e">
        <f>AND(#REF!,"AAAAAH///3A=")</f>
        <v>#REF!</v>
      </c>
      <c r="DJ7" t="e">
        <f>AND(#REF!,"AAAAAH///3E=")</f>
        <v>#REF!</v>
      </c>
      <c r="DK7" t="e">
        <f>AND(#REF!,"AAAAAH///3I=")</f>
        <v>#REF!</v>
      </c>
      <c r="DL7" t="e">
        <f>AND(#REF!,"AAAAAH///3M=")</f>
        <v>#REF!</v>
      </c>
      <c r="DM7" t="e">
        <f>AND(#REF!,"AAAAAH///3Q=")</f>
        <v>#REF!</v>
      </c>
      <c r="DN7" t="e">
        <f>AND(#REF!,"AAAAAH///3U=")</f>
        <v>#REF!</v>
      </c>
      <c r="DO7" t="e">
        <f>AND(#REF!,"AAAAAH///3Y=")</f>
        <v>#REF!</v>
      </c>
      <c r="DP7" t="e">
        <f>AND(#REF!,"AAAAAH///3c=")</f>
        <v>#REF!</v>
      </c>
      <c r="DQ7" t="e">
        <f>AND(#REF!,"AAAAAH///3g=")</f>
        <v>#REF!</v>
      </c>
      <c r="DR7" t="e">
        <f>AND(#REF!,"AAAAAH///3k=")</f>
        <v>#REF!</v>
      </c>
      <c r="DS7" t="e">
        <f>AND(#REF!,"AAAAAH///3o=")</f>
        <v>#REF!</v>
      </c>
      <c r="DT7" t="e">
        <f>AND(#REF!,"AAAAAH///3s=")</f>
        <v>#REF!</v>
      </c>
      <c r="DU7" t="e">
        <f>AND(#REF!,"AAAAAH///3w=")</f>
        <v>#REF!</v>
      </c>
      <c r="DV7" t="e">
        <f>AND(#REF!,"AAAAAH///30=")</f>
        <v>#REF!</v>
      </c>
      <c r="DW7" t="e">
        <f>AND(#REF!,"AAAAAH///34=")</f>
        <v>#REF!</v>
      </c>
      <c r="DX7" t="e">
        <f>AND(#REF!,"AAAAAH///38=")</f>
        <v>#REF!</v>
      </c>
      <c r="DY7" t="e">
        <f>AND(#REF!,"AAAAAH///4A=")</f>
        <v>#REF!</v>
      </c>
      <c r="DZ7" t="e">
        <f>AND(#REF!,"AAAAAH///4E=")</f>
        <v>#REF!</v>
      </c>
      <c r="EA7" t="e">
        <f>AND(#REF!,"AAAAAH///4I=")</f>
        <v>#REF!</v>
      </c>
      <c r="EB7" t="e">
        <f>AND(#REF!,"AAAAAH///4M=")</f>
        <v>#REF!</v>
      </c>
      <c r="EC7" t="e">
        <f>AND(#REF!,"AAAAAH///4Q=")</f>
        <v>#REF!</v>
      </c>
      <c r="ED7" t="e">
        <f>AND(#REF!,"AAAAAH///4U=")</f>
        <v>#REF!</v>
      </c>
      <c r="EE7" t="e">
        <f>AND(#REF!,"AAAAAH///4Y=")</f>
        <v>#REF!</v>
      </c>
      <c r="EF7" t="e">
        <f>AND(#REF!,"AAAAAH///4c=")</f>
        <v>#REF!</v>
      </c>
      <c r="EG7" t="e">
        <f>AND(#REF!,"AAAAAH///4g=")</f>
        <v>#REF!</v>
      </c>
      <c r="EH7" t="e">
        <f>AND(#REF!,"AAAAAH///4k=")</f>
        <v>#REF!</v>
      </c>
      <c r="EI7" t="e">
        <f>AND(#REF!,"AAAAAH///4o=")</f>
        <v>#REF!</v>
      </c>
      <c r="EJ7" t="e">
        <f>AND(#REF!,"AAAAAH///4s=")</f>
        <v>#REF!</v>
      </c>
      <c r="EK7" t="e">
        <f>AND(#REF!,"AAAAAH///4w=")</f>
        <v>#REF!</v>
      </c>
      <c r="EL7" t="e">
        <f>AND(#REF!,"AAAAAH///40=")</f>
        <v>#REF!</v>
      </c>
      <c r="EM7" t="e">
        <f>AND(#REF!,"AAAAAH///44=")</f>
        <v>#REF!</v>
      </c>
      <c r="EN7" t="e">
        <f>AND(#REF!,"AAAAAH///48=")</f>
        <v>#REF!</v>
      </c>
      <c r="EO7" t="e">
        <f>AND(#REF!,"AAAAAH///5A=")</f>
        <v>#REF!</v>
      </c>
      <c r="EP7" t="e">
        <f>AND(#REF!,"AAAAAH///5E=")</f>
        <v>#REF!</v>
      </c>
      <c r="EQ7" t="e">
        <f>AND(#REF!,"AAAAAH///5I=")</f>
        <v>#REF!</v>
      </c>
      <c r="ER7" t="e">
        <f>IF(#REF!,"AAAAAH///5M=",0)</f>
        <v>#REF!</v>
      </c>
      <c r="ES7" t="e">
        <f>AND(#REF!,"AAAAAH///5Q=")</f>
        <v>#REF!</v>
      </c>
      <c r="ET7" t="e">
        <f>AND(#REF!,"AAAAAH///5U=")</f>
        <v>#REF!</v>
      </c>
      <c r="EU7" t="e">
        <f>AND(#REF!,"AAAAAH///5Y=")</f>
        <v>#REF!</v>
      </c>
      <c r="EV7" t="e">
        <f>AND(#REF!,"AAAAAH///5c=")</f>
        <v>#REF!</v>
      </c>
      <c r="EW7" t="e">
        <f>AND(#REF!,"AAAAAH///5g=")</f>
        <v>#REF!</v>
      </c>
      <c r="EX7" t="e">
        <f>AND(#REF!,"AAAAAH///5k=")</f>
        <v>#REF!</v>
      </c>
      <c r="EY7" t="e">
        <f>AND(#REF!,"AAAAAH///5o=")</f>
        <v>#REF!</v>
      </c>
      <c r="EZ7" t="e">
        <f>AND(#REF!,"AAAAAH///5s=")</f>
        <v>#REF!</v>
      </c>
      <c r="FA7" t="e">
        <f>AND(#REF!,"AAAAAH///5w=")</f>
        <v>#REF!</v>
      </c>
      <c r="FB7" t="e">
        <f>AND(#REF!,"AAAAAH///50=")</f>
        <v>#REF!</v>
      </c>
      <c r="FC7" t="e">
        <f>AND(#REF!,"AAAAAH///54=")</f>
        <v>#REF!</v>
      </c>
      <c r="FD7" t="e">
        <f>AND(#REF!,"AAAAAH///58=")</f>
        <v>#REF!</v>
      </c>
      <c r="FE7" t="e">
        <f>AND(#REF!,"AAAAAH///6A=")</f>
        <v>#REF!</v>
      </c>
      <c r="FF7" t="e">
        <f>AND(#REF!,"AAAAAH///6E=")</f>
        <v>#REF!</v>
      </c>
      <c r="FG7" t="e">
        <f>AND(#REF!,"AAAAAH///6I=")</f>
        <v>#REF!</v>
      </c>
      <c r="FH7" t="e">
        <f>AND(#REF!,"AAAAAH///6M=")</f>
        <v>#REF!</v>
      </c>
      <c r="FI7" t="e">
        <f>AND(#REF!,"AAAAAH///6Q=")</f>
        <v>#REF!</v>
      </c>
      <c r="FJ7" t="e">
        <f>AND(#REF!,"AAAAAH///6U=")</f>
        <v>#REF!</v>
      </c>
      <c r="FK7" t="e">
        <f>AND(#REF!,"AAAAAH///6Y=")</f>
        <v>#REF!</v>
      </c>
      <c r="FL7" t="e">
        <f>AND(#REF!,"AAAAAH///6c=")</f>
        <v>#REF!</v>
      </c>
      <c r="FM7" t="e">
        <f>AND(#REF!,"AAAAAH///6g=")</f>
        <v>#REF!</v>
      </c>
      <c r="FN7" t="e">
        <f>AND(#REF!,"AAAAAH///6k=")</f>
        <v>#REF!</v>
      </c>
      <c r="FO7" t="e">
        <f>AND(#REF!,"AAAAAH///6o=")</f>
        <v>#REF!</v>
      </c>
      <c r="FP7" t="e">
        <f>AND(#REF!,"AAAAAH///6s=")</f>
        <v>#REF!</v>
      </c>
      <c r="FQ7" t="e">
        <f>AND(#REF!,"AAAAAH///6w=")</f>
        <v>#REF!</v>
      </c>
      <c r="FR7" t="e">
        <f>AND(#REF!,"AAAAAH///60=")</f>
        <v>#REF!</v>
      </c>
      <c r="FS7" t="e">
        <f>AND(#REF!,"AAAAAH///64=")</f>
        <v>#REF!</v>
      </c>
      <c r="FT7" t="e">
        <f>AND(#REF!,"AAAAAH///68=")</f>
        <v>#REF!</v>
      </c>
      <c r="FU7" t="e">
        <f>AND(#REF!,"AAAAAH///7A=")</f>
        <v>#REF!</v>
      </c>
      <c r="FV7" t="e">
        <f>AND(#REF!,"AAAAAH///7E=")</f>
        <v>#REF!</v>
      </c>
      <c r="FW7" t="e">
        <f>AND(#REF!,"AAAAAH///7I=")</f>
        <v>#REF!</v>
      </c>
      <c r="FX7" t="e">
        <f>AND(#REF!,"AAAAAH///7M=")</f>
        <v>#REF!</v>
      </c>
      <c r="FY7" t="e">
        <f>AND(#REF!,"AAAAAH///7Q=")</f>
        <v>#REF!</v>
      </c>
      <c r="FZ7" t="e">
        <f>AND(#REF!,"AAAAAH///7U=")</f>
        <v>#REF!</v>
      </c>
      <c r="GA7" t="e">
        <f>AND(#REF!,"AAAAAH///7Y=")</f>
        <v>#REF!</v>
      </c>
      <c r="GB7" t="e">
        <f>AND(#REF!,"AAAAAH///7c=")</f>
        <v>#REF!</v>
      </c>
      <c r="GC7" t="e">
        <f>AND(#REF!,"AAAAAH///7g=")</f>
        <v>#REF!</v>
      </c>
      <c r="GD7" t="e">
        <f>AND(#REF!,"AAAAAH///7k=")</f>
        <v>#REF!</v>
      </c>
      <c r="GE7" t="e">
        <f>AND(#REF!,"AAAAAH///7o=")</f>
        <v>#REF!</v>
      </c>
      <c r="GF7" t="e">
        <f>AND(#REF!,"AAAAAH///7s=")</f>
        <v>#REF!</v>
      </c>
      <c r="GG7" t="e">
        <f>IF(#REF!,"AAAAAH///7w=",0)</f>
        <v>#REF!</v>
      </c>
      <c r="GH7" t="e">
        <f>AND(#REF!,"AAAAAH///70=")</f>
        <v>#REF!</v>
      </c>
      <c r="GI7" t="e">
        <f>AND(#REF!,"AAAAAH///74=")</f>
        <v>#REF!</v>
      </c>
      <c r="GJ7" t="e">
        <f>AND(#REF!,"AAAAAH///78=")</f>
        <v>#REF!</v>
      </c>
      <c r="GK7" t="e">
        <f>AND(#REF!,"AAAAAH///8A=")</f>
        <v>#REF!</v>
      </c>
      <c r="GL7" t="e">
        <f>AND(#REF!,"AAAAAH///8E=")</f>
        <v>#REF!</v>
      </c>
      <c r="GM7" t="e">
        <f>AND(#REF!,"AAAAAH///8I=")</f>
        <v>#REF!</v>
      </c>
      <c r="GN7" t="e">
        <f>AND(#REF!,"AAAAAH///8M=")</f>
        <v>#REF!</v>
      </c>
      <c r="GO7" t="e">
        <f>AND(#REF!,"AAAAAH///8Q=")</f>
        <v>#REF!</v>
      </c>
      <c r="GP7" t="e">
        <f>AND(#REF!,"AAAAAH///8U=")</f>
        <v>#REF!</v>
      </c>
      <c r="GQ7" t="e">
        <f>AND(#REF!,"AAAAAH///8Y=")</f>
        <v>#REF!</v>
      </c>
      <c r="GR7" t="e">
        <f>AND(#REF!,"AAAAAH///8c=")</f>
        <v>#REF!</v>
      </c>
      <c r="GS7" t="e">
        <f>AND(#REF!,"AAAAAH///8g=")</f>
        <v>#REF!</v>
      </c>
      <c r="GT7" t="e">
        <f>AND(#REF!,"AAAAAH///8k=")</f>
        <v>#REF!</v>
      </c>
      <c r="GU7" t="e">
        <f>AND(#REF!,"AAAAAH///8o=")</f>
        <v>#REF!</v>
      </c>
      <c r="GV7" t="e">
        <f>AND(#REF!,"AAAAAH///8s=")</f>
        <v>#REF!</v>
      </c>
      <c r="GW7" t="e">
        <f>AND(#REF!,"AAAAAH///8w=")</f>
        <v>#REF!</v>
      </c>
      <c r="GX7" t="e">
        <f>AND(#REF!,"AAAAAH///80=")</f>
        <v>#REF!</v>
      </c>
      <c r="GY7" t="e">
        <f>AND(#REF!,"AAAAAH///84=")</f>
        <v>#REF!</v>
      </c>
      <c r="GZ7" t="e">
        <f>AND(#REF!,"AAAAAH///88=")</f>
        <v>#REF!</v>
      </c>
      <c r="HA7" t="e">
        <f>AND(#REF!,"AAAAAH///9A=")</f>
        <v>#REF!</v>
      </c>
      <c r="HB7" t="e">
        <f>AND(#REF!,"AAAAAH///9E=")</f>
        <v>#REF!</v>
      </c>
      <c r="HC7" t="e">
        <f>AND(#REF!,"AAAAAH///9I=")</f>
        <v>#REF!</v>
      </c>
      <c r="HD7" t="e">
        <f>AND(#REF!,"AAAAAH///9M=")</f>
        <v>#REF!</v>
      </c>
      <c r="HE7" t="e">
        <f>AND(#REF!,"AAAAAH///9Q=")</f>
        <v>#REF!</v>
      </c>
      <c r="HF7" t="e">
        <f>AND(#REF!,"AAAAAH///9U=")</f>
        <v>#REF!</v>
      </c>
      <c r="HG7" t="e">
        <f>AND(#REF!,"AAAAAH///9Y=")</f>
        <v>#REF!</v>
      </c>
      <c r="HH7" t="e">
        <f>AND(#REF!,"AAAAAH///9c=")</f>
        <v>#REF!</v>
      </c>
      <c r="HI7" t="e">
        <f>AND(#REF!,"AAAAAH///9g=")</f>
        <v>#REF!</v>
      </c>
      <c r="HJ7" t="e">
        <f>AND(#REF!,"AAAAAH///9k=")</f>
        <v>#REF!</v>
      </c>
      <c r="HK7" t="e">
        <f>AND(#REF!,"AAAAAH///9o=")</f>
        <v>#REF!</v>
      </c>
      <c r="HL7" t="e">
        <f>AND(#REF!,"AAAAAH///9s=")</f>
        <v>#REF!</v>
      </c>
      <c r="HM7" t="e">
        <f>AND(#REF!,"AAAAAH///9w=")</f>
        <v>#REF!</v>
      </c>
      <c r="HN7" t="e">
        <f>AND(#REF!,"AAAAAH///90=")</f>
        <v>#REF!</v>
      </c>
      <c r="HO7" t="e">
        <f>AND(#REF!,"AAAAAH///94=")</f>
        <v>#REF!</v>
      </c>
      <c r="HP7" t="e">
        <f>AND(#REF!,"AAAAAH///98=")</f>
        <v>#REF!</v>
      </c>
      <c r="HQ7" t="e">
        <f>AND(#REF!,"AAAAAH///+A=")</f>
        <v>#REF!</v>
      </c>
      <c r="HR7" t="e">
        <f>AND(#REF!,"AAAAAH///+E=")</f>
        <v>#REF!</v>
      </c>
      <c r="HS7" t="e">
        <f>AND(#REF!,"AAAAAH///+I=")</f>
        <v>#REF!</v>
      </c>
      <c r="HT7" t="e">
        <f>AND(#REF!,"AAAAAH///+M=")</f>
        <v>#REF!</v>
      </c>
      <c r="HU7" t="e">
        <f>AND(#REF!,"AAAAAH///+Q=")</f>
        <v>#REF!</v>
      </c>
      <c r="HV7" t="e">
        <f>IF(#REF!,"AAAAAH///+U=",0)</f>
        <v>#REF!</v>
      </c>
      <c r="HW7" t="e">
        <f>AND(#REF!,"AAAAAH///+Y=")</f>
        <v>#REF!</v>
      </c>
      <c r="HX7" t="e">
        <f>AND(#REF!,"AAAAAH///+c=")</f>
        <v>#REF!</v>
      </c>
      <c r="HY7" t="e">
        <f>AND(#REF!,"AAAAAH///+g=")</f>
        <v>#REF!</v>
      </c>
      <c r="HZ7" t="e">
        <f>AND(#REF!,"AAAAAH///+k=")</f>
        <v>#REF!</v>
      </c>
      <c r="IA7" t="e">
        <f>AND(#REF!,"AAAAAH///+o=")</f>
        <v>#REF!</v>
      </c>
      <c r="IB7" t="e">
        <f>AND(#REF!,"AAAAAH///+s=")</f>
        <v>#REF!</v>
      </c>
      <c r="IC7" t="e">
        <f>AND(#REF!,"AAAAAH///+w=")</f>
        <v>#REF!</v>
      </c>
      <c r="ID7" t="e">
        <f>AND(#REF!,"AAAAAH///+0=")</f>
        <v>#REF!</v>
      </c>
      <c r="IE7" t="e">
        <f>AND(#REF!,"AAAAAH///+4=")</f>
        <v>#REF!</v>
      </c>
      <c r="IF7" t="e">
        <f>AND(#REF!,"AAAAAH///+8=")</f>
        <v>#REF!</v>
      </c>
      <c r="IG7" t="e">
        <f>AND(#REF!,"AAAAAH////A=")</f>
        <v>#REF!</v>
      </c>
      <c r="IH7" t="e">
        <f>AND(#REF!,"AAAAAH////E=")</f>
        <v>#REF!</v>
      </c>
      <c r="II7" t="e">
        <f>AND(#REF!,"AAAAAH////I=")</f>
        <v>#REF!</v>
      </c>
      <c r="IJ7" t="e">
        <f>AND(#REF!,"AAAAAH////M=")</f>
        <v>#REF!</v>
      </c>
      <c r="IK7" t="e">
        <f>AND(#REF!,"AAAAAH////Q=")</f>
        <v>#REF!</v>
      </c>
      <c r="IL7" t="e">
        <f>AND(#REF!,"AAAAAH////U=")</f>
        <v>#REF!</v>
      </c>
      <c r="IM7" t="e">
        <f>AND(#REF!,"AAAAAH////Y=")</f>
        <v>#REF!</v>
      </c>
      <c r="IN7" t="e">
        <f>AND(#REF!,"AAAAAH////c=")</f>
        <v>#REF!</v>
      </c>
      <c r="IO7" t="e">
        <f>AND(#REF!,"AAAAAH////g=")</f>
        <v>#REF!</v>
      </c>
      <c r="IP7" t="e">
        <f>AND(#REF!,"AAAAAH////k=")</f>
        <v>#REF!</v>
      </c>
      <c r="IQ7" t="e">
        <f>AND(#REF!,"AAAAAH////o=")</f>
        <v>#REF!</v>
      </c>
      <c r="IR7" t="e">
        <f>AND(#REF!,"AAAAAH////s=")</f>
        <v>#REF!</v>
      </c>
      <c r="IS7" t="e">
        <f>AND(#REF!,"AAAAAH////w=")</f>
        <v>#REF!</v>
      </c>
      <c r="IT7" t="e">
        <f>AND(#REF!,"AAAAAH////0=")</f>
        <v>#REF!</v>
      </c>
      <c r="IU7" t="e">
        <f>AND(#REF!,"AAAAAH////4=")</f>
        <v>#REF!</v>
      </c>
      <c r="IV7" t="e">
        <f>AND(#REF!,"AAAAAH////8=")</f>
        <v>#REF!</v>
      </c>
    </row>
    <row r="8" spans="1:256" x14ac:dyDescent="0.2">
      <c r="A8" t="e">
        <f>AND(#REF!,"AAAAADf/iwA=")</f>
        <v>#REF!</v>
      </c>
      <c r="B8" t="e">
        <f>AND(#REF!,"AAAAADf/iwE=")</f>
        <v>#REF!</v>
      </c>
      <c r="C8" t="e">
        <f>AND(#REF!,"AAAAADf/iwI=")</f>
        <v>#REF!</v>
      </c>
      <c r="D8" t="e">
        <f>AND(#REF!,"AAAAADf/iwM=")</f>
        <v>#REF!</v>
      </c>
      <c r="E8" t="e">
        <f>AND(#REF!,"AAAAADf/iwQ=")</f>
        <v>#REF!</v>
      </c>
      <c r="F8" t="e">
        <f>AND(#REF!,"AAAAADf/iwU=")</f>
        <v>#REF!</v>
      </c>
      <c r="G8" t="e">
        <f>AND(#REF!,"AAAAADf/iwY=")</f>
        <v>#REF!</v>
      </c>
      <c r="H8" t="e">
        <f>AND(#REF!,"AAAAADf/iwc=")</f>
        <v>#REF!</v>
      </c>
      <c r="I8" t="e">
        <f>AND(#REF!,"AAAAADf/iwg=")</f>
        <v>#REF!</v>
      </c>
      <c r="J8" t="e">
        <f>AND(#REF!,"AAAAADf/iwk=")</f>
        <v>#REF!</v>
      </c>
      <c r="K8" t="e">
        <f>AND(#REF!,"AAAAADf/iwo=")</f>
        <v>#REF!</v>
      </c>
      <c r="L8" t="e">
        <f>AND(#REF!,"AAAAADf/iws=")</f>
        <v>#REF!</v>
      </c>
      <c r="M8" t="e">
        <f>AND(#REF!,"AAAAADf/iww=")</f>
        <v>#REF!</v>
      </c>
      <c r="N8" t="e">
        <f>AND(#REF!,"AAAAADf/iw0=")</f>
        <v>#REF!</v>
      </c>
      <c r="O8" t="e">
        <f>IF(#REF!,"AAAAADf/iw4=",0)</f>
        <v>#REF!</v>
      </c>
      <c r="P8" t="e">
        <f>AND(#REF!,"AAAAADf/iw8=")</f>
        <v>#REF!</v>
      </c>
      <c r="Q8" t="e">
        <f>AND(#REF!,"AAAAADf/ixA=")</f>
        <v>#REF!</v>
      </c>
      <c r="R8" t="e">
        <f>AND(#REF!,"AAAAADf/ixE=")</f>
        <v>#REF!</v>
      </c>
      <c r="S8" t="e">
        <f>AND(#REF!,"AAAAADf/ixI=")</f>
        <v>#REF!</v>
      </c>
      <c r="T8" t="e">
        <f>AND(#REF!,"AAAAADf/ixM=")</f>
        <v>#REF!</v>
      </c>
      <c r="U8" t="e">
        <f>AND(#REF!,"AAAAADf/ixQ=")</f>
        <v>#REF!</v>
      </c>
      <c r="V8" t="e">
        <f>AND(#REF!,"AAAAADf/ixU=")</f>
        <v>#REF!</v>
      </c>
      <c r="W8" t="e">
        <f>AND(#REF!,"AAAAADf/ixY=")</f>
        <v>#REF!</v>
      </c>
      <c r="X8" t="e">
        <f>AND(#REF!,"AAAAADf/ixc=")</f>
        <v>#REF!</v>
      </c>
      <c r="Y8" t="e">
        <f>AND(#REF!,"AAAAADf/ixg=")</f>
        <v>#REF!</v>
      </c>
      <c r="Z8" t="e">
        <f>AND(#REF!,"AAAAADf/ixk=")</f>
        <v>#REF!</v>
      </c>
      <c r="AA8" t="e">
        <f>AND(#REF!,"AAAAADf/ixo=")</f>
        <v>#REF!</v>
      </c>
      <c r="AB8" t="e">
        <f>AND(#REF!,"AAAAADf/ixs=")</f>
        <v>#REF!</v>
      </c>
      <c r="AC8" t="e">
        <f>AND(#REF!,"AAAAADf/ixw=")</f>
        <v>#REF!</v>
      </c>
      <c r="AD8" t="e">
        <f>AND(#REF!,"AAAAADf/ix0=")</f>
        <v>#REF!</v>
      </c>
      <c r="AE8" t="e">
        <f>AND(#REF!,"AAAAADf/ix4=")</f>
        <v>#REF!</v>
      </c>
      <c r="AF8" t="e">
        <f>AND(#REF!,"AAAAADf/ix8=")</f>
        <v>#REF!</v>
      </c>
      <c r="AG8" t="e">
        <f>AND(#REF!,"AAAAADf/iyA=")</f>
        <v>#REF!</v>
      </c>
      <c r="AH8" t="e">
        <f>AND(#REF!,"AAAAADf/iyE=")</f>
        <v>#REF!</v>
      </c>
      <c r="AI8" t="e">
        <f>AND(#REF!,"AAAAADf/iyI=")</f>
        <v>#REF!</v>
      </c>
      <c r="AJ8" t="e">
        <f>AND(#REF!,"AAAAADf/iyM=")</f>
        <v>#REF!</v>
      </c>
      <c r="AK8" t="e">
        <f>AND(#REF!,"AAAAADf/iyQ=")</f>
        <v>#REF!</v>
      </c>
      <c r="AL8" t="e">
        <f>AND(#REF!,"AAAAADf/iyU=")</f>
        <v>#REF!</v>
      </c>
      <c r="AM8" t="e">
        <f>AND(#REF!,"AAAAADf/iyY=")</f>
        <v>#REF!</v>
      </c>
      <c r="AN8" t="e">
        <f>AND(#REF!,"AAAAADf/iyc=")</f>
        <v>#REF!</v>
      </c>
      <c r="AO8" t="e">
        <f>AND(#REF!,"AAAAADf/iyg=")</f>
        <v>#REF!</v>
      </c>
      <c r="AP8" t="e">
        <f>AND(#REF!,"AAAAADf/iyk=")</f>
        <v>#REF!</v>
      </c>
      <c r="AQ8" t="e">
        <f>AND(#REF!,"AAAAADf/iyo=")</f>
        <v>#REF!</v>
      </c>
      <c r="AR8" t="e">
        <f>AND(#REF!,"AAAAADf/iys=")</f>
        <v>#REF!</v>
      </c>
      <c r="AS8" t="e">
        <f>AND(#REF!,"AAAAADf/iyw=")</f>
        <v>#REF!</v>
      </c>
      <c r="AT8" t="e">
        <f>AND(#REF!,"AAAAADf/iy0=")</f>
        <v>#REF!</v>
      </c>
      <c r="AU8" t="e">
        <f>AND(#REF!,"AAAAADf/iy4=")</f>
        <v>#REF!</v>
      </c>
      <c r="AV8" t="e">
        <f>AND(#REF!,"AAAAADf/iy8=")</f>
        <v>#REF!</v>
      </c>
      <c r="AW8" t="e">
        <f>AND(#REF!,"AAAAADf/izA=")</f>
        <v>#REF!</v>
      </c>
      <c r="AX8" t="e">
        <f>AND(#REF!,"AAAAADf/izE=")</f>
        <v>#REF!</v>
      </c>
      <c r="AY8" t="e">
        <f>AND(#REF!,"AAAAADf/izI=")</f>
        <v>#REF!</v>
      </c>
      <c r="AZ8" t="e">
        <f>AND(#REF!,"AAAAADf/izM=")</f>
        <v>#REF!</v>
      </c>
      <c r="BA8" t="e">
        <f>AND(#REF!,"AAAAADf/izQ=")</f>
        <v>#REF!</v>
      </c>
      <c r="BB8" t="e">
        <f>AND(#REF!,"AAAAADf/izU=")</f>
        <v>#REF!</v>
      </c>
      <c r="BC8" t="e">
        <f>AND(#REF!,"AAAAADf/izY=")</f>
        <v>#REF!</v>
      </c>
      <c r="BD8" t="e">
        <f>IF(#REF!,"AAAAADf/izc=",0)</f>
        <v>#REF!</v>
      </c>
      <c r="BE8" t="e">
        <f>AND(#REF!,"AAAAADf/izg=")</f>
        <v>#REF!</v>
      </c>
      <c r="BF8" t="e">
        <f>AND(#REF!,"AAAAADf/izk=")</f>
        <v>#REF!</v>
      </c>
      <c r="BG8" t="e">
        <f>AND(#REF!,"AAAAADf/izo=")</f>
        <v>#REF!</v>
      </c>
      <c r="BH8" t="e">
        <f>AND(#REF!,"AAAAADf/izs=")</f>
        <v>#REF!</v>
      </c>
      <c r="BI8" t="e">
        <f>AND(#REF!,"AAAAADf/izw=")</f>
        <v>#REF!</v>
      </c>
      <c r="BJ8" t="e">
        <f>AND(#REF!,"AAAAADf/iz0=")</f>
        <v>#REF!</v>
      </c>
      <c r="BK8" t="e">
        <f>AND(#REF!,"AAAAADf/iz4=")</f>
        <v>#REF!</v>
      </c>
      <c r="BL8" t="e">
        <f>AND(#REF!,"AAAAADf/iz8=")</f>
        <v>#REF!</v>
      </c>
      <c r="BM8" t="e">
        <f>AND(#REF!,"AAAAADf/i0A=")</f>
        <v>#REF!</v>
      </c>
      <c r="BN8" t="e">
        <f>AND(#REF!,"AAAAADf/i0E=")</f>
        <v>#REF!</v>
      </c>
      <c r="BO8" t="e">
        <f>AND(#REF!,"AAAAADf/i0I=")</f>
        <v>#REF!</v>
      </c>
      <c r="BP8" t="e">
        <f>AND(#REF!,"AAAAADf/i0M=")</f>
        <v>#REF!</v>
      </c>
      <c r="BQ8" t="e">
        <f>AND(#REF!,"AAAAADf/i0Q=")</f>
        <v>#REF!</v>
      </c>
      <c r="BR8" t="e">
        <f>AND(#REF!,"AAAAADf/i0U=")</f>
        <v>#REF!</v>
      </c>
      <c r="BS8" t="e">
        <f>AND(#REF!,"AAAAADf/i0Y=")</f>
        <v>#REF!</v>
      </c>
      <c r="BT8" t="e">
        <f>AND(#REF!,"AAAAADf/i0c=")</f>
        <v>#REF!</v>
      </c>
      <c r="BU8" t="e">
        <f>AND(#REF!,"AAAAADf/i0g=")</f>
        <v>#REF!</v>
      </c>
      <c r="BV8" t="e">
        <f>AND(#REF!,"AAAAADf/i0k=")</f>
        <v>#REF!</v>
      </c>
      <c r="BW8" t="e">
        <f>AND(#REF!,"AAAAADf/i0o=")</f>
        <v>#REF!</v>
      </c>
      <c r="BX8" t="e">
        <f>AND(#REF!,"AAAAADf/i0s=")</f>
        <v>#REF!</v>
      </c>
      <c r="BY8" t="e">
        <f>AND(#REF!,"AAAAADf/i0w=")</f>
        <v>#REF!</v>
      </c>
      <c r="BZ8" t="e">
        <f>AND(#REF!,"AAAAADf/i00=")</f>
        <v>#REF!</v>
      </c>
      <c r="CA8" t="e">
        <f>AND(#REF!,"AAAAADf/i04=")</f>
        <v>#REF!</v>
      </c>
      <c r="CB8" t="e">
        <f>AND(#REF!,"AAAAADf/i08=")</f>
        <v>#REF!</v>
      </c>
      <c r="CC8" t="e">
        <f>AND(#REF!,"AAAAADf/i1A=")</f>
        <v>#REF!</v>
      </c>
      <c r="CD8" t="e">
        <f>AND(#REF!,"AAAAADf/i1E=")</f>
        <v>#REF!</v>
      </c>
      <c r="CE8" t="e">
        <f>AND(#REF!,"AAAAADf/i1I=")</f>
        <v>#REF!</v>
      </c>
      <c r="CF8" t="e">
        <f>AND(#REF!,"AAAAADf/i1M=")</f>
        <v>#REF!</v>
      </c>
      <c r="CG8" t="e">
        <f>AND(#REF!,"AAAAADf/i1Q=")</f>
        <v>#REF!</v>
      </c>
      <c r="CH8" t="e">
        <f>AND(#REF!,"AAAAADf/i1U=")</f>
        <v>#REF!</v>
      </c>
      <c r="CI8" t="e">
        <f>AND(#REF!,"AAAAADf/i1Y=")</f>
        <v>#REF!</v>
      </c>
      <c r="CJ8" t="e">
        <f>AND(#REF!,"AAAAADf/i1c=")</f>
        <v>#REF!</v>
      </c>
      <c r="CK8" t="e">
        <f>AND(#REF!,"AAAAADf/i1g=")</f>
        <v>#REF!</v>
      </c>
      <c r="CL8" t="e">
        <f>AND(#REF!,"AAAAADf/i1k=")</f>
        <v>#REF!</v>
      </c>
      <c r="CM8" t="e">
        <f>AND(#REF!,"AAAAADf/i1o=")</f>
        <v>#REF!</v>
      </c>
      <c r="CN8" t="e">
        <f>AND(#REF!,"AAAAADf/i1s=")</f>
        <v>#REF!</v>
      </c>
      <c r="CO8" t="e">
        <f>AND(#REF!,"AAAAADf/i1w=")</f>
        <v>#REF!</v>
      </c>
      <c r="CP8" t="e">
        <f>AND(#REF!,"AAAAADf/i10=")</f>
        <v>#REF!</v>
      </c>
      <c r="CQ8" t="e">
        <f>AND(#REF!,"AAAAADf/i14=")</f>
        <v>#REF!</v>
      </c>
      <c r="CR8" t="e">
        <f>AND(#REF!,"AAAAADf/i18=")</f>
        <v>#REF!</v>
      </c>
      <c r="CS8" t="e">
        <f>IF(#REF!,"AAAAADf/i2A=",0)</f>
        <v>#REF!</v>
      </c>
      <c r="CT8" t="e">
        <f>AND(#REF!,"AAAAADf/i2E=")</f>
        <v>#REF!</v>
      </c>
      <c r="CU8" t="e">
        <f>AND(#REF!,"AAAAADf/i2I=")</f>
        <v>#REF!</v>
      </c>
      <c r="CV8" t="e">
        <f>AND(#REF!,"AAAAADf/i2M=")</f>
        <v>#REF!</v>
      </c>
      <c r="CW8" t="e">
        <f>AND(#REF!,"AAAAADf/i2Q=")</f>
        <v>#REF!</v>
      </c>
      <c r="CX8" t="e">
        <f>AND(#REF!,"AAAAADf/i2U=")</f>
        <v>#REF!</v>
      </c>
      <c r="CY8" t="e">
        <f>AND(#REF!,"AAAAADf/i2Y=")</f>
        <v>#REF!</v>
      </c>
      <c r="CZ8" t="e">
        <f>AND(#REF!,"AAAAADf/i2c=")</f>
        <v>#REF!</v>
      </c>
      <c r="DA8" t="e">
        <f>AND(#REF!,"AAAAADf/i2g=")</f>
        <v>#REF!</v>
      </c>
      <c r="DB8" t="e">
        <f>AND(#REF!,"AAAAADf/i2k=")</f>
        <v>#REF!</v>
      </c>
      <c r="DC8" t="e">
        <f>AND(#REF!,"AAAAADf/i2o=")</f>
        <v>#REF!</v>
      </c>
      <c r="DD8" t="e">
        <f>AND(#REF!,"AAAAADf/i2s=")</f>
        <v>#REF!</v>
      </c>
      <c r="DE8" t="e">
        <f>AND(#REF!,"AAAAADf/i2w=")</f>
        <v>#REF!</v>
      </c>
      <c r="DF8" t="e">
        <f>AND(#REF!,"AAAAADf/i20=")</f>
        <v>#REF!</v>
      </c>
      <c r="DG8" t="e">
        <f>AND(#REF!,"AAAAADf/i24=")</f>
        <v>#REF!</v>
      </c>
      <c r="DH8" t="e">
        <f>AND(#REF!,"AAAAADf/i28=")</f>
        <v>#REF!</v>
      </c>
      <c r="DI8" t="e">
        <f>AND(#REF!,"AAAAADf/i3A=")</f>
        <v>#REF!</v>
      </c>
      <c r="DJ8" t="e">
        <f>AND(#REF!,"AAAAADf/i3E=")</f>
        <v>#REF!</v>
      </c>
      <c r="DK8" t="e">
        <f>AND(#REF!,"AAAAADf/i3I=")</f>
        <v>#REF!</v>
      </c>
      <c r="DL8" t="e">
        <f>AND(#REF!,"AAAAADf/i3M=")</f>
        <v>#REF!</v>
      </c>
      <c r="DM8" t="e">
        <f>AND(#REF!,"AAAAADf/i3Q=")</f>
        <v>#REF!</v>
      </c>
      <c r="DN8" t="e">
        <f>AND(#REF!,"AAAAADf/i3U=")</f>
        <v>#REF!</v>
      </c>
      <c r="DO8" t="e">
        <f>AND(#REF!,"AAAAADf/i3Y=")</f>
        <v>#REF!</v>
      </c>
      <c r="DP8" t="e">
        <f>AND(#REF!,"AAAAADf/i3c=")</f>
        <v>#REF!</v>
      </c>
      <c r="DQ8" t="e">
        <f>AND(#REF!,"AAAAADf/i3g=")</f>
        <v>#REF!</v>
      </c>
      <c r="DR8" t="e">
        <f>AND(#REF!,"AAAAADf/i3k=")</f>
        <v>#REF!</v>
      </c>
      <c r="DS8" t="e">
        <f>AND(#REF!,"AAAAADf/i3o=")</f>
        <v>#REF!</v>
      </c>
      <c r="DT8" t="e">
        <f>AND(#REF!,"AAAAADf/i3s=")</f>
        <v>#REF!</v>
      </c>
      <c r="DU8" t="e">
        <f>AND(#REF!,"AAAAADf/i3w=")</f>
        <v>#REF!</v>
      </c>
      <c r="DV8" t="e">
        <f>AND(#REF!,"AAAAADf/i30=")</f>
        <v>#REF!</v>
      </c>
      <c r="DW8" t="e">
        <f>AND(#REF!,"AAAAADf/i34=")</f>
        <v>#REF!</v>
      </c>
      <c r="DX8" t="e">
        <f>AND(#REF!,"AAAAADf/i38=")</f>
        <v>#REF!</v>
      </c>
      <c r="DY8" t="e">
        <f>AND(#REF!,"AAAAADf/i4A=")</f>
        <v>#REF!</v>
      </c>
      <c r="DZ8" t="e">
        <f>AND(#REF!,"AAAAADf/i4E=")</f>
        <v>#REF!</v>
      </c>
      <c r="EA8" t="e">
        <f>AND(#REF!,"AAAAADf/i4I=")</f>
        <v>#REF!</v>
      </c>
      <c r="EB8" t="e">
        <f>AND(#REF!,"AAAAADf/i4M=")</f>
        <v>#REF!</v>
      </c>
      <c r="EC8" t="e">
        <f>AND(#REF!,"AAAAADf/i4Q=")</f>
        <v>#REF!</v>
      </c>
      <c r="ED8" t="e">
        <f>AND(#REF!,"AAAAADf/i4U=")</f>
        <v>#REF!</v>
      </c>
      <c r="EE8" t="e">
        <f>AND(#REF!,"AAAAADf/i4Y=")</f>
        <v>#REF!</v>
      </c>
      <c r="EF8" t="e">
        <f>AND(#REF!,"AAAAADf/i4c=")</f>
        <v>#REF!</v>
      </c>
      <c r="EG8" t="e">
        <f>AND(#REF!,"AAAAADf/i4g=")</f>
        <v>#REF!</v>
      </c>
      <c r="EH8" t="e">
        <f>IF(#REF!,"AAAAADf/i4k=",0)</f>
        <v>#REF!</v>
      </c>
      <c r="EI8" t="e">
        <f>AND(#REF!,"AAAAADf/i4o=")</f>
        <v>#REF!</v>
      </c>
      <c r="EJ8" t="e">
        <f>AND(#REF!,"AAAAADf/i4s=")</f>
        <v>#REF!</v>
      </c>
      <c r="EK8" t="e">
        <f>AND(#REF!,"AAAAADf/i4w=")</f>
        <v>#REF!</v>
      </c>
      <c r="EL8" t="e">
        <f>AND(#REF!,"AAAAADf/i40=")</f>
        <v>#REF!</v>
      </c>
      <c r="EM8" t="e">
        <f>AND(#REF!,"AAAAADf/i44=")</f>
        <v>#REF!</v>
      </c>
      <c r="EN8" t="e">
        <f>AND(#REF!,"AAAAADf/i48=")</f>
        <v>#REF!</v>
      </c>
      <c r="EO8" t="e">
        <f>AND(#REF!,"AAAAADf/i5A=")</f>
        <v>#REF!</v>
      </c>
      <c r="EP8" t="e">
        <f>AND(#REF!,"AAAAADf/i5E=")</f>
        <v>#REF!</v>
      </c>
      <c r="EQ8" t="e">
        <f>AND(#REF!,"AAAAADf/i5I=")</f>
        <v>#REF!</v>
      </c>
      <c r="ER8" t="e">
        <f>AND(#REF!,"AAAAADf/i5M=")</f>
        <v>#REF!</v>
      </c>
      <c r="ES8" t="e">
        <f>AND(#REF!,"AAAAADf/i5Q=")</f>
        <v>#REF!</v>
      </c>
      <c r="ET8" t="e">
        <f>AND(#REF!,"AAAAADf/i5U=")</f>
        <v>#REF!</v>
      </c>
      <c r="EU8" t="e">
        <f>AND(#REF!,"AAAAADf/i5Y=")</f>
        <v>#REF!</v>
      </c>
      <c r="EV8" t="e">
        <f>AND(#REF!,"AAAAADf/i5c=")</f>
        <v>#REF!</v>
      </c>
      <c r="EW8" t="e">
        <f>AND(#REF!,"AAAAADf/i5g=")</f>
        <v>#REF!</v>
      </c>
      <c r="EX8" t="e">
        <f>AND(#REF!,"AAAAADf/i5k=")</f>
        <v>#REF!</v>
      </c>
      <c r="EY8" t="e">
        <f>AND(#REF!,"AAAAADf/i5o=")</f>
        <v>#REF!</v>
      </c>
      <c r="EZ8" t="e">
        <f>AND(#REF!,"AAAAADf/i5s=")</f>
        <v>#REF!</v>
      </c>
      <c r="FA8" t="e">
        <f>AND(#REF!,"AAAAADf/i5w=")</f>
        <v>#REF!</v>
      </c>
      <c r="FB8" t="e">
        <f>AND(#REF!,"AAAAADf/i50=")</f>
        <v>#REF!</v>
      </c>
      <c r="FC8" t="e">
        <f>AND(#REF!,"AAAAADf/i54=")</f>
        <v>#REF!</v>
      </c>
      <c r="FD8" t="e">
        <f>AND(#REF!,"AAAAADf/i58=")</f>
        <v>#REF!</v>
      </c>
      <c r="FE8" t="e">
        <f>AND(#REF!,"AAAAADf/i6A=")</f>
        <v>#REF!</v>
      </c>
      <c r="FF8" t="e">
        <f>AND(#REF!,"AAAAADf/i6E=")</f>
        <v>#REF!</v>
      </c>
      <c r="FG8" t="e">
        <f>AND(#REF!,"AAAAADf/i6I=")</f>
        <v>#REF!</v>
      </c>
      <c r="FH8" t="e">
        <f>AND(#REF!,"AAAAADf/i6M=")</f>
        <v>#REF!</v>
      </c>
      <c r="FI8" t="e">
        <f>AND(#REF!,"AAAAADf/i6Q=")</f>
        <v>#REF!</v>
      </c>
      <c r="FJ8" t="e">
        <f>AND(#REF!,"AAAAADf/i6U=")</f>
        <v>#REF!</v>
      </c>
      <c r="FK8" t="e">
        <f>AND(#REF!,"AAAAADf/i6Y=")</f>
        <v>#REF!</v>
      </c>
      <c r="FL8" t="e">
        <f>AND(#REF!,"AAAAADf/i6c=")</f>
        <v>#REF!</v>
      </c>
      <c r="FM8" t="e">
        <f>AND(#REF!,"AAAAADf/i6g=")</f>
        <v>#REF!</v>
      </c>
      <c r="FN8" t="e">
        <f>AND(#REF!,"AAAAADf/i6k=")</f>
        <v>#REF!</v>
      </c>
      <c r="FO8" t="e">
        <f>AND(#REF!,"AAAAADf/i6o=")</f>
        <v>#REF!</v>
      </c>
      <c r="FP8" t="e">
        <f>AND(#REF!,"AAAAADf/i6s=")</f>
        <v>#REF!</v>
      </c>
      <c r="FQ8" t="e">
        <f>AND(#REF!,"AAAAADf/i6w=")</f>
        <v>#REF!</v>
      </c>
      <c r="FR8" t="e">
        <f>AND(#REF!,"AAAAADf/i60=")</f>
        <v>#REF!</v>
      </c>
      <c r="FS8" t="e">
        <f>AND(#REF!,"AAAAADf/i64=")</f>
        <v>#REF!</v>
      </c>
      <c r="FT8" t="e">
        <f>AND(#REF!,"AAAAADf/i68=")</f>
        <v>#REF!</v>
      </c>
      <c r="FU8" t="e">
        <f>AND(#REF!,"AAAAADf/i7A=")</f>
        <v>#REF!</v>
      </c>
      <c r="FV8" t="e">
        <f>AND(#REF!,"AAAAADf/i7E=")</f>
        <v>#REF!</v>
      </c>
      <c r="FW8" t="e">
        <f>IF(#REF!,"AAAAADf/i7I=",0)</f>
        <v>#REF!</v>
      </c>
      <c r="FX8" t="e">
        <f>AND(#REF!,"AAAAADf/i7M=")</f>
        <v>#REF!</v>
      </c>
      <c r="FY8" t="e">
        <f>AND(#REF!,"AAAAADf/i7Q=")</f>
        <v>#REF!</v>
      </c>
      <c r="FZ8" t="e">
        <f>AND(#REF!,"AAAAADf/i7U=")</f>
        <v>#REF!</v>
      </c>
      <c r="GA8" t="e">
        <f>AND(#REF!,"AAAAADf/i7Y=")</f>
        <v>#REF!</v>
      </c>
      <c r="GB8" t="e">
        <f>AND(#REF!,"AAAAADf/i7c=")</f>
        <v>#REF!</v>
      </c>
      <c r="GC8" t="e">
        <f>AND(#REF!,"AAAAADf/i7g=")</f>
        <v>#REF!</v>
      </c>
      <c r="GD8" t="e">
        <f>AND(#REF!,"AAAAADf/i7k=")</f>
        <v>#REF!</v>
      </c>
      <c r="GE8" t="e">
        <f>AND(#REF!,"AAAAADf/i7o=")</f>
        <v>#REF!</v>
      </c>
      <c r="GF8" t="e">
        <f>AND(#REF!,"AAAAADf/i7s=")</f>
        <v>#REF!</v>
      </c>
      <c r="GG8" t="e">
        <f>AND(#REF!,"AAAAADf/i7w=")</f>
        <v>#REF!</v>
      </c>
      <c r="GH8" t="e">
        <f>AND(#REF!,"AAAAADf/i70=")</f>
        <v>#REF!</v>
      </c>
      <c r="GI8" t="e">
        <f>AND(#REF!,"AAAAADf/i74=")</f>
        <v>#REF!</v>
      </c>
      <c r="GJ8" t="e">
        <f>AND(#REF!,"AAAAADf/i78=")</f>
        <v>#REF!</v>
      </c>
      <c r="GK8" t="e">
        <f>AND(#REF!,"AAAAADf/i8A=")</f>
        <v>#REF!</v>
      </c>
      <c r="GL8" t="e">
        <f>AND(#REF!,"AAAAADf/i8E=")</f>
        <v>#REF!</v>
      </c>
      <c r="GM8" t="e">
        <f>AND(#REF!,"AAAAADf/i8I=")</f>
        <v>#REF!</v>
      </c>
      <c r="GN8" t="e">
        <f>AND(#REF!,"AAAAADf/i8M=")</f>
        <v>#REF!</v>
      </c>
      <c r="GO8" t="e">
        <f>AND(#REF!,"AAAAADf/i8Q=")</f>
        <v>#REF!</v>
      </c>
      <c r="GP8" t="e">
        <f>AND(#REF!,"AAAAADf/i8U=")</f>
        <v>#REF!</v>
      </c>
      <c r="GQ8" t="e">
        <f>AND(#REF!,"AAAAADf/i8Y=")</f>
        <v>#REF!</v>
      </c>
      <c r="GR8" t="e">
        <f>AND(#REF!,"AAAAADf/i8c=")</f>
        <v>#REF!</v>
      </c>
      <c r="GS8" t="e">
        <f>AND(#REF!,"AAAAADf/i8g=")</f>
        <v>#REF!</v>
      </c>
      <c r="GT8" t="e">
        <f>AND(#REF!,"AAAAADf/i8k=")</f>
        <v>#REF!</v>
      </c>
      <c r="GU8" t="e">
        <f>AND(#REF!,"AAAAADf/i8o=")</f>
        <v>#REF!</v>
      </c>
      <c r="GV8" t="e">
        <f>AND(#REF!,"AAAAADf/i8s=")</f>
        <v>#REF!</v>
      </c>
      <c r="GW8" t="e">
        <f>AND(#REF!,"AAAAADf/i8w=")</f>
        <v>#REF!</v>
      </c>
      <c r="GX8" t="e">
        <f>AND(#REF!,"AAAAADf/i80=")</f>
        <v>#REF!</v>
      </c>
      <c r="GY8" t="e">
        <f>AND(#REF!,"AAAAADf/i84=")</f>
        <v>#REF!</v>
      </c>
      <c r="GZ8" t="e">
        <f>AND(#REF!,"AAAAADf/i88=")</f>
        <v>#REF!</v>
      </c>
      <c r="HA8" t="e">
        <f>AND(#REF!,"AAAAADf/i9A=")</f>
        <v>#REF!</v>
      </c>
      <c r="HB8" t="e">
        <f>AND(#REF!,"AAAAADf/i9E=")</f>
        <v>#REF!</v>
      </c>
      <c r="HC8" t="e">
        <f>AND(#REF!,"AAAAADf/i9I=")</f>
        <v>#REF!</v>
      </c>
      <c r="HD8" t="e">
        <f>AND(#REF!,"AAAAADf/i9M=")</f>
        <v>#REF!</v>
      </c>
      <c r="HE8" t="e">
        <f>AND(#REF!,"AAAAADf/i9Q=")</f>
        <v>#REF!</v>
      </c>
      <c r="HF8" t="e">
        <f>AND(#REF!,"AAAAADf/i9U=")</f>
        <v>#REF!</v>
      </c>
      <c r="HG8" t="e">
        <f>AND(#REF!,"AAAAADf/i9Y=")</f>
        <v>#REF!</v>
      </c>
      <c r="HH8" t="e">
        <f>AND(#REF!,"AAAAADf/i9c=")</f>
        <v>#REF!</v>
      </c>
      <c r="HI8" t="e">
        <f>AND(#REF!,"AAAAADf/i9g=")</f>
        <v>#REF!</v>
      </c>
      <c r="HJ8" t="e">
        <f>AND(#REF!,"AAAAADf/i9k=")</f>
        <v>#REF!</v>
      </c>
      <c r="HK8" t="e">
        <f>AND(#REF!,"AAAAADf/i9o=")</f>
        <v>#REF!</v>
      </c>
      <c r="HL8" t="e">
        <f>IF(#REF!,"AAAAADf/i9s=",0)</f>
        <v>#REF!</v>
      </c>
      <c r="HM8" t="e">
        <f>AND(#REF!,"AAAAADf/i9w=")</f>
        <v>#REF!</v>
      </c>
      <c r="HN8" t="e">
        <f>AND(#REF!,"AAAAADf/i90=")</f>
        <v>#REF!</v>
      </c>
      <c r="HO8" t="e">
        <f>AND(#REF!,"AAAAADf/i94=")</f>
        <v>#REF!</v>
      </c>
      <c r="HP8" t="e">
        <f>AND(#REF!,"AAAAADf/i98=")</f>
        <v>#REF!</v>
      </c>
      <c r="HQ8" t="e">
        <f>AND(#REF!,"AAAAADf/i+A=")</f>
        <v>#REF!</v>
      </c>
      <c r="HR8" t="e">
        <f>AND(#REF!,"AAAAADf/i+E=")</f>
        <v>#REF!</v>
      </c>
      <c r="HS8" t="e">
        <f>AND(#REF!,"AAAAADf/i+I=")</f>
        <v>#REF!</v>
      </c>
      <c r="HT8" t="e">
        <f>AND(#REF!,"AAAAADf/i+M=")</f>
        <v>#REF!</v>
      </c>
      <c r="HU8" t="e">
        <f>AND(#REF!,"AAAAADf/i+Q=")</f>
        <v>#REF!</v>
      </c>
      <c r="HV8" t="e">
        <f>AND(#REF!,"AAAAADf/i+U=")</f>
        <v>#REF!</v>
      </c>
      <c r="HW8" t="e">
        <f>AND(#REF!,"AAAAADf/i+Y=")</f>
        <v>#REF!</v>
      </c>
      <c r="HX8" t="e">
        <f>AND(#REF!,"AAAAADf/i+c=")</f>
        <v>#REF!</v>
      </c>
      <c r="HY8" t="e">
        <f>AND(#REF!,"AAAAADf/i+g=")</f>
        <v>#REF!</v>
      </c>
      <c r="HZ8" t="e">
        <f>AND(#REF!,"AAAAADf/i+k=")</f>
        <v>#REF!</v>
      </c>
      <c r="IA8" t="e">
        <f>AND(#REF!,"AAAAADf/i+o=")</f>
        <v>#REF!</v>
      </c>
      <c r="IB8" t="e">
        <f>AND(#REF!,"AAAAADf/i+s=")</f>
        <v>#REF!</v>
      </c>
      <c r="IC8" t="e">
        <f>AND(#REF!,"AAAAADf/i+w=")</f>
        <v>#REF!</v>
      </c>
      <c r="ID8" t="e">
        <f>AND(#REF!,"AAAAADf/i+0=")</f>
        <v>#REF!</v>
      </c>
      <c r="IE8" t="e">
        <f>AND(#REF!,"AAAAADf/i+4=")</f>
        <v>#REF!</v>
      </c>
      <c r="IF8" t="e">
        <f>AND(#REF!,"AAAAADf/i+8=")</f>
        <v>#REF!</v>
      </c>
      <c r="IG8" t="e">
        <f>AND(#REF!,"AAAAADf/i/A=")</f>
        <v>#REF!</v>
      </c>
      <c r="IH8" t="e">
        <f>AND(#REF!,"AAAAADf/i/E=")</f>
        <v>#REF!</v>
      </c>
      <c r="II8" t="e">
        <f>AND(#REF!,"AAAAADf/i/I=")</f>
        <v>#REF!</v>
      </c>
      <c r="IJ8" t="e">
        <f>AND(#REF!,"AAAAADf/i/M=")</f>
        <v>#REF!</v>
      </c>
      <c r="IK8" t="e">
        <f>AND(#REF!,"AAAAADf/i/Q=")</f>
        <v>#REF!</v>
      </c>
      <c r="IL8" t="e">
        <f>AND(#REF!,"AAAAADf/i/U=")</f>
        <v>#REF!</v>
      </c>
      <c r="IM8" t="e">
        <f>AND(#REF!,"AAAAADf/i/Y=")</f>
        <v>#REF!</v>
      </c>
      <c r="IN8" t="e">
        <f>AND(#REF!,"AAAAADf/i/c=")</f>
        <v>#REF!</v>
      </c>
      <c r="IO8" t="e">
        <f>AND(#REF!,"AAAAADf/i/g=")</f>
        <v>#REF!</v>
      </c>
      <c r="IP8" t="e">
        <f>AND(#REF!,"AAAAADf/i/k=")</f>
        <v>#REF!</v>
      </c>
      <c r="IQ8" t="e">
        <f>AND(#REF!,"AAAAADf/i/o=")</f>
        <v>#REF!</v>
      </c>
      <c r="IR8" t="e">
        <f>AND(#REF!,"AAAAADf/i/s=")</f>
        <v>#REF!</v>
      </c>
      <c r="IS8" t="e">
        <f>AND(#REF!,"AAAAADf/i/w=")</f>
        <v>#REF!</v>
      </c>
      <c r="IT8" t="e">
        <f>AND(#REF!,"AAAAADf/i/0=")</f>
        <v>#REF!</v>
      </c>
      <c r="IU8" t="e">
        <f>AND(#REF!,"AAAAADf/i/4=")</f>
        <v>#REF!</v>
      </c>
      <c r="IV8" t="e">
        <f>AND(#REF!,"AAAAADf/i/8=")</f>
        <v>#REF!</v>
      </c>
    </row>
    <row r="9" spans="1:256" x14ac:dyDescent="0.2">
      <c r="A9" t="e">
        <f>AND(#REF!,"AAAAAD/TuwA=")</f>
        <v>#REF!</v>
      </c>
      <c r="B9" t="e">
        <f>AND(#REF!,"AAAAAD/TuwE=")</f>
        <v>#REF!</v>
      </c>
      <c r="C9" t="e">
        <f>AND(#REF!,"AAAAAD/TuwI=")</f>
        <v>#REF!</v>
      </c>
      <c r="D9" t="e">
        <f>AND(#REF!,"AAAAAD/TuwM=")</f>
        <v>#REF!</v>
      </c>
      <c r="E9" t="e">
        <f>IF(#REF!,"AAAAAD/TuwQ=",0)</f>
        <v>#REF!</v>
      </c>
      <c r="F9" t="e">
        <f>AND(#REF!,"AAAAAD/TuwU=")</f>
        <v>#REF!</v>
      </c>
      <c r="G9" t="e">
        <f>AND(#REF!,"AAAAAD/TuwY=")</f>
        <v>#REF!</v>
      </c>
      <c r="H9" t="e">
        <f>AND(#REF!,"AAAAAD/Tuwc=")</f>
        <v>#REF!</v>
      </c>
      <c r="I9" t="e">
        <f>AND(#REF!,"AAAAAD/Tuwg=")</f>
        <v>#REF!</v>
      </c>
      <c r="J9" t="e">
        <f>AND(#REF!,"AAAAAD/Tuwk=")</f>
        <v>#REF!</v>
      </c>
      <c r="K9" t="e">
        <f>AND(#REF!,"AAAAAD/Tuwo=")</f>
        <v>#REF!</v>
      </c>
      <c r="L9" t="e">
        <f>AND(#REF!,"AAAAAD/Tuws=")</f>
        <v>#REF!</v>
      </c>
      <c r="M9" t="e">
        <f>AND(#REF!,"AAAAAD/Tuww=")</f>
        <v>#REF!</v>
      </c>
      <c r="N9" t="e">
        <f>AND(#REF!,"AAAAAD/Tuw0=")</f>
        <v>#REF!</v>
      </c>
      <c r="O9" t="e">
        <f>AND(#REF!,"AAAAAD/Tuw4=")</f>
        <v>#REF!</v>
      </c>
      <c r="P9" t="e">
        <f>AND(#REF!,"AAAAAD/Tuw8=")</f>
        <v>#REF!</v>
      </c>
      <c r="Q9" t="e">
        <f>AND(#REF!,"AAAAAD/TuxA=")</f>
        <v>#REF!</v>
      </c>
      <c r="R9" t="e">
        <f>AND(#REF!,"AAAAAD/TuxE=")</f>
        <v>#REF!</v>
      </c>
      <c r="S9" t="e">
        <f>AND(#REF!,"AAAAAD/TuxI=")</f>
        <v>#REF!</v>
      </c>
      <c r="T9" t="e">
        <f>AND(#REF!,"AAAAAD/TuxM=")</f>
        <v>#REF!</v>
      </c>
      <c r="U9" t="e">
        <f>AND(#REF!,"AAAAAD/TuxQ=")</f>
        <v>#REF!</v>
      </c>
      <c r="V9" t="e">
        <f>AND(#REF!,"AAAAAD/TuxU=")</f>
        <v>#REF!</v>
      </c>
      <c r="W9" t="e">
        <f>AND(#REF!,"AAAAAD/TuxY=")</f>
        <v>#REF!</v>
      </c>
      <c r="X9" t="e">
        <f>AND(#REF!,"AAAAAD/Tuxc=")</f>
        <v>#REF!</v>
      </c>
      <c r="Y9" t="e">
        <f>AND(#REF!,"AAAAAD/Tuxg=")</f>
        <v>#REF!</v>
      </c>
      <c r="Z9" t="e">
        <f>AND(#REF!,"AAAAAD/Tuxk=")</f>
        <v>#REF!</v>
      </c>
      <c r="AA9" t="e">
        <f>AND(#REF!,"AAAAAD/Tuxo=")</f>
        <v>#REF!</v>
      </c>
      <c r="AB9" t="e">
        <f>AND(#REF!,"AAAAAD/Tuxs=")</f>
        <v>#REF!</v>
      </c>
      <c r="AC9" t="e">
        <f>AND(#REF!,"AAAAAD/Tuxw=")</f>
        <v>#REF!</v>
      </c>
      <c r="AD9" t="e">
        <f>AND(#REF!,"AAAAAD/Tux0=")</f>
        <v>#REF!</v>
      </c>
      <c r="AE9" t="e">
        <f>AND(#REF!,"AAAAAD/Tux4=")</f>
        <v>#REF!</v>
      </c>
      <c r="AF9" t="e">
        <f>AND(#REF!,"AAAAAD/Tux8=")</f>
        <v>#REF!</v>
      </c>
      <c r="AG9" t="e">
        <f>AND(#REF!,"AAAAAD/TuyA=")</f>
        <v>#REF!</v>
      </c>
      <c r="AH9" t="e">
        <f>AND(#REF!,"AAAAAD/TuyE=")</f>
        <v>#REF!</v>
      </c>
      <c r="AI9" t="e">
        <f>AND(#REF!,"AAAAAD/TuyI=")</f>
        <v>#REF!</v>
      </c>
      <c r="AJ9" t="e">
        <f>AND(#REF!,"AAAAAD/TuyM=")</f>
        <v>#REF!</v>
      </c>
      <c r="AK9" t="e">
        <f>AND(#REF!,"AAAAAD/TuyQ=")</f>
        <v>#REF!</v>
      </c>
      <c r="AL9" t="e">
        <f>AND(#REF!,"AAAAAD/TuyU=")</f>
        <v>#REF!</v>
      </c>
      <c r="AM9" t="e">
        <f>AND(#REF!,"AAAAAD/TuyY=")</f>
        <v>#REF!</v>
      </c>
      <c r="AN9" t="e">
        <f>AND(#REF!,"AAAAAD/Tuyc=")</f>
        <v>#REF!</v>
      </c>
      <c r="AO9" t="e">
        <f>AND(#REF!,"AAAAAD/Tuyg=")</f>
        <v>#REF!</v>
      </c>
      <c r="AP9" t="e">
        <f>AND(#REF!,"AAAAAD/Tuyk=")</f>
        <v>#REF!</v>
      </c>
      <c r="AQ9" t="e">
        <f>AND(#REF!,"AAAAAD/Tuyo=")</f>
        <v>#REF!</v>
      </c>
      <c r="AR9" t="e">
        <f>AND(#REF!,"AAAAAD/Tuys=")</f>
        <v>#REF!</v>
      </c>
      <c r="AS9" t="e">
        <f>AND(#REF!,"AAAAAD/Tuyw=")</f>
        <v>#REF!</v>
      </c>
      <c r="AT9" t="e">
        <f>IF(#REF!,"AAAAAD/Tuy0=",0)</f>
        <v>#REF!</v>
      </c>
      <c r="AU9" t="e">
        <f>AND(#REF!,"AAAAAD/Tuy4=")</f>
        <v>#REF!</v>
      </c>
      <c r="AV9" t="e">
        <f>AND(#REF!,"AAAAAD/Tuy8=")</f>
        <v>#REF!</v>
      </c>
      <c r="AW9" t="e">
        <f>AND(#REF!,"AAAAAD/TuzA=")</f>
        <v>#REF!</v>
      </c>
      <c r="AX9" t="e">
        <f>AND(#REF!,"AAAAAD/TuzE=")</f>
        <v>#REF!</v>
      </c>
      <c r="AY9" t="e">
        <f>AND(#REF!,"AAAAAD/TuzI=")</f>
        <v>#REF!</v>
      </c>
      <c r="AZ9" t="e">
        <f>AND(#REF!,"AAAAAD/TuzM=")</f>
        <v>#REF!</v>
      </c>
      <c r="BA9" t="e">
        <f>AND(#REF!,"AAAAAD/TuzQ=")</f>
        <v>#REF!</v>
      </c>
      <c r="BB9" t="e">
        <f>AND(#REF!,"AAAAAD/TuzU=")</f>
        <v>#REF!</v>
      </c>
      <c r="BC9" t="e">
        <f>AND(#REF!,"AAAAAD/TuzY=")</f>
        <v>#REF!</v>
      </c>
      <c r="BD9" t="e">
        <f>AND(#REF!,"AAAAAD/Tuzc=")</f>
        <v>#REF!</v>
      </c>
      <c r="BE9" t="e">
        <f>AND(#REF!,"AAAAAD/Tuzg=")</f>
        <v>#REF!</v>
      </c>
      <c r="BF9" t="e">
        <f>AND(#REF!,"AAAAAD/Tuzk=")</f>
        <v>#REF!</v>
      </c>
      <c r="BG9" t="e">
        <f>AND(#REF!,"AAAAAD/Tuzo=")</f>
        <v>#REF!</v>
      </c>
      <c r="BH9" t="e">
        <f>AND(#REF!,"AAAAAD/Tuzs=")</f>
        <v>#REF!</v>
      </c>
      <c r="BI9" t="e">
        <f>AND(#REF!,"AAAAAD/Tuzw=")</f>
        <v>#REF!</v>
      </c>
      <c r="BJ9" t="e">
        <f>AND(#REF!,"AAAAAD/Tuz0=")</f>
        <v>#REF!</v>
      </c>
      <c r="BK9" t="e">
        <f>AND(#REF!,"AAAAAD/Tuz4=")</f>
        <v>#REF!</v>
      </c>
      <c r="BL9" t="e">
        <f>AND(#REF!,"AAAAAD/Tuz8=")</f>
        <v>#REF!</v>
      </c>
      <c r="BM9" t="e">
        <f>AND(#REF!,"AAAAAD/Tu0A=")</f>
        <v>#REF!</v>
      </c>
      <c r="BN9" t="e">
        <f>AND(#REF!,"AAAAAD/Tu0E=")</f>
        <v>#REF!</v>
      </c>
      <c r="BO9" t="e">
        <f>AND(#REF!,"AAAAAD/Tu0I=")</f>
        <v>#REF!</v>
      </c>
      <c r="BP9" t="e">
        <f>AND(#REF!,"AAAAAD/Tu0M=")</f>
        <v>#REF!</v>
      </c>
      <c r="BQ9" t="e">
        <f>AND(#REF!,"AAAAAD/Tu0Q=")</f>
        <v>#REF!</v>
      </c>
      <c r="BR9" t="e">
        <f>AND(#REF!,"AAAAAD/Tu0U=")</f>
        <v>#REF!</v>
      </c>
      <c r="BS9" t="e">
        <f>AND(#REF!,"AAAAAD/Tu0Y=")</f>
        <v>#REF!</v>
      </c>
      <c r="BT9" t="e">
        <f>AND(#REF!,"AAAAAD/Tu0c=")</f>
        <v>#REF!</v>
      </c>
      <c r="BU9" t="e">
        <f>AND(#REF!,"AAAAAD/Tu0g=")</f>
        <v>#REF!</v>
      </c>
      <c r="BV9" t="e">
        <f>AND(#REF!,"AAAAAD/Tu0k=")</f>
        <v>#REF!</v>
      </c>
      <c r="BW9" t="e">
        <f>AND(#REF!,"AAAAAD/Tu0o=")</f>
        <v>#REF!</v>
      </c>
      <c r="BX9" t="e">
        <f>AND(#REF!,"AAAAAD/Tu0s=")</f>
        <v>#REF!</v>
      </c>
      <c r="BY9" t="e">
        <f>AND(#REF!,"AAAAAD/Tu0w=")</f>
        <v>#REF!</v>
      </c>
      <c r="BZ9" t="e">
        <f>AND(#REF!,"AAAAAD/Tu00=")</f>
        <v>#REF!</v>
      </c>
      <c r="CA9" t="e">
        <f>AND(#REF!,"AAAAAD/Tu04=")</f>
        <v>#REF!</v>
      </c>
      <c r="CB9" t="e">
        <f>AND(#REF!,"AAAAAD/Tu08=")</f>
        <v>#REF!</v>
      </c>
      <c r="CC9" t="e">
        <f>AND(#REF!,"AAAAAD/Tu1A=")</f>
        <v>#REF!</v>
      </c>
      <c r="CD9" t="e">
        <f>AND(#REF!,"AAAAAD/Tu1E=")</f>
        <v>#REF!</v>
      </c>
      <c r="CE9" t="e">
        <f>AND(#REF!,"AAAAAD/Tu1I=")</f>
        <v>#REF!</v>
      </c>
      <c r="CF9" t="e">
        <f>AND(#REF!,"AAAAAD/Tu1M=")</f>
        <v>#REF!</v>
      </c>
      <c r="CG9" t="e">
        <f>AND(#REF!,"AAAAAD/Tu1Q=")</f>
        <v>#REF!</v>
      </c>
      <c r="CH9" t="e">
        <f>AND(#REF!,"AAAAAD/Tu1U=")</f>
        <v>#REF!</v>
      </c>
      <c r="CI9" t="e">
        <f>IF(#REF!,"AAAAAD/Tu1Y=",0)</f>
        <v>#REF!</v>
      </c>
      <c r="CJ9" t="e">
        <f>AND(#REF!,"AAAAAD/Tu1c=")</f>
        <v>#REF!</v>
      </c>
      <c r="CK9" t="e">
        <f>AND(#REF!,"AAAAAD/Tu1g=")</f>
        <v>#REF!</v>
      </c>
      <c r="CL9" t="e">
        <f>AND(#REF!,"AAAAAD/Tu1k=")</f>
        <v>#REF!</v>
      </c>
      <c r="CM9" t="e">
        <f>AND(#REF!,"AAAAAD/Tu1o=")</f>
        <v>#REF!</v>
      </c>
      <c r="CN9" t="e">
        <f>AND(#REF!,"AAAAAD/Tu1s=")</f>
        <v>#REF!</v>
      </c>
      <c r="CO9" t="e">
        <f>AND(#REF!,"AAAAAD/Tu1w=")</f>
        <v>#REF!</v>
      </c>
      <c r="CP9" t="e">
        <f>AND(#REF!,"AAAAAD/Tu10=")</f>
        <v>#REF!</v>
      </c>
      <c r="CQ9" t="e">
        <f>AND(#REF!,"AAAAAD/Tu14=")</f>
        <v>#REF!</v>
      </c>
      <c r="CR9" t="e">
        <f>AND(#REF!,"AAAAAD/Tu18=")</f>
        <v>#REF!</v>
      </c>
      <c r="CS9" t="e">
        <f>AND(#REF!,"AAAAAD/Tu2A=")</f>
        <v>#REF!</v>
      </c>
      <c r="CT9" t="e">
        <f>AND(#REF!,"AAAAAD/Tu2E=")</f>
        <v>#REF!</v>
      </c>
      <c r="CU9" t="e">
        <f>AND(#REF!,"AAAAAD/Tu2I=")</f>
        <v>#REF!</v>
      </c>
      <c r="CV9" t="e">
        <f>AND(#REF!,"AAAAAD/Tu2M=")</f>
        <v>#REF!</v>
      </c>
      <c r="CW9" t="e">
        <f>AND(#REF!,"AAAAAD/Tu2Q=")</f>
        <v>#REF!</v>
      </c>
      <c r="CX9" t="e">
        <f>AND(#REF!,"AAAAAD/Tu2U=")</f>
        <v>#REF!</v>
      </c>
      <c r="CY9" t="e">
        <f>AND(#REF!,"AAAAAD/Tu2Y=")</f>
        <v>#REF!</v>
      </c>
      <c r="CZ9" t="e">
        <f>AND(#REF!,"AAAAAD/Tu2c=")</f>
        <v>#REF!</v>
      </c>
      <c r="DA9" t="e">
        <f>AND(#REF!,"AAAAAD/Tu2g=")</f>
        <v>#REF!</v>
      </c>
      <c r="DB9" t="e">
        <f>AND(#REF!,"AAAAAD/Tu2k=")</f>
        <v>#REF!</v>
      </c>
      <c r="DC9" t="e">
        <f>AND(#REF!,"AAAAAD/Tu2o=")</f>
        <v>#REF!</v>
      </c>
      <c r="DD9" t="e">
        <f>AND(#REF!,"AAAAAD/Tu2s=")</f>
        <v>#REF!</v>
      </c>
      <c r="DE9" t="e">
        <f>AND(#REF!,"AAAAAD/Tu2w=")</f>
        <v>#REF!</v>
      </c>
      <c r="DF9" t="e">
        <f>AND(#REF!,"AAAAAD/Tu20=")</f>
        <v>#REF!</v>
      </c>
      <c r="DG9" t="e">
        <f>AND(#REF!,"AAAAAD/Tu24=")</f>
        <v>#REF!</v>
      </c>
      <c r="DH9" t="e">
        <f>AND(#REF!,"AAAAAD/Tu28=")</f>
        <v>#REF!</v>
      </c>
      <c r="DI9" t="e">
        <f>AND(#REF!,"AAAAAD/Tu3A=")</f>
        <v>#REF!</v>
      </c>
      <c r="DJ9" t="e">
        <f>AND(#REF!,"AAAAAD/Tu3E=")</f>
        <v>#REF!</v>
      </c>
      <c r="DK9" t="e">
        <f>AND(#REF!,"AAAAAD/Tu3I=")</f>
        <v>#REF!</v>
      </c>
      <c r="DL9" t="e">
        <f>AND(#REF!,"AAAAAD/Tu3M=")</f>
        <v>#REF!</v>
      </c>
      <c r="DM9" t="e">
        <f>AND(#REF!,"AAAAAD/Tu3Q=")</f>
        <v>#REF!</v>
      </c>
      <c r="DN9" t="e">
        <f>AND(#REF!,"AAAAAD/Tu3U=")</f>
        <v>#REF!</v>
      </c>
      <c r="DO9" t="e">
        <f>AND(#REF!,"AAAAAD/Tu3Y=")</f>
        <v>#REF!</v>
      </c>
      <c r="DP9" t="e">
        <f>AND(#REF!,"AAAAAD/Tu3c=")</f>
        <v>#REF!</v>
      </c>
      <c r="DQ9" t="e">
        <f>AND(#REF!,"AAAAAD/Tu3g=")</f>
        <v>#REF!</v>
      </c>
      <c r="DR9" t="e">
        <f>AND(#REF!,"AAAAAD/Tu3k=")</f>
        <v>#REF!</v>
      </c>
      <c r="DS9" t="e">
        <f>AND(#REF!,"AAAAAD/Tu3o=")</f>
        <v>#REF!</v>
      </c>
      <c r="DT9" t="e">
        <f>AND(#REF!,"AAAAAD/Tu3s=")</f>
        <v>#REF!</v>
      </c>
      <c r="DU9" t="e">
        <f>AND(#REF!,"AAAAAD/Tu3w=")</f>
        <v>#REF!</v>
      </c>
      <c r="DV9" t="e">
        <f>AND(#REF!,"AAAAAD/Tu30=")</f>
        <v>#REF!</v>
      </c>
      <c r="DW9" t="e">
        <f>AND(#REF!,"AAAAAD/Tu34=")</f>
        <v>#REF!</v>
      </c>
      <c r="DX9" t="e">
        <f>IF(#REF!,"AAAAAD/Tu38=",0)</f>
        <v>#REF!</v>
      </c>
      <c r="DY9" t="e">
        <f>AND(#REF!,"AAAAAD/Tu4A=")</f>
        <v>#REF!</v>
      </c>
      <c r="DZ9" t="e">
        <f>AND(#REF!,"AAAAAD/Tu4E=")</f>
        <v>#REF!</v>
      </c>
      <c r="EA9" t="e">
        <f>AND(#REF!,"AAAAAD/Tu4I=")</f>
        <v>#REF!</v>
      </c>
      <c r="EB9" t="e">
        <f>AND(#REF!,"AAAAAD/Tu4M=")</f>
        <v>#REF!</v>
      </c>
      <c r="EC9" t="e">
        <f>AND(#REF!,"AAAAAD/Tu4Q=")</f>
        <v>#REF!</v>
      </c>
      <c r="ED9" t="e">
        <f>AND(#REF!,"AAAAAD/Tu4U=")</f>
        <v>#REF!</v>
      </c>
      <c r="EE9" t="e">
        <f>AND(#REF!,"AAAAAD/Tu4Y=")</f>
        <v>#REF!</v>
      </c>
      <c r="EF9" t="e">
        <f>AND(#REF!,"AAAAAD/Tu4c=")</f>
        <v>#REF!</v>
      </c>
      <c r="EG9" t="e">
        <f>AND(#REF!,"AAAAAD/Tu4g=")</f>
        <v>#REF!</v>
      </c>
      <c r="EH9" t="e">
        <f>AND(#REF!,"AAAAAD/Tu4k=")</f>
        <v>#REF!</v>
      </c>
      <c r="EI9" t="e">
        <f>AND(#REF!,"AAAAAD/Tu4o=")</f>
        <v>#REF!</v>
      </c>
      <c r="EJ9" t="e">
        <f>AND(#REF!,"AAAAAD/Tu4s=")</f>
        <v>#REF!</v>
      </c>
      <c r="EK9" t="e">
        <f>AND(#REF!,"AAAAAD/Tu4w=")</f>
        <v>#REF!</v>
      </c>
      <c r="EL9" t="e">
        <f>AND(#REF!,"AAAAAD/Tu40=")</f>
        <v>#REF!</v>
      </c>
      <c r="EM9" t="e">
        <f>AND(#REF!,"AAAAAD/Tu44=")</f>
        <v>#REF!</v>
      </c>
      <c r="EN9" t="e">
        <f>AND(#REF!,"AAAAAD/Tu48=")</f>
        <v>#REF!</v>
      </c>
      <c r="EO9" t="e">
        <f>AND(#REF!,"AAAAAD/Tu5A=")</f>
        <v>#REF!</v>
      </c>
      <c r="EP9" t="e">
        <f>AND(#REF!,"AAAAAD/Tu5E=")</f>
        <v>#REF!</v>
      </c>
      <c r="EQ9" t="e">
        <f>AND(#REF!,"AAAAAD/Tu5I=")</f>
        <v>#REF!</v>
      </c>
      <c r="ER9" t="e">
        <f>AND(#REF!,"AAAAAD/Tu5M=")</f>
        <v>#REF!</v>
      </c>
      <c r="ES9" t="e">
        <f>AND(#REF!,"AAAAAD/Tu5Q=")</f>
        <v>#REF!</v>
      </c>
      <c r="ET9" t="e">
        <f>AND(#REF!,"AAAAAD/Tu5U=")</f>
        <v>#REF!</v>
      </c>
      <c r="EU9" t="e">
        <f>AND(#REF!,"AAAAAD/Tu5Y=")</f>
        <v>#REF!</v>
      </c>
      <c r="EV9" t="e">
        <f>AND(#REF!,"AAAAAD/Tu5c=")</f>
        <v>#REF!</v>
      </c>
      <c r="EW9" t="e">
        <f>AND(#REF!,"AAAAAD/Tu5g=")</f>
        <v>#REF!</v>
      </c>
      <c r="EX9" t="e">
        <f>AND(#REF!,"AAAAAD/Tu5k=")</f>
        <v>#REF!</v>
      </c>
      <c r="EY9" t="e">
        <f>AND(#REF!,"AAAAAD/Tu5o=")</f>
        <v>#REF!</v>
      </c>
      <c r="EZ9" t="e">
        <f>AND(#REF!,"AAAAAD/Tu5s=")</f>
        <v>#REF!</v>
      </c>
      <c r="FA9" t="e">
        <f>AND(#REF!,"AAAAAD/Tu5w=")</f>
        <v>#REF!</v>
      </c>
      <c r="FB9" t="e">
        <f>AND(#REF!,"AAAAAD/Tu50=")</f>
        <v>#REF!</v>
      </c>
      <c r="FC9" t="e">
        <f>AND(#REF!,"AAAAAD/Tu54=")</f>
        <v>#REF!</v>
      </c>
      <c r="FD9" t="e">
        <f>AND(#REF!,"AAAAAD/Tu58=")</f>
        <v>#REF!</v>
      </c>
      <c r="FE9" t="e">
        <f>AND(#REF!,"AAAAAD/Tu6A=")</f>
        <v>#REF!</v>
      </c>
      <c r="FF9" t="e">
        <f>AND(#REF!,"AAAAAD/Tu6E=")</f>
        <v>#REF!</v>
      </c>
      <c r="FG9" t="e">
        <f>AND(#REF!,"AAAAAD/Tu6I=")</f>
        <v>#REF!</v>
      </c>
      <c r="FH9" t="e">
        <f>AND(#REF!,"AAAAAD/Tu6M=")</f>
        <v>#REF!</v>
      </c>
      <c r="FI9" t="e">
        <f>AND(#REF!,"AAAAAD/Tu6Q=")</f>
        <v>#REF!</v>
      </c>
      <c r="FJ9" t="e">
        <f>AND(#REF!,"AAAAAD/Tu6U=")</f>
        <v>#REF!</v>
      </c>
      <c r="FK9" t="e">
        <f>AND(#REF!,"AAAAAD/Tu6Y=")</f>
        <v>#REF!</v>
      </c>
      <c r="FL9" t="e">
        <f>AND(#REF!,"AAAAAD/Tu6c=")</f>
        <v>#REF!</v>
      </c>
      <c r="FM9" t="e">
        <f>IF(#REF!,"AAAAAD/Tu6g=",0)</f>
        <v>#REF!</v>
      </c>
      <c r="FN9" t="e">
        <f>AND(#REF!,"AAAAAD/Tu6k=")</f>
        <v>#REF!</v>
      </c>
      <c r="FO9" t="e">
        <f>AND(#REF!,"AAAAAD/Tu6o=")</f>
        <v>#REF!</v>
      </c>
      <c r="FP9" t="e">
        <f>AND(#REF!,"AAAAAD/Tu6s=")</f>
        <v>#REF!</v>
      </c>
      <c r="FQ9" t="e">
        <f>AND(#REF!,"AAAAAD/Tu6w=")</f>
        <v>#REF!</v>
      </c>
      <c r="FR9" t="e">
        <f>AND(#REF!,"AAAAAD/Tu60=")</f>
        <v>#REF!</v>
      </c>
      <c r="FS9" t="e">
        <f>AND(#REF!,"AAAAAD/Tu64=")</f>
        <v>#REF!</v>
      </c>
      <c r="FT9" t="e">
        <f>AND(#REF!,"AAAAAD/Tu68=")</f>
        <v>#REF!</v>
      </c>
      <c r="FU9" t="e">
        <f>AND(#REF!,"AAAAAD/Tu7A=")</f>
        <v>#REF!</v>
      </c>
      <c r="FV9" t="e">
        <f>AND(#REF!,"AAAAAD/Tu7E=")</f>
        <v>#REF!</v>
      </c>
      <c r="FW9" t="e">
        <f>AND(#REF!,"AAAAAD/Tu7I=")</f>
        <v>#REF!</v>
      </c>
      <c r="FX9" t="e">
        <f>AND(#REF!,"AAAAAD/Tu7M=")</f>
        <v>#REF!</v>
      </c>
      <c r="FY9" t="e">
        <f>AND(#REF!,"AAAAAD/Tu7Q=")</f>
        <v>#REF!</v>
      </c>
      <c r="FZ9" t="e">
        <f>AND(#REF!,"AAAAAD/Tu7U=")</f>
        <v>#REF!</v>
      </c>
      <c r="GA9" t="e">
        <f>AND(#REF!,"AAAAAD/Tu7Y=")</f>
        <v>#REF!</v>
      </c>
      <c r="GB9" t="e">
        <f>AND(#REF!,"AAAAAD/Tu7c=")</f>
        <v>#REF!</v>
      </c>
      <c r="GC9" t="e">
        <f>AND(#REF!,"AAAAAD/Tu7g=")</f>
        <v>#REF!</v>
      </c>
      <c r="GD9" t="e">
        <f>AND(#REF!,"AAAAAD/Tu7k=")</f>
        <v>#REF!</v>
      </c>
      <c r="GE9" t="e">
        <f>AND(#REF!,"AAAAAD/Tu7o=")</f>
        <v>#REF!</v>
      </c>
      <c r="GF9" t="e">
        <f>AND(#REF!,"AAAAAD/Tu7s=")</f>
        <v>#REF!</v>
      </c>
      <c r="GG9" t="e">
        <f>AND(#REF!,"AAAAAD/Tu7w=")</f>
        <v>#REF!</v>
      </c>
      <c r="GH9" t="e">
        <f>AND(#REF!,"AAAAAD/Tu70=")</f>
        <v>#REF!</v>
      </c>
      <c r="GI9" t="e">
        <f>AND(#REF!,"AAAAAD/Tu74=")</f>
        <v>#REF!</v>
      </c>
      <c r="GJ9" t="e">
        <f>AND(#REF!,"AAAAAD/Tu78=")</f>
        <v>#REF!</v>
      </c>
      <c r="GK9" t="e">
        <f>AND(#REF!,"AAAAAD/Tu8A=")</f>
        <v>#REF!</v>
      </c>
      <c r="GL9" t="e">
        <f>AND(#REF!,"AAAAAD/Tu8E=")</f>
        <v>#REF!</v>
      </c>
      <c r="GM9" t="e">
        <f>AND(#REF!,"AAAAAD/Tu8I=")</f>
        <v>#REF!</v>
      </c>
      <c r="GN9" t="e">
        <f>AND(#REF!,"AAAAAD/Tu8M=")</f>
        <v>#REF!</v>
      </c>
      <c r="GO9" t="e">
        <f>AND(#REF!,"AAAAAD/Tu8Q=")</f>
        <v>#REF!</v>
      </c>
      <c r="GP9" t="e">
        <f>AND(#REF!,"AAAAAD/Tu8U=")</f>
        <v>#REF!</v>
      </c>
      <c r="GQ9" t="e">
        <f>AND(#REF!,"AAAAAD/Tu8Y=")</f>
        <v>#REF!</v>
      </c>
      <c r="GR9" t="e">
        <f>AND(#REF!,"AAAAAD/Tu8c=")</f>
        <v>#REF!</v>
      </c>
      <c r="GS9" t="e">
        <f>AND(#REF!,"AAAAAD/Tu8g=")</f>
        <v>#REF!</v>
      </c>
      <c r="GT9" t="e">
        <f>AND(#REF!,"AAAAAD/Tu8k=")</f>
        <v>#REF!</v>
      </c>
      <c r="GU9" t="e">
        <f>AND(#REF!,"AAAAAD/Tu8o=")</f>
        <v>#REF!</v>
      </c>
      <c r="GV9" t="e">
        <f>AND(#REF!,"AAAAAD/Tu8s=")</f>
        <v>#REF!</v>
      </c>
      <c r="GW9" t="e">
        <f>AND(#REF!,"AAAAAD/Tu8w=")</f>
        <v>#REF!</v>
      </c>
      <c r="GX9" t="e">
        <f>AND(#REF!,"AAAAAD/Tu80=")</f>
        <v>#REF!</v>
      </c>
      <c r="GY9" t="e">
        <f>AND(#REF!,"AAAAAD/Tu84=")</f>
        <v>#REF!</v>
      </c>
      <c r="GZ9" t="e">
        <f>AND(#REF!,"AAAAAD/Tu88=")</f>
        <v>#REF!</v>
      </c>
      <c r="HA9" t="e">
        <f>AND(#REF!,"AAAAAD/Tu9A=")</f>
        <v>#REF!</v>
      </c>
      <c r="HB9" t="e">
        <f>IF(#REF!,"AAAAAD/Tu9E=",0)</f>
        <v>#REF!</v>
      </c>
      <c r="HC9" t="e">
        <f>AND(#REF!,"AAAAAD/Tu9I=")</f>
        <v>#REF!</v>
      </c>
      <c r="HD9" t="e">
        <f>AND(#REF!,"AAAAAD/Tu9M=")</f>
        <v>#REF!</v>
      </c>
      <c r="HE9" t="e">
        <f>AND(#REF!,"AAAAAD/Tu9Q=")</f>
        <v>#REF!</v>
      </c>
      <c r="HF9" t="e">
        <f>AND(#REF!,"AAAAAD/Tu9U=")</f>
        <v>#REF!</v>
      </c>
      <c r="HG9" t="e">
        <f>AND(#REF!,"AAAAAD/Tu9Y=")</f>
        <v>#REF!</v>
      </c>
      <c r="HH9" t="e">
        <f>AND(#REF!,"AAAAAD/Tu9c=")</f>
        <v>#REF!</v>
      </c>
      <c r="HI9" t="e">
        <f>AND(#REF!,"AAAAAD/Tu9g=")</f>
        <v>#REF!</v>
      </c>
      <c r="HJ9" t="e">
        <f>AND(#REF!,"AAAAAD/Tu9k=")</f>
        <v>#REF!</v>
      </c>
      <c r="HK9" t="e">
        <f>AND(#REF!,"AAAAAD/Tu9o=")</f>
        <v>#REF!</v>
      </c>
      <c r="HL9" t="e">
        <f>AND(#REF!,"AAAAAD/Tu9s=")</f>
        <v>#REF!</v>
      </c>
      <c r="HM9" t="e">
        <f>AND(#REF!,"AAAAAD/Tu9w=")</f>
        <v>#REF!</v>
      </c>
      <c r="HN9" t="e">
        <f>AND(#REF!,"AAAAAD/Tu90=")</f>
        <v>#REF!</v>
      </c>
      <c r="HO9" t="e">
        <f>AND(#REF!,"AAAAAD/Tu94=")</f>
        <v>#REF!</v>
      </c>
      <c r="HP9" t="e">
        <f>AND(#REF!,"AAAAAD/Tu98=")</f>
        <v>#REF!</v>
      </c>
      <c r="HQ9" t="e">
        <f>AND(#REF!,"AAAAAD/Tu+A=")</f>
        <v>#REF!</v>
      </c>
      <c r="HR9" t="e">
        <f>AND(#REF!,"AAAAAD/Tu+E=")</f>
        <v>#REF!</v>
      </c>
      <c r="HS9" t="e">
        <f>AND(#REF!,"AAAAAD/Tu+I=")</f>
        <v>#REF!</v>
      </c>
      <c r="HT9" t="e">
        <f>AND(#REF!,"AAAAAD/Tu+M=")</f>
        <v>#REF!</v>
      </c>
      <c r="HU9" t="e">
        <f>AND(#REF!,"AAAAAD/Tu+Q=")</f>
        <v>#REF!</v>
      </c>
      <c r="HV9" t="e">
        <f>AND(#REF!,"AAAAAD/Tu+U=")</f>
        <v>#REF!</v>
      </c>
      <c r="HW9" t="e">
        <f>AND(#REF!,"AAAAAD/Tu+Y=")</f>
        <v>#REF!</v>
      </c>
      <c r="HX9" t="e">
        <f>AND(#REF!,"AAAAAD/Tu+c=")</f>
        <v>#REF!</v>
      </c>
      <c r="HY9" t="e">
        <f>AND(#REF!,"AAAAAD/Tu+g=")</f>
        <v>#REF!</v>
      </c>
      <c r="HZ9" t="e">
        <f>AND(#REF!,"AAAAAD/Tu+k=")</f>
        <v>#REF!</v>
      </c>
      <c r="IA9" t="e">
        <f>AND(#REF!,"AAAAAD/Tu+o=")</f>
        <v>#REF!</v>
      </c>
      <c r="IB9" t="e">
        <f>AND(#REF!,"AAAAAD/Tu+s=")</f>
        <v>#REF!</v>
      </c>
      <c r="IC9" t="e">
        <f>AND(#REF!,"AAAAAD/Tu+w=")</f>
        <v>#REF!</v>
      </c>
      <c r="ID9" t="e">
        <f>AND(#REF!,"AAAAAD/Tu+0=")</f>
        <v>#REF!</v>
      </c>
      <c r="IE9" t="e">
        <f>AND(#REF!,"AAAAAD/Tu+4=")</f>
        <v>#REF!</v>
      </c>
      <c r="IF9" t="e">
        <f>AND(#REF!,"AAAAAD/Tu+8=")</f>
        <v>#REF!</v>
      </c>
      <c r="IG9" t="e">
        <f>AND(#REF!,"AAAAAD/Tu/A=")</f>
        <v>#REF!</v>
      </c>
      <c r="IH9" t="e">
        <f>AND(#REF!,"AAAAAD/Tu/E=")</f>
        <v>#REF!</v>
      </c>
      <c r="II9" t="e">
        <f>AND(#REF!,"AAAAAD/Tu/I=")</f>
        <v>#REF!</v>
      </c>
      <c r="IJ9" t="e">
        <f>AND(#REF!,"AAAAAD/Tu/M=")</f>
        <v>#REF!</v>
      </c>
      <c r="IK9" t="e">
        <f>AND(#REF!,"AAAAAD/Tu/Q=")</f>
        <v>#REF!</v>
      </c>
      <c r="IL9" t="e">
        <f>AND(#REF!,"AAAAAD/Tu/U=")</f>
        <v>#REF!</v>
      </c>
      <c r="IM9" t="e">
        <f>AND(#REF!,"AAAAAD/Tu/Y=")</f>
        <v>#REF!</v>
      </c>
      <c r="IN9" t="e">
        <f>AND(#REF!,"AAAAAD/Tu/c=")</f>
        <v>#REF!</v>
      </c>
      <c r="IO9" t="e">
        <f>AND(#REF!,"AAAAAD/Tu/g=")</f>
        <v>#REF!</v>
      </c>
      <c r="IP9" t="e">
        <f>AND(#REF!,"AAAAAD/Tu/k=")</f>
        <v>#REF!</v>
      </c>
      <c r="IQ9" t="e">
        <f>IF(#REF!,"AAAAAD/Tu/o=",0)</f>
        <v>#REF!</v>
      </c>
      <c r="IR9" t="e">
        <f>AND(#REF!,"AAAAAD/Tu/s=")</f>
        <v>#REF!</v>
      </c>
      <c r="IS9" t="e">
        <f>AND(#REF!,"AAAAAD/Tu/w=")</f>
        <v>#REF!</v>
      </c>
      <c r="IT9" t="e">
        <f>AND(#REF!,"AAAAAD/Tu/0=")</f>
        <v>#REF!</v>
      </c>
      <c r="IU9" t="e">
        <f>AND(#REF!,"AAAAAD/Tu/4=")</f>
        <v>#REF!</v>
      </c>
      <c r="IV9" t="e">
        <f>AND(#REF!,"AAAAAD/Tu/8=")</f>
        <v>#REF!</v>
      </c>
    </row>
    <row r="10" spans="1:256" x14ac:dyDescent="0.2">
      <c r="A10" t="e">
        <f>AND(#REF!,"AAAAAF//ZwA=")</f>
        <v>#REF!</v>
      </c>
      <c r="B10" t="e">
        <f>AND(#REF!,"AAAAAF//ZwE=")</f>
        <v>#REF!</v>
      </c>
      <c r="C10" t="e">
        <f>AND(#REF!,"AAAAAF//ZwI=")</f>
        <v>#REF!</v>
      </c>
      <c r="D10" t="e">
        <f>AND(#REF!,"AAAAAF//ZwM=")</f>
        <v>#REF!</v>
      </c>
      <c r="E10" t="e">
        <f>AND(#REF!,"AAAAAF//ZwQ=")</f>
        <v>#REF!</v>
      </c>
      <c r="F10" t="e">
        <f>AND(#REF!,"AAAAAF//ZwU=")</f>
        <v>#REF!</v>
      </c>
      <c r="G10" t="e">
        <f>AND(#REF!,"AAAAAF//ZwY=")</f>
        <v>#REF!</v>
      </c>
      <c r="H10" t="e">
        <f>AND(#REF!,"AAAAAF//Zwc=")</f>
        <v>#REF!</v>
      </c>
      <c r="I10" t="e">
        <f>AND(#REF!,"AAAAAF//Zwg=")</f>
        <v>#REF!</v>
      </c>
      <c r="J10" t="e">
        <f>AND(#REF!,"AAAAAF//Zwk=")</f>
        <v>#REF!</v>
      </c>
      <c r="K10" t="e">
        <f>AND(#REF!,"AAAAAF//Zwo=")</f>
        <v>#REF!</v>
      </c>
      <c r="L10" t="e">
        <f>AND(#REF!,"AAAAAF//Zws=")</f>
        <v>#REF!</v>
      </c>
      <c r="M10" t="e">
        <f>AND(#REF!,"AAAAAF//Zww=")</f>
        <v>#REF!</v>
      </c>
      <c r="N10" t="e">
        <f>AND(#REF!,"AAAAAF//Zw0=")</f>
        <v>#REF!</v>
      </c>
      <c r="O10" t="e">
        <f>AND(#REF!,"AAAAAF//Zw4=")</f>
        <v>#REF!</v>
      </c>
      <c r="P10" t="e">
        <f>AND(#REF!,"AAAAAF//Zw8=")</f>
        <v>#REF!</v>
      </c>
      <c r="Q10" t="e">
        <f>AND(#REF!,"AAAAAF//ZxA=")</f>
        <v>#REF!</v>
      </c>
      <c r="R10" t="e">
        <f>AND(#REF!,"AAAAAF//ZxE=")</f>
        <v>#REF!</v>
      </c>
      <c r="S10" t="e">
        <f>AND(#REF!,"AAAAAF//ZxI=")</f>
        <v>#REF!</v>
      </c>
      <c r="T10" t="e">
        <f>AND(#REF!,"AAAAAF//ZxM=")</f>
        <v>#REF!</v>
      </c>
      <c r="U10" t="e">
        <f>AND(#REF!,"AAAAAF//ZxQ=")</f>
        <v>#REF!</v>
      </c>
      <c r="V10" t="e">
        <f>AND(#REF!,"AAAAAF//ZxU=")</f>
        <v>#REF!</v>
      </c>
      <c r="W10" t="e">
        <f>AND(#REF!,"AAAAAF//ZxY=")</f>
        <v>#REF!</v>
      </c>
      <c r="X10" t="e">
        <f>AND(#REF!,"AAAAAF//Zxc=")</f>
        <v>#REF!</v>
      </c>
      <c r="Y10" t="e">
        <f>AND(#REF!,"AAAAAF//Zxg=")</f>
        <v>#REF!</v>
      </c>
      <c r="Z10" t="e">
        <f>AND(#REF!,"AAAAAF//Zxk=")</f>
        <v>#REF!</v>
      </c>
      <c r="AA10" t="e">
        <f>AND(#REF!,"AAAAAF//Zxo=")</f>
        <v>#REF!</v>
      </c>
      <c r="AB10" t="e">
        <f>AND(#REF!,"AAAAAF//Zxs=")</f>
        <v>#REF!</v>
      </c>
      <c r="AC10" t="e">
        <f>AND(#REF!,"AAAAAF//Zxw=")</f>
        <v>#REF!</v>
      </c>
      <c r="AD10" t="e">
        <f>AND(#REF!,"AAAAAF//Zx0=")</f>
        <v>#REF!</v>
      </c>
      <c r="AE10" t="e">
        <f>AND(#REF!,"AAAAAF//Zx4=")</f>
        <v>#REF!</v>
      </c>
      <c r="AF10" t="e">
        <f>AND(#REF!,"AAAAAF//Zx8=")</f>
        <v>#REF!</v>
      </c>
      <c r="AG10" t="e">
        <f>AND(#REF!,"AAAAAF//ZyA=")</f>
        <v>#REF!</v>
      </c>
      <c r="AH10" t="e">
        <f>AND(#REF!,"AAAAAF//ZyE=")</f>
        <v>#REF!</v>
      </c>
      <c r="AI10" t="e">
        <f>AND(#REF!,"AAAAAF//ZyI=")</f>
        <v>#REF!</v>
      </c>
      <c r="AJ10" t="e">
        <f>IF(#REF!,"AAAAAF//ZyM=",0)</f>
        <v>#REF!</v>
      </c>
      <c r="AK10" t="e">
        <f>AND(#REF!,"AAAAAF//ZyQ=")</f>
        <v>#REF!</v>
      </c>
      <c r="AL10" t="e">
        <f>AND(#REF!,"AAAAAF//ZyU=")</f>
        <v>#REF!</v>
      </c>
      <c r="AM10" t="e">
        <f>AND(#REF!,"AAAAAF//ZyY=")</f>
        <v>#REF!</v>
      </c>
      <c r="AN10" t="e">
        <f>AND(#REF!,"AAAAAF//Zyc=")</f>
        <v>#REF!</v>
      </c>
      <c r="AO10" t="e">
        <f>AND(#REF!,"AAAAAF//Zyg=")</f>
        <v>#REF!</v>
      </c>
      <c r="AP10" t="e">
        <f>AND(#REF!,"AAAAAF//Zyk=")</f>
        <v>#REF!</v>
      </c>
      <c r="AQ10" t="e">
        <f>AND(#REF!,"AAAAAF//Zyo=")</f>
        <v>#REF!</v>
      </c>
      <c r="AR10" t="e">
        <f>AND(#REF!,"AAAAAF//Zys=")</f>
        <v>#REF!</v>
      </c>
      <c r="AS10" t="e">
        <f>AND(#REF!,"AAAAAF//Zyw=")</f>
        <v>#REF!</v>
      </c>
      <c r="AT10" t="e">
        <f>AND(#REF!,"AAAAAF//Zy0=")</f>
        <v>#REF!</v>
      </c>
      <c r="AU10" t="e">
        <f>AND(#REF!,"AAAAAF//Zy4=")</f>
        <v>#REF!</v>
      </c>
      <c r="AV10" t="e">
        <f>AND(#REF!,"AAAAAF//Zy8=")</f>
        <v>#REF!</v>
      </c>
      <c r="AW10" t="e">
        <f>AND(#REF!,"AAAAAF//ZzA=")</f>
        <v>#REF!</v>
      </c>
      <c r="AX10" t="e">
        <f>AND(#REF!,"AAAAAF//ZzE=")</f>
        <v>#REF!</v>
      </c>
      <c r="AY10" t="e">
        <f>AND(#REF!,"AAAAAF//ZzI=")</f>
        <v>#REF!</v>
      </c>
      <c r="AZ10" t="e">
        <f>AND(#REF!,"AAAAAF//ZzM=")</f>
        <v>#REF!</v>
      </c>
      <c r="BA10" t="e">
        <f>AND(#REF!,"AAAAAF//ZzQ=")</f>
        <v>#REF!</v>
      </c>
      <c r="BB10" t="e">
        <f>AND(#REF!,"AAAAAF//ZzU=")</f>
        <v>#REF!</v>
      </c>
      <c r="BC10" t="e">
        <f>AND(#REF!,"AAAAAF//ZzY=")</f>
        <v>#REF!</v>
      </c>
      <c r="BD10" t="e">
        <f>AND(#REF!,"AAAAAF//Zzc=")</f>
        <v>#REF!</v>
      </c>
      <c r="BE10" t="e">
        <f>AND(#REF!,"AAAAAF//Zzg=")</f>
        <v>#REF!</v>
      </c>
      <c r="BF10" t="e">
        <f>AND(#REF!,"AAAAAF//Zzk=")</f>
        <v>#REF!</v>
      </c>
      <c r="BG10" t="e">
        <f>AND(#REF!,"AAAAAF//Zzo=")</f>
        <v>#REF!</v>
      </c>
      <c r="BH10" t="e">
        <f>AND(#REF!,"AAAAAF//Zzs=")</f>
        <v>#REF!</v>
      </c>
      <c r="BI10" t="e">
        <f>AND(#REF!,"AAAAAF//Zzw=")</f>
        <v>#REF!</v>
      </c>
      <c r="BJ10" t="e">
        <f>AND(#REF!,"AAAAAF//Zz0=")</f>
        <v>#REF!</v>
      </c>
      <c r="BK10" t="e">
        <f>AND(#REF!,"AAAAAF//Zz4=")</f>
        <v>#REF!</v>
      </c>
      <c r="BL10" t="e">
        <f>AND(#REF!,"AAAAAF//Zz8=")</f>
        <v>#REF!</v>
      </c>
      <c r="BM10" t="e">
        <f>AND(#REF!,"AAAAAF//Z0A=")</f>
        <v>#REF!</v>
      </c>
      <c r="BN10" t="e">
        <f>AND(#REF!,"AAAAAF//Z0E=")</f>
        <v>#REF!</v>
      </c>
      <c r="BO10" t="e">
        <f>AND(#REF!,"AAAAAF//Z0I=")</f>
        <v>#REF!</v>
      </c>
      <c r="BP10" t="e">
        <f>AND(#REF!,"AAAAAF//Z0M=")</f>
        <v>#REF!</v>
      </c>
      <c r="BQ10" t="e">
        <f>AND(#REF!,"AAAAAF//Z0Q=")</f>
        <v>#REF!</v>
      </c>
      <c r="BR10" t="e">
        <f>AND(#REF!,"AAAAAF//Z0U=")</f>
        <v>#REF!</v>
      </c>
      <c r="BS10" t="e">
        <f>AND(#REF!,"AAAAAF//Z0Y=")</f>
        <v>#REF!</v>
      </c>
      <c r="BT10" t="e">
        <f>AND(#REF!,"AAAAAF//Z0c=")</f>
        <v>#REF!</v>
      </c>
      <c r="BU10" t="e">
        <f>AND(#REF!,"AAAAAF//Z0g=")</f>
        <v>#REF!</v>
      </c>
      <c r="BV10" t="e">
        <f>AND(#REF!,"AAAAAF//Z0k=")</f>
        <v>#REF!</v>
      </c>
      <c r="BW10" t="e">
        <f>AND(#REF!,"AAAAAF//Z0o=")</f>
        <v>#REF!</v>
      </c>
      <c r="BX10" t="e">
        <f>AND(#REF!,"AAAAAF//Z0s=")</f>
        <v>#REF!</v>
      </c>
      <c r="BY10" t="e">
        <f>IF(#REF!,"AAAAAF//Z0w=",0)</f>
        <v>#REF!</v>
      </c>
      <c r="BZ10" t="e">
        <f>AND(#REF!,"AAAAAF//Z00=")</f>
        <v>#REF!</v>
      </c>
      <c r="CA10" t="e">
        <f>AND(#REF!,"AAAAAF//Z04=")</f>
        <v>#REF!</v>
      </c>
      <c r="CB10" t="e">
        <f>AND(#REF!,"AAAAAF//Z08=")</f>
        <v>#REF!</v>
      </c>
      <c r="CC10" t="e">
        <f>AND(#REF!,"AAAAAF//Z1A=")</f>
        <v>#REF!</v>
      </c>
      <c r="CD10" t="e">
        <f>AND(#REF!,"AAAAAF//Z1E=")</f>
        <v>#REF!</v>
      </c>
      <c r="CE10" t="e">
        <f>AND(#REF!,"AAAAAF//Z1I=")</f>
        <v>#REF!</v>
      </c>
      <c r="CF10" t="e">
        <f>AND(#REF!,"AAAAAF//Z1M=")</f>
        <v>#REF!</v>
      </c>
      <c r="CG10" t="e">
        <f>AND(#REF!,"AAAAAF//Z1Q=")</f>
        <v>#REF!</v>
      </c>
      <c r="CH10" t="e">
        <f>AND(#REF!,"AAAAAF//Z1U=")</f>
        <v>#REF!</v>
      </c>
      <c r="CI10" t="e">
        <f>AND(#REF!,"AAAAAF//Z1Y=")</f>
        <v>#REF!</v>
      </c>
      <c r="CJ10" t="e">
        <f>AND(#REF!,"AAAAAF//Z1c=")</f>
        <v>#REF!</v>
      </c>
      <c r="CK10" t="e">
        <f>AND(#REF!,"AAAAAF//Z1g=")</f>
        <v>#REF!</v>
      </c>
      <c r="CL10" t="e">
        <f>AND(#REF!,"AAAAAF//Z1k=")</f>
        <v>#REF!</v>
      </c>
      <c r="CM10" t="e">
        <f>AND(#REF!,"AAAAAF//Z1o=")</f>
        <v>#REF!</v>
      </c>
      <c r="CN10" t="e">
        <f>AND(#REF!,"AAAAAF//Z1s=")</f>
        <v>#REF!</v>
      </c>
      <c r="CO10" t="e">
        <f>AND(#REF!,"AAAAAF//Z1w=")</f>
        <v>#REF!</v>
      </c>
      <c r="CP10" t="e">
        <f>AND(#REF!,"AAAAAF//Z10=")</f>
        <v>#REF!</v>
      </c>
      <c r="CQ10" t="e">
        <f>AND(#REF!,"AAAAAF//Z14=")</f>
        <v>#REF!</v>
      </c>
      <c r="CR10" t="e">
        <f>AND(#REF!,"AAAAAF//Z18=")</f>
        <v>#REF!</v>
      </c>
      <c r="CS10" t="e">
        <f>AND(#REF!,"AAAAAF//Z2A=")</f>
        <v>#REF!</v>
      </c>
      <c r="CT10" t="e">
        <f>AND(#REF!,"AAAAAF//Z2E=")</f>
        <v>#REF!</v>
      </c>
      <c r="CU10" t="e">
        <f>AND(#REF!,"AAAAAF//Z2I=")</f>
        <v>#REF!</v>
      </c>
      <c r="CV10" t="e">
        <f>AND(#REF!,"AAAAAF//Z2M=")</f>
        <v>#REF!</v>
      </c>
      <c r="CW10" t="e">
        <f>AND(#REF!,"AAAAAF//Z2Q=")</f>
        <v>#REF!</v>
      </c>
      <c r="CX10" t="e">
        <f>AND(#REF!,"AAAAAF//Z2U=")</f>
        <v>#REF!</v>
      </c>
      <c r="CY10" t="e">
        <f>AND(#REF!,"AAAAAF//Z2Y=")</f>
        <v>#REF!</v>
      </c>
      <c r="CZ10" t="e">
        <f>AND(#REF!,"AAAAAF//Z2c=")</f>
        <v>#REF!</v>
      </c>
      <c r="DA10" t="e">
        <f>AND(#REF!,"AAAAAF//Z2g=")</f>
        <v>#REF!</v>
      </c>
      <c r="DB10" t="e">
        <f>AND(#REF!,"AAAAAF//Z2k=")</f>
        <v>#REF!</v>
      </c>
      <c r="DC10" t="e">
        <f>AND(#REF!,"AAAAAF//Z2o=")</f>
        <v>#REF!</v>
      </c>
      <c r="DD10" t="e">
        <f>AND(#REF!,"AAAAAF//Z2s=")</f>
        <v>#REF!</v>
      </c>
      <c r="DE10" t="e">
        <f>AND(#REF!,"AAAAAF//Z2w=")</f>
        <v>#REF!</v>
      </c>
      <c r="DF10" t="e">
        <f>AND(#REF!,"AAAAAF//Z20=")</f>
        <v>#REF!</v>
      </c>
      <c r="DG10" t="e">
        <f>AND(#REF!,"AAAAAF//Z24=")</f>
        <v>#REF!</v>
      </c>
      <c r="DH10" t="e">
        <f>AND(#REF!,"AAAAAF//Z28=")</f>
        <v>#REF!</v>
      </c>
      <c r="DI10" t="e">
        <f>AND(#REF!,"AAAAAF//Z3A=")</f>
        <v>#REF!</v>
      </c>
      <c r="DJ10" t="e">
        <f>AND(#REF!,"AAAAAF//Z3E=")</f>
        <v>#REF!</v>
      </c>
      <c r="DK10" t="e">
        <f>AND(#REF!,"AAAAAF//Z3I=")</f>
        <v>#REF!</v>
      </c>
      <c r="DL10" t="e">
        <f>AND(#REF!,"AAAAAF//Z3M=")</f>
        <v>#REF!</v>
      </c>
      <c r="DM10" t="e">
        <f>AND(#REF!,"AAAAAF//Z3Q=")</f>
        <v>#REF!</v>
      </c>
      <c r="DN10" t="e">
        <f>IF(#REF!,"AAAAAF//Z3U=",0)</f>
        <v>#REF!</v>
      </c>
      <c r="DO10" t="e">
        <f>AND(#REF!,"AAAAAF//Z3Y=")</f>
        <v>#REF!</v>
      </c>
      <c r="DP10" t="e">
        <f>AND(#REF!,"AAAAAF//Z3c=")</f>
        <v>#REF!</v>
      </c>
      <c r="DQ10" t="e">
        <f>AND(#REF!,"AAAAAF//Z3g=")</f>
        <v>#REF!</v>
      </c>
      <c r="DR10" t="e">
        <f>AND(#REF!,"AAAAAF//Z3k=")</f>
        <v>#REF!</v>
      </c>
      <c r="DS10" t="e">
        <f>AND(#REF!,"AAAAAF//Z3o=")</f>
        <v>#REF!</v>
      </c>
      <c r="DT10" t="e">
        <f>AND(#REF!,"AAAAAF//Z3s=")</f>
        <v>#REF!</v>
      </c>
      <c r="DU10" t="e">
        <f>AND(#REF!,"AAAAAF//Z3w=")</f>
        <v>#REF!</v>
      </c>
      <c r="DV10" t="e">
        <f>AND(#REF!,"AAAAAF//Z30=")</f>
        <v>#REF!</v>
      </c>
      <c r="DW10" t="e">
        <f>AND(#REF!,"AAAAAF//Z34=")</f>
        <v>#REF!</v>
      </c>
      <c r="DX10" t="e">
        <f>AND(#REF!,"AAAAAF//Z38=")</f>
        <v>#REF!</v>
      </c>
      <c r="DY10" t="e">
        <f>AND(#REF!,"AAAAAF//Z4A=")</f>
        <v>#REF!</v>
      </c>
      <c r="DZ10" t="e">
        <f>AND(#REF!,"AAAAAF//Z4E=")</f>
        <v>#REF!</v>
      </c>
      <c r="EA10" t="e">
        <f>AND(#REF!,"AAAAAF//Z4I=")</f>
        <v>#REF!</v>
      </c>
      <c r="EB10" t="e">
        <f>AND(#REF!,"AAAAAF//Z4M=")</f>
        <v>#REF!</v>
      </c>
      <c r="EC10" t="e">
        <f>AND(#REF!,"AAAAAF//Z4Q=")</f>
        <v>#REF!</v>
      </c>
      <c r="ED10" t="e">
        <f>AND(#REF!,"AAAAAF//Z4U=")</f>
        <v>#REF!</v>
      </c>
      <c r="EE10" t="e">
        <f>AND(#REF!,"AAAAAF//Z4Y=")</f>
        <v>#REF!</v>
      </c>
      <c r="EF10" t="e">
        <f>AND(#REF!,"AAAAAF//Z4c=")</f>
        <v>#REF!</v>
      </c>
      <c r="EG10" t="e">
        <f>AND(#REF!,"AAAAAF//Z4g=")</f>
        <v>#REF!</v>
      </c>
      <c r="EH10" t="e">
        <f>AND(#REF!,"AAAAAF//Z4k=")</f>
        <v>#REF!</v>
      </c>
      <c r="EI10" t="e">
        <f>AND(#REF!,"AAAAAF//Z4o=")</f>
        <v>#REF!</v>
      </c>
      <c r="EJ10" t="e">
        <f>AND(#REF!,"AAAAAF//Z4s=")</f>
        <v>#REF!</v>
      </c>
      <c r="EK10" t="e">
        <f>AND(#REF!,"AAAAAF//Z4w=")</f>
        <v>#REF!</v>
      </c>
      <c r="EL10" t="e">
        <f>AND(#REF!,"AAAAAF//Z40=")</f>
        <v>#REF!</v>
      </c>
      <c r="EM10" t="e">
        <f>AND(#REF!,"AAAAAF//Z44=")</f>
        <v>#REF!</v>
      </c>
      <c r="EN10" t="e">
        <f>AND(#REF!,"AAAAAF//Z48=")</f>
        <v>#REF!</v>
      </c>
      <c r="EO10" t="e">
        <f>AND(#REF!,"AAAAAF//Z5A=")</f>
        <v>#REF!</v>
      </c>
      <c r="EP10" t="e">
        <f>AND(#REF!,"AAAAAF//Z5E=")</f>
        <v>#REF!</v>
      </c>
      <c r="EQ10" t="e">
        <f>AND(#REF!,"AAAAAF//Z5I=")</f>
        <v>#REF!</v>
      </c>
      <c r="ER10" t="e">
        <f>AND(#REF!,"AAAAAF//Z5M=")</f>
        <v>#REF!</v>
      </c>
      <c r="ES10" t="e">
        <f>AND(#REF!,"AAAAAF//Z5Q=")</f>
        <v>#REF!</v>
      </c>
      <c r="ET10" t="e">
        <f>AND(#REF!,"AAAAAF//Z5U=")</f>
        <v>#REF!</v>
      </c>
      <c r="EU10" t="e">
        <f>AND(#REF!,"AAAAAF//Z5Y=")</f>
        <v>#REF!</v>
      </c>
      <c r="EV10" t="e">
        <f>AND(#REF!,"AAAAAF//Z5c=")</f>
        <v>#REF!</v>
      </c>
      <c r="EW10" t="e">
        <f>AND(#REF!,"AAAAAF//Z5g=")</f>
        <v>#REF!</v>
      </c>
      <c r="EX10" t="e">
        <f>AND(#REF!,"AAAAAF//Z5k=")</f>
        <v>#REF!</v>
      </c>
      <c r="EY10" t="e">
        <f>AND(#REF!,"AAAAAF//Z5o=")</f>
        <v>#REF!</v>
      </c>
      <c r="EZ10" t="e">
        <f>AND(#REF!,"AAAAAF//Z5s=")</f>
        <v>#REF!</v>
      </c>
      <c r="FA10" t="e">
        <f>AND(#REF!,"AAAAAF//Z5w=")</f>
        <v>#REF!</v>
      </c>
      <c r="FB10" t="e">
        <f>AND(#REF!,"AAAAAF//Z50=")</f>
        <v>#REF!</v>
      </c>
      <c r="FC10" t="e">
        <f>IF(#REF!,"AAAAAF//Z54=",0)</f>
        <v>#REF!</v>
      </c>
      <c r="FD10" t="e">
        <f>AND(#REF!,"AAAAAF//Z58=")</f>
        <v>#REF!</v>
      </c>
      <c r="FE10" t="e">
        <f>AND(#REF!,"AAAAAF//Z6A=")</f>
        <v>#REF!</v>
      </c>
      <c r="FF10" t="e">
        <f>AND(#REF!,"AAAAAF//Z6E=")</f>
        <v>#REF!</v>
      </c>
      <c r="FG10" t="e">
        <f>AND(#REF!,"AAAAAF//Z6I=")</f>
        <v>#REF!</v>
      </c>
      <c r="FH10" t="e">
        <f>AND(#REF!,"AAAAAF//Z6M=")</f>
        <v>#REF!</v>
      </c>
      <c r="FI10" t="e">
        <f>AND(#REF!,"AAAAAF//Z6Q=")</f>
        <v>#REF!</v>
      </c>
      <c r="FJ10" t="e">
        <f>AND(#REF!,"AAAAAF//Z6U=")</f>
        <v>#REF!</v>
      </c>
      <c r="FK10" t="e">
        <f>AND(#REF!,"AAAAAF//Z6Y=")</f>
        <v>#REF!</v>
      </c>
      <c r="FL10" t="e">
        <f>AND(#REF!,"AAAAAF//Z6c=")</f>
        <v>#REF!</v>
      </c>
      <c r="FM10" t="e">
        <f>AND(#REF!,"AAAAAF//Z6g=")</f>
        <v>#REF!</v>
      </c>
      <c r="FN10" t="e">
        <f>AND(#REF!,"AAAAAF//Z6k=")</f>
        <v>#REF!</v>
      </c>
      <c r="FO10" t="e">
        <f>AND(#REF!,"AAAAAF//Z6o=")</f>
        <v>#REF!</v>
      </c>
      <c r="FP10" t="e">
        <f>AND(#REF!,"AAAAAF//Z6s=")</f>
        <v>#REF!</v>
      </c>
      <c r="FQ10" t="e">
        <f>AND(#REF!,"AAAAAF//Z6w=")</f>
        <v>#REF!</v>
      </c>
      <c r="FR10" t="e">
        <f>AND(#REF!,"AAAAAF//Z60=")</f>
        <v>#REF!</v>
      </c>
      <c r="FS10" t="e">
        <f>AND(#REF!,"AAAAAF//Z64=")</f>
        <v>#REF!</v>
      </c>
      <c r="FT10" t="e">
        <f>AND(#REF!,"AAAAAF//Z68=")</f>
        <v>#REF!</v>
      </c>
      <c r="FU10" t="e">
        <f>AND(#REF!,"AAAAAF//Z7A=")</f>
        <v>#REF!</v>
      </c>
      <c r="FV10" t="e">
        <f>AND(#REF!,"AAAAAF//Z7E=")</f>
        <v>#REF!</v>
      </c>
      <c r="FW10" t="e">
        <f>AND(#REF!,"AAAAAF//Z7I=")</f>
        <v>#REF!</v>
      </c>
      <c r="FX10" t="e">
        <f>AND(#REF!,"AAAAAF//Z7M=")</f>
        <v>#REF!</v>
      </c>
      <c r="FY10" t="e">
        <f>AND(#REF!,"AAAAAF//Z7Q=")</f>
        <v>#REF!</v>
      </c>
      <c r="FZ10" t="e">
        <f>AND(#REF!,"AAAAAF//Z7U=")</f>
        <v>#REF!</v>
      </c>
      <c r="GA10" t="e">
        <f>AND(#REF!,"AAAAAF//Z7Y=")</f>
        <v>#REF!</v>
      </c>
      <c r="GB10" t="e">
        <f>AND(#REF!,"AAAAAF//Z7c=")</f>
        <v>#REF!</v>
      </c>
      <c r="GC10" t="e">
        <f>AND(#REF!,"AAAAAF//Z7g=")</f>
        <v>#REF!</v>
      </c>
      <c r="GD10" t="e">
        <f>AND(#REF!,"AAAAAF//Z7k=")</f>
        <v>#REF!</v>
      </c>
      <c r="GE10" t="e">
        <f>AND(#REF!,"AAAAAF//Z7o=")</f>
        <v>#REF!</v>
      </c>
      <c r="GF10" t="e">
        <f>AND(#REF!,"AAAAAF//Z7s=")</f>
        <v>#REF!</v>
      </c>
      <c r="GG10" t="e">
        <f>AND(#REF!,"AAAAAF//Z7w=")</f>
        <v>#REF!</v>
      </c>
      <c r="GH10" t="e">
        <f>AND(#REF!,"AAAAAF//Z70=")</f>
        <v>#REF!</v>
      </c>
      <c r="GI10" t="e">
        <f>AND(#REF!,"AAAAAF//Z74=")</f>
        <v>#REF!</v>
      </c>
      <c r="GJ10" t="e">
        <f>AND(#REF!,"AAAAAF//Z78=")</f>
        <v>#REF!</v>
      </c>
      <c r="GK10" t="e">
        <f>AND(#REF!,"AAAAAF//Z8A=")</f>
        <v>#REF!</v>
      </c>
      <c r="GL10" t="e">
        <f>AND(#REF!,"AAAAAF//Z8E=")</f>
        <v>#REF!</v>
      </c>
      <c r="GM10" t="e">
        <f>AND(#REF!,"AAAAAF//Z8I=")</f>
        <v>#REF!</v>
      </c>
      <c r="GN10" t="e">
        <f>AND(#REF!,"AAAAAF//Z8M=")</f>
        <v>#REF!</v>
      </c>
      <c r="GO10" t="e">
        <f>AND(#REF!,"AAAAAF//Z8Q=")</f>
        <v>#REF!</v>
      </c>
      <c r="GP10" t="e">
        <f>AND(#REF!,"AAAAAF//Z8U=")</f>
        <v>#REF!</v>
      </c>
      <c r="GQ10" t="e">
        <f>AND(#REF!,"AAAAAF//Z8Y=")</f>
        <v>#REF!</v>
      </c>
      <c r="GR10" t="e">
        <f>IF(#REF!,"AAAAAF//Z8c=",0)</f>
        <v>#REF!</v>
      </c>
      <c r="GS10" t="e">
        <f>AND(#REF!,"AAAAAF//Z8g=")</f>
        <v>#REF!</v>
      </c>
      <c r="GT10" t="e">
        <f>AND(#REF!,"AAAAAF//Z8k=")</f>
        <v>#REF!</v>
      </c>
      <c r="GU10" t="e">
        <f>AND(#REF!,"AAAAAF//Z8o=")</f>
        <v>#REF!</v>
      </c>
      <c r="GV10" t="e">
        <f>AND(#REF!,"AAAAAF//Z8s=")</f>
        <v>#REF!</v>
      </c>
      <c r="GW10" t="e">
        <f>AND(#REF!,"AAAAAF//Z8w=")</f>
        <v>#REF!</v>
      </c>
      <c r="GX10" t="e">
        <f>AND(#REF!,"AAAAAF//Z80=")</f>
        <v>#REF!</v>
      </c>
      <c r="GY10" t="e">
        <f>AND(#REF!,"AAAAAF//Z84=")</f>
        <v>#REF!</v>
      </c>
      <c r="GZ10" t="e">
        <f>AND(#REF!,"AAAAAF//Z88=")</f>
        <v>#REF!</v>
      </c>
      <c r="HA10" t="e">
        <f>AND(#REF!,"AAAAAF//Z9A=")</f>
        <v>#REF!</v>
      </c>
      <c r="HB10" t="e">
        <f>AND(#REF!,"AAAAAF//Z9E=")</f>
        <v>#REF!</v>
      </c>
      <c r="HC10" t="e">
        <f>AND(#REF!,"AAAAAF//Z9I=")</f>
        <v>#REF!</v>
      </c>
      <c r="HD10" t="e">
        <f>AND(#REF!,"AAAAAF//Z9M=")</f>
        <v>#REF!</v>
      </c>
      <c r="HE10" t="e">
        <f>AND(#REF!,"AAAAAF//Z9Q=")</f>
        <v>#REF!</v>
      </c>
      <c r="HF10" t="e">
        <f>AND(#REF!,"AAAAAF//Z9U=")</f>
        <v>#REF!</v>
      </c>
      <c r="HG10" t="e">
        <f>AND(#REF!,"AAAAAF//Z9Y=")</f>
        <v>#REF!</v>
      </c>
      <c r="HH10" t="e">
        <f>AND(#REF!,"AAAAAF//Z9c=")</f>
        <v>#REF!</v>
      </c>
      <c r="HI10" t="e">
        <f>AND(#REF!,"AAAAAF//Z9g=")</f>
        <v>#REF!</v>
      </c>
      <c r="HJ10" t="e">
        <f>AND(#REF!,"AAAAAF//Z9k=")</f>
        <v>#REF!</v>
      </c>
      <c r="HK10" t="e">
        <f>AND(#REF!,"AAAAAF//Z9o=")</f>
        <v>#REF!</v>
      </c>
      <c r="HL10" t="e">
        <f>AND(#REF!,"AAAAAF//Z9s=")</f>
        <v>#REF!</v>
      </c>
      <c r="HM10" t="e">
        <f>AND(#REF!,"AAAAAF//Z9w=")</f>
        <v>#REF!</v>
      </c>
      <c r="HN10" t="e">
        <f>AND(#REF!,"AAAAAF//Z90=")</f>
        <v>#REF!</v>
      </c>
      <c r="HO10" t="e">
        <f>AND(#REF!,"AAAAAF//Z94=")</f>
        <v>#REF!</v>
      </c>
      <c r="HP10" t="e">
        <f>AND(#REF!,"AAAAAF//Z98=")</f>
        <v>#REF!</v>
      </c>
      <c r="HQ10" t="e">
        <f>AND(#REF!,"AAAAAF//Z+A=")</f>
        <v>#REF!</v>
      </c>
      <c r="HR10" t="e">
        <f>AND(#REF!,"AAAAAF//Z+E=")</f>
        <v>#REF!</v>
      </c>
      <c r="HS10" t="e">
        <f>AND(#REF!,"AAAAAF//Z+I=")</f>
        <v>#REF!</v>
      </c>
      <c r="HT10" t="e">
        <f>AND(#REF!,"AAAAAF//Z+M=")</f>
        <v>#REF!</v>
      </c>
      <c r="HU10" t="e">
        <f>AND(#REF!,"AAAAAF//Z+Q=")</f>
        <v>#REF!</v>
      </c>
      <c r="HV10" t="e">
        <f>AND(#REF!,"AAAAAF//Z+U=")</f>
        <v>#REF!</v>
      </c>
      <c r="HW10" t="e">
        <f>AND(#REF!,"AAAAAF//Z+Y=")</f>
        <v>#REF!</v>
      </c>
      <c r="HX10" t="e">
        <f>AND(#REF!,"AAAAAF//Z+c=")</f>
        <v>#REF!</v>
      </c>
      <c r="HY10" t="e">
        <f>AND(#REF!,"AAAAAF//Z+g=")</f>
        <v>#REF!</v>
      </c>
      <c r="HZ10" t="e">
        <f>AND(#REF!,"AAAAAF//Z+k=")</f>
        <v>#REF!</v>
      </c>
      <c r="IA10" t="e">
        <f>AND(#REF!,"AAAAAF//Z+o=")</f>
        <v>#REF!</v>
      </c>
      <c r="IB10" t="e">
        <f>AND(#REF!,"AAAAAF//Z+s=")</f>
        <v>#REF!</v>
      </c>
      <c r="IC10" t="e">
        <f>AND(#REF!,"AAAAAF//Z+w=")</f>
        <v>#REF!</v>
      </c>
      <c r="ID10" t="e">
        <f>AND(#REF!,"AAAAAF//Z+0=")</f>
        <v>#REF!</v>
      </c>
      <c r="IE10" t="e">
        <f>AND(#REF!,"AAAAAF//Z+4=")</f>
        <v>#REF!</v>
      </c>
      <c r="IF10" t="e">
        <f>AND(#REF!,"AAAAAF//Z+8=")</f>
        <v>#REF!</v>
      </c>
      <c r="IG10" t="e">
        <f>IF(#REF!,"AAAAAF//Z/A=",0)</f>
        <v>#REF!</v>
      </c>
      <c r="IH10" t="e">
        <f>AND(#REF!,"AAAAAF//Z/E=")</f>
        <v>#REF!</v>
      </c>
      <c r="II10" t="e">
        <f>AND(#REF!,"AAAAAF//Z/I=")</f>
        <v>#REF!</v>
      </c>
      <c r="IJ10" t="e">
        <f>AND(#REF!,"AAAAAF//Z/M=")</f>
        <v>#REF!</v>
      </c>
      <c r="IK10" t="e">
        <f>AND(#REF!,"AAAAAF//Z/Q=")</f>
        <v>#REF!</v>
      </c>
      <c r="IL10" t="e">
        <f>AND(#REF!,"AAAAAF//Z/U=")</f>
        <v>#REF!</v>
      </c>
      <c r="IM10" t="e">
        <f>AND(#REF!,"AAAAAF//Z/Y=")</f>
        <v>#REF!</v>
      </c>
      <c r="IN10" t="e">
        <f>AND(#REF!,"AAAAAF//Z/c=")</f>
        <v>#REF!</v>
      </c>
      <c r="IO10" t="e">
        <f>AND(#REF!,"AAAAAF//Z/g=")</f>
        <v>#REF!</v>
      </c>
      <c r="IP10" t="e">
        <f>AND(#REF!,"AAAAAF//Z/k=")</f>
        <v>#REF!</v>
      </c>
      <c r="IQ10" t="e">
        <f>AND(#REF!,"AAAAAF//Z/o=")</f>
        <v>#REF!</v>
      </c>
      <c r="IR10" t="e">
        <f>AND(#REF!,"AAAAAF//Z/s=")</f>
        <v>#REF!</v>
      </c>
      <c r="IS10" t="e">
        <f>AND(#REF!,"AAAAAF//Z/w=")</f>
        <v>#REF!</v>
      </c>
      <c r="IT10" t="e">
        <f>AND(#REF!,"AAAAAF//Z/0=")</f>
        <v>#REF!</v>
      </c>
      <c r="IU10" t="e">
        <f>AND(#REF!,"AAAAAF//Z/4=")</f>
        <v>#REF!</v>
      </c>
      <c r="IV10" t="e">
        <f>AND(#REF!,"AAAAAF//Z/8=")</f>
        <v>#REF!</v>
      </c>
    </row>
    <row r="11" spans="1:256" x14ac:dyDescent="0.2">
      <c r="A11" t="e">
        <f>AND(#REF!,"AAAAAD917wA=")</f>
        <v>#REF!</v>
      </c>
      <c r="B11" t="e">
        <f>AND(#REF!,"AAAAAD917wE=")</f>
        <v>#REF!</v>
      </c>
      <c r="C11" t="e">
        <f>AND(#REF!,"AAAAAD917wI=")</f>
        <v>#REF!</v>
      </c>
      <c r="D11" t="e">
        <f>AND(#REF!,"AAAAAD917wM=")</f>
        <v>#REF!</v>
      </c>
      <c r="E11" t="e">
        <f>AND(#REF!,"AAAAAD917wQ=")</f>
        <v>#REF!</v>
      </c>
      <c r="F11" t="e">
        <f>AND(#REF!,"AAAAAD917wU=")</f>
        <v>#REF!</v>
      </c>
      <c r="G11" t="e">
        <f>AND(#REF!,"AAAAAD917wY=")</f>
        <v>#REF!</v>
      </c>
      <c r="H11" t="e">
        <f>AND(#REF!,"AAAAAD917wc=")</f>
        <v>#REF!</v>
      </c>
      <c r="I11" t="e">
        <f>AND(#REF!,"AAAAAD917wg=")</f>
        <v>#REF!</v>
      </c>
      <c r="J11" t="e">
        <f>AND(#REF!,"AAAAAD917wk=")</f>
        <v>#REF!</v>
      </c>
      <c r="K11" t="e">
        <f>AND(#REF!,"AAAAAD917wo=")</f>
        <v>#REF!</v>
      </c>
      <c r="L11" t="e">
        <f>AND(#REF!,"AAAAAD917ws=")</f>
        <v>#REF!</v>
      </c>
      <c r="M11" t="e">
        <f>AND(#REF!,"AAAAAD917ww=")</f>
        <v>#REF!</v>
      </c>
      <c r="N11" t="e">
        <f>AND(#REF!,"AAAAAD917w0=")</f>
        <v>#REF!</v>
      </c>
      <c r="O11" t="e">
        <f>AND(#REF!,"AAAAAD917w4=")</f>
        <v>#REF!</v>
      </c>
      <c r="P11" t="e">
        <f>AND(#REF!,"AAAAAD917w8=")</f>
        <v>#REF!</v>
      </c>
      <c r="Q11" t="e">
        <f>AND(#REF!,"AAAAAD917xA=")</f>
        <v>#REF!</v>
      </c>
      <c r="R11" t="e">
        <f>AND(#REF!,"AAAAAD917xE=")</f>
        <v>#REF!</v>
      </c>
      <c r="S11" t="e">
        <f>AND(#REF!,"AAAAAD917xI=")</f>
        <v>#REF!</v>
      </c>
      <c r="T11" t="e">
        <f>AND(#REF!,"AAAAAD917xM=")</f>
        <v>#REF!</v>
      </c>
      <c r="U11" t="e">
        <f>AND(#REF!,"AAAAAD917xQ=")</f>
        <v>#REF!</v>
      </c>
      <c r="V11" t="e">
        <f>AND(#REF!,"AAAAAD917xU=")</f>
        <v>#REF!</v>
      </c>
      <c r="W11" t="e">
        <f>AND(#REF!,"AAAAAD917xY=")</f>
        <v>#REF!</v>
      </c>
      <c r="X11" t="e">
        <f>AND(#REF!,"AAAAAD917xc=")</f>
        <v>#REF!</v>
      </c>
      <c r="Y11" t="e">
        <f>AND(#REF!,"AAAAAD917xg=")</f>
        <v>#REF!</v>
      </c>
      <c r="Z11" t="e">
        <f>IF(#REF!,"AAAAAD917xk=",0)</f>
        <v>#REF!</v>
      </c>
      <c r="AA11" t="e">
        <f>AND(#REF!,"AAAAAD917xo=")</f>
        <v>#REF!</v>
      </c>
      <c r="AB11" t="e">
        <f>AND(#REF!,"AAAAAD917xs=")</f>
        <v>#REF!</v>
      </c>
      <c r="AC11" t="e">
        <f>AND(#REF!,"AAAAAD917xw=")</f>
        <v>#REF!</v>
      </c>
      <c r="AD11" t="e">
        <f>AND(#REF!,"AAAAAD917x0=")</f>
        <v>#REF!</v>
      </c>
      <c r="AE11" t="e">
        <f>AND(#REF!,"AAAAAD917x4=")</f>
        <v>#REF!</v>
      </c>
      <c r="AF11" t="e">
        <f>AND(#REF!,"AAAAAD917x8=")</f>
        <v>#REF!</v>
      </c>
      <c r="AG11" t="e">
        <f>AND(#REF!,"AAAAAD917yA=")</f>
        <v>#REF!</v>
      </c>
      <c r="AH11" t="e">
        <f>AND(#REF!,"AAAAAD917yE=")</f>
        <v>#REF!</v>
      </c>
      <c r="AI11" t="e">
        <f>AND(#REF!,"AAAAAD917yI=")</f>
        <v>#REF!</v>
      </c>
      <c r="AJ11" t="e">
        <f>AND(#REF!,"AAAAAD917yM=")</f>
        <v>#REF!</v>
      </c>
      <c r="AK11" t="e">
        <f>AND(#REF!,"AAAAAD917yQ=")</f>
        <v>#REF!</v>
      </c>
      <c r="AL11" t="e">
        <f>AND(#REF!,"AAAAAD917yU=")</f>
        <v>#REF!</v>
      </c>
      <c r="AM11" t="e">
        <f>AND(#REF!,"AAAAAD917yY=")</f>
        <v>#REF!</v>
      </c>
      <c r="AN11" t="e">
        <f>AND(#REF!,"AAAAAD917yc=")</f>
        <v>#REF!</v>
      </c>
      <c r="AO11" t="e">
        <f>AND(#REF!,"AAAAAD917yg=")</f>
        <v>#REF!</v>
      </c>
      <c r="AP11" t="e">
        <f>AND(#REF!,"AAAAAD917yk=")</f>
        <v>#REF!</v>
      </c>
      <c r="AQ11" t="e">
        <f>AND(#REF!,"AAAAAD917yo=")</f>
        <v>#REF!</v>
      </c>
      <c r="AR11" t="e">
        <f>AND(#REF!,"AAAAAD917ys=")</f>
        <v>#REF!</v>
      </c>
      <c r="AS11" t="e">
        <f>AND(#REF!,"AAAAAD917yw=")</f>
        <v>#REF!</v>
      </c>
      <c r="AT11" t="e">
        <f>AND(#REF!,"AAAAAD917y0=")</f>
        <v>#REF!</v>
      </c>
      <c r="AU11" t="e">
        <f>AND(#REF!,"AAAAAD917y4=")</f>
        <v>#REF!</v>
      </c>
      <c r="AV11" t="e">
        <f>AND(#REF!,"AAAAAD917y8=")</f>
        <v>#REF!</v>
      </c>
      <c r="AW11" t="e">
        <f>AND(#REF!,"AAAAAD917zA=")</f>
        <v>#REF!</v>
      </c>
      <c r="AX11" t="e">
        <f>AND(#REF!,"AAAAAD917zE=")</f>
        <v>#REF!</v>
      </c>
      <c r="AY11" t="e">
        <f>AND(#REF!,"AAAAAD917zI=")</f>
        <v>#REF!</v>
      </c>
      <c r="AZ11" t="e">
        <f>AND(#REF!,"AAAAAD917zM=")</f>
        <v>#REF!</v>
      </c>
      <c r="BA11" t="e">
        <f>AND(#REF!,"AAAAAD917zQ=")</f>
        <v>#REF!</v>
      </c>
      <c r="BB11" t="e">
        <f>AND(#REF!,"AAAAAD917zU=")</f>
        <v>#REF!</v>
      </c>
      <c r="BC11" t="e">
        <f>AND(#REF!,"AAAAAD917zY=")</f>
        <v>#REF!</v>
      </c>
      <c r="BD11" t="e">
        <f>AND(#REF!,"AAAAAD917zc=")</f>
        <v>#REF!</v>
      </c>
      <c r="BE11" t="e">
        <f>AND(#REF!,"AAAAAD917zg=")</f>
        <v>#REF!</v>
      </c>
      <c r="BF11" t="e">
        <f>AND(#REF!,"AAAAAD917zk=")</f>
        <v>#REF!</v>
      </c>
      <c r="BG11" t="e">
        <f>AND(#REF!,"AAAAAD917zo=")</f>
        <v>#REF!</v>
      </c>
      <c r="BH11" t="e">
        <f>AND(#REF!,"AAAAAD917zs=")</f>
        <v>#REF!</v>
      </c>
      <c r="BI11" t="e">
        <f>AND(#REF!,"AAAAAD917zw=")</f>
        <v>#REF!</v>
      </c>
      <c r="BJ11" t="e">
        <f>AND(#REF!,"AAAAAD917z0=")</f>
        <v>#REF!</v>
      </c>
      <c r="BK11" t="e">
        <f>AND(#REF!,"AAAAAD917z4=")</f>
        <v>#REF!</v>
      </c>
      <c r="BL11" t="e">
        <f>AND(#REF!,"AAAAAD917z8=")</f>
        <v>#REF!</v>
      </c>
      <c r="BM11" t="e">
        <f>AND(#REF!,"AAAAAD9170A=")</f>
        <v>#REF!</v>
      </c>
      <c r="BN11" t="e">
        <f>AND(#REF!,"AAAAAD9170E=")</f>
        <v>#REF!</v>
      </c>
      <c r="BO11" t="e">
        <f>IF(#REF!,"AAAAAD9170I=",0)</f>
        <v>#REF!</v>
      </c>
      <c r="BP11" t="e">
        <f>AND(#REF!,"AAAAAD9170M=")</f>
        <v>#REF!</v>
      </c>
      <c r="BQ11" t="e">
        <f>AND(#REF!,"AAAAAD9170Q=")</f>
        <v>#REF!</v>
      </c>
      <c r="BR11" t="e">
        <f>AND(#REF!,"AAAAAD9170U=")</f>
        <v>#REF!</v>
      </c>
      <c r="BS11" t="e">
        <f>AND(#REF!,"AAAAAD9170Y=")</f>
        <v>#REF!</v>
      </c>
      <c r="BT11" t="e">
        <f>AND(#REF!,"AAAAAD9170c=")</f>
        <v>#REF!</v>
      </c>
      <c r="BU11" t="e">
        <f>AND(#REF!,"AAAAAD9170g=")</f>
        <v>#REF!</v>
      </c>
      <c r="BV11" t="e">
        <f>AND(#REF!,"AAAAAD9170k=")</f>
        <v>#REF!</v>
      </c>
      <c r="BW11" t="e">
        <f>AND(#REF!,"AAAAAD9170o=")</f>
        <v>#REF!</v>
      </c>
      <c r="BX11" t="e">
        <f>AND(#REF!,"AAAAAD9170s=")</f>
        <v>#REF!</v>
      </c>
      <c r="BY11" t="e">
        <f>AND(#REF!,"AAAAAD9170w=")</f>
        <v>#REF!</v>
      </c>
      <c r="BZ11" t="e">
        <f>AND(#REF!,"AAAAAD91700=")</f>
        <v>#REF!</v>
      </c>
      <c r="CA11" t="e">
        <f>AND(#REF!,"AAAAAD91704=")</f>
        <v>#REF!</v>
      </c>
      <c r="CB11" t="e">
        <f>AND(#REF!,"AAAAAD91708=")</f>
        <v>#REF!</v>
      </c>
      <c r="CC11" t="e">
        <f>AND(#REF!,"AAAAAD9171A=")</f>
        <v>#REF!</v>
      </c>
      <c r="CD11" t="e">
        <f>AND(#REF!,"AAAAAD9171E=")</f>
        <v>#REF!</v>
      </c>
      <c r="CE11" t="e">
        <f>AND(#REF!,"AAAAAD9171I=")</f>
        <v>#REF!</v>
      </c>
      <c r="CF11" t="e">
        <f>AND(#REF!,"AAAAAD9171M=")</f>
        <v>#REF!</v>
      </c>
      <c r="CG11" t="e">
        <f>AND(#REF!,"AAAAAD9171Q=")</f>
        <v>#REF!</v>
      </c>
      <c r="CH11" t="e">
        <f>AND(#REF!,"AAAAAD9171U=")</f>
        <v>#REF!</v>
      </c>
      <c r="CI11" t="e">
        <f>AND(#REF!,"AAAAAD9171Y=")</f>
        <v>#REF!</v>
      </c>
      <c r="CJ11" t="e">
        <f>AND(#REF!,"AAAAAD9171c=")</f>
        <v>#REF!</v>
      </c>
      <c r="CK11" t="e">
        <f>AND(#REF!,"AAAAAD9171g=")</f>
        <v>#REF!</v>
      </c>
      <c r="CL11" t="e">
        <f>AND(#REF!,"AAAAAD9171k=")</f>
        <v>#REF!</v>
      </c>
      <c r="CM11" t="e">
        <f>AND(#REF!,"AAAAAD9171o=")</f>
        <v>#REF!</v>
      </c>
      <c r="CN11" t="e">
        <f>AND(#REF!,"AAAAAD9171s=")</f>
        <v>#REF!</v>
      </c>
      <c r="CO11" t="e">
        <f>AND(#REF!,"AAAAAD9171w=")</f>
        <v>#REF!</v>
      </c>
      <c r="CP11" t="e">
        <f>AND(#REF!,"AAAAAD91710=")</f>
        <v>#REF!</v>
      </c>
      <c r="CQ11" t="e">
        <f>AND(#REF!,"AAAAAD91714=")</f>
        <v>#REF!</v>
      </c>
      <c r="CR11" t="e">
        <f>AND(#REF!,"AAAAAD91718=")</f>
        <v>#REF!</v>
      </c>
      <c r="CS11" t="e">
        <f>AND(#REF!,"AAAAAD9172A=")</f>
        <v>#REF!</v>
      </c>
      <c r="CT11" t="e">
        <f>AND(#REF!,"AAAAAD9172E=")</f>
        <v>#REF!</v>
      </c>
      <c r="CU11" t="e">
        <f>AND(#REF!,"AAAAAD9172I=")</f>
        <v>#REF!</v>
      </c>
      <c r="CV11" t="e">
        <f>AND(#REF!,"AAAAAD9172M=")</f>
        <v>#REF!</v>
      </c>
      <c r="CW11" t="e">
        <f>AND(#REF!,"AAAAAD9172Q=")</f>
        <v>#REF!</v>
      </c>
      <c r="CX11" t="e">
        <f>AND(#REF!,"AAAAAD9172U=")</f>
        <v>#REF!</v>
      </c>
      <c r="CY11" t="e">
        <f>AND(#REF!,"AAAAAD9172Y=")</f>
        <v>#REF!</v>
      </c>
      <c r="CZ11" t="e">
        <f>AND(#REF!,"AAAAAD9172c=")</f>
        <v>#REF!</v>
      </c>
      <c r="DA11" t="e">
        <f>AND(#REF!,"AAAAAD9172g=")</f>
        <v>#REF!</v>
      </c>
      <c r="DB11" t="e">
        <f>AND(#REF!,"AAAAAD9172k=")</f>
        <v>#REF!</v>
      </c>
      <c r="DC11" t="e">
        <f>AND(#REF!,"AAAAAD9172o=")</f>
        <v>#REF!</v>
      </c>
      <c r="DD11" t="e">
        <f>IF(#REF!,"AAAAAD9172s=",0)</f>
        <v>#REF!</v>
      </c>
      <c r="DE11" t="e">
        <f>AND(#REF!,"AAAAAD9172w=")</f>
        <v>#REF!</v>
      </c>
      <c r="DF11" t="e">
        <f>AND(#REF!,"AAAAAD91720=")</f>
        <v>#REF!</v>
      </c>
      <c r="DG11" t="e">
        <f>AND(#REF!,"AAAAAD91724=")</f>
        <v>#REF!</v>
      </c>
      <c r="DH11" t="e">
        <f>AND(#REF!,"AAAAAD91728=")</f>
        <v>#REF!</v>
      </c>
      <c r="DI11" t="e">
        <f>AND(#REF!,"AAAAAD9173A=")</f>
        <v>#REF!</v>
      </c>
      <c r="DJ11" t="e">
        <f>AND(#REF!,"AAAAAD9173E=")</f>
        <v>#REF!</v>
      </c>
      <c r="DK11" t="e">
        <f>AND(#REF!,"AAAAAD9173I=")</f>
        <v>#REF!</v>
      </c>
      <c r="DL11" t="e">
        <f>AND(#REF!,"AAAAAD9173M=")</f>
        <v>#REF!</v>
      </c>
      <c r="DM11" t="e">
        <f>AND(#REF!,"AAAAAD9173Q=")</f>
        <v>#REF!</v>
      </c>
      <c r="DN11" t="e">
        <f>AND(#REF!,"AAAAAD9173U=")</f>
        <v>#REF!</v>
      </c>
      <c r="DO11" t="e">
        <f>AND(#REF!,"AAAAAD9173Y=")</f>
        <v>#REF!</v>
      </c>
      <c r="DP11" t="e">
        <f>AND(#REF!,"AAAAAD9173c=")</f>
        <v>#REF!</v>
      </c>
      <c r="DQ11" t="e">
        <f>AND(#REF!,"AAAAAD9173g=")</f>
        <v>#REF!</v>
      </c>
      <c r="DR11" t="e">
        <f>AND(#REF!,"AAAAAD9173k=")</f>
        <v>#REF!</v>
      </c>
      <c r="DS11" t="e">
        <f>AND(#REF!,"AAAAAD9173o=")</f>
        <v>#REF!</v>
      </c>
      <c r="DT11" t="e">
        <f>AND(#REF!,"AAAAAD9173s=")</f>
        <v>#REF!</v>
      </c>
      <c r="DU11" t="e">
        <f>AND(#REF!,"AAAAAD9173w=")</f>
        <v>#REF!</v>
      </c>
      <c r="DV11" t="e">
        <f>AND(#REF!,"AAAAAD91730=")</f>
        <v>#REF!</v>
      </c>
      <c r="DW11" t="e">
        <f>AND(#REF!,"AAAAAD91734=")</f>
        <v>#REF!</v>
      </c>
      <c r="DX11" t="e">
        <f>AND(#REF!,"AAAAAD91738=")</f>
        <v>#REF!</v>
      </c>
      <c r="DY11" t="e">
        <f>AND(#REF!,"AAAAAD9174A=")</f>
        <v>#REF!</v>
      </c>
      <c r="DZ11" t="e">
        <f>AND(#REF!,"AAAAAD9174E=")</f>
        <v>#REF!</v>
      </c>
      <c r="EA11" t="e">
        <f>AND(#REF!,"AAAAAD9174I=")</f>
        <v>#REF!</v>
      </c>
      <c r="EB11" t="e">
        <f>AND(#REF!,"AAAAAD9174M=")</f>
        <v>#REF!</v>
      </c>
      <c r="EC11" t="e">
        <f>AND(#REF!,"AAAAAD9174Q=")</f>
        <v>#REF!</v>
      </c>
      <c r="ED11" t="e">
        <f>AND(#REF!,"AAAAAD9174U=")</f>
        <v>#REF!</v>
      </c>
      <c r="EE11" t="e">
        <f>AND(#REF!,"AAAAAD9174Y=")</f>
        <v>#REF!</v>
      </c>
      <c r="EF11" t="e">
        <f>AND(#REF!,"AAAAAD9174c=")</f>
        <v>#REF!</v>
      </c>
      <c r="EG11" t="e">
        <f>AND(#REF!,"AAAAAD9174g=")</f>
        <v>#REF!</v>
      </c>
      <c r="EH11" t="e">
        <f>AND(#REF!,"AAAAAD9174k=")</f>
        <v>#REF!</v>
      </c>
      <c r="EI11" t="e">
        <f>AND(#REF!,"AAAAAD9174o=")</f>
        <v>#REF!</v>
      </c>
      <c r="EJ11" t="e">
        <f>AND(#REF!,"AAAAAD9174s=")</f>
        <v>#REF!</v>
      </c>
      <c r="EK11" t="e">
        <f>AND(#REF!,"AAAAAD9174w=")</f>
        <v>#REF!</v>
      </c>
      <c r="EL11" t="e">
        <f>AND(#REF!,"AAAAAD91740=")</f>
        <v>#REF!</v>
      </c>
      <c r="EM11" t="e">
        <f>AND(#REF!,"AAAAAD91744=")</f>
        <v>#REF!</v>
      </c>
      <c r="EN11" t="e">
        <f>AND(#REF!,"AAAAAD91748=")</f>
        <v>#REF!</v>
      </c>
      <c r="EO11" t="e">
        <f>AND(#REF!,"AAAAAD9175A=")</f>
        <v>#REF!</v>
      </c>
      <c r="EP11" t="e">
        <f>AND(#REF!,"AAAAAD9175E=")</f>
        <v>#REF!</v>
      </c>
      <c r="EQ11" t="e">
        <f>AND(#REF!,"AAAAAD9175I=")</f>
        <v>#REF!</v>
      </c>
      <c r="ER11" t="e">
        <f>AND(#REF!,"AAAAAD9175M=")</f>
        <v>#REF!</v>
      </c>
      <c r="ES11" t="e">
        <f>IF(#REF!,"AAAAAD9175Q=",0)</f>
        <v>#REF!</v>
      </c>
      <c r="ET11" t="e">
        <f>AND(#REF!,"AAAAAD9175U=")</f>
        <v>#REF!</v>
      </c>
      <c r="EU11" t="e">
        <f>AND(#REF!,"AAAAAD9175Y=")</f>
        <v>#REF!</v>
      </c>
      <c r="EV11" t="e">
        <f>AND(#REF!,"AAAAAD9175c=")</f>
        <v>#REF!</v>
      </c>
      <c r="EW11" t="e">
        <f>AND(#REF!,"AAAAAD9175g=")</f>
        <v>#REF!</v>
      </c>
      <c r="EX11" t="e">
        <f>AND(#REF!,"AAAAAD9175k=")</f>
        <v>#REF!</v>
      </c>
      <c r="EY11" t="e">
        <f>AND(#REF!,"AAAAAD9175o=")</f>
        <v>#REF!</v>
      </c>
      <c r="EZ11" t="e">
        <f>AND(#REF!,"AAAAAD9175s=")</f>
        <v>#REF!</v>
      </c>
      <c r="FA11" t="e">
        <f>AND(#REF!,"AAAAAD9175w=")</f>
        <v>#REF!</v>
      </c>
      <c r="FB11" t="e">
        <f>AND(#REF!,"AAAAAD91750=")</f>
        <v>#REF!</v>
      </c>
      <c r="FC11" t="e">
        <f>AND(#REF!,"AAAAAD91754=")</f>
        <v>#REF!</v>
      </c>
      <c r="FD11" t="e">
        <f>AND(#REF!,"AAAAAD91758=")</f>
        <v>#REF!</v>
      </c>
      <c r="FE11" t="e">
        <f>AND(#REF!,"AAAAAD9176A=")</f>
        <v>#REF!</v>
      </c>
      <c r="FF11" t="e">
        <f>AND(#REF!,"AAAAAD9176E=")</f>
        <v>#REF!</v>
      </c>
      <c r="FG11" t="e">
        <f>AND(#REF!,"AAAAAD9176I=")</f>
        <v>#REF!</v>
      </c>
      <c r="FH11" t="e">
        <f>AND(#REF!,"AAAAAD9176M=")</f>
        <v>#REF!</v>
      </c>
      <c r="FI11" t="e">
        <f>AND(#REF!,"AAAAAD9176Q=")</f>
        <v>#REF!</v>
      </c>
      <c r="FJ11" t="e">
        <f>AND(#REF!,"AAAAAD9176U=")</f>
        <v>#REF!</v>
      </c>
      <c r="FK11" t="e">
        <f>AND(#REF!,"AAAAAD9176Y=")</f>
        <v>#REF!</v>
      </c>
      <c r="FL11" t="e">
        <f>AND(#REF!,"AAAAAD9176c=")</f>
        <v>#REF!</v>
      </c>
      <c r="FM11" t="e">
        <f>AND(#REF!,"AAAAAD9176g=")</f>
        <v>#REF!</v>
      </c>
      <c r="FN11" t="e">
        <f>AND(#REF!,"AAAAAD9176k=")</f>
        <v>#REF!</v>
      </c>
      <c r="FO11" t="e">
        <f>AND(#REF!,"AAAAAD9176o=")</f>
        <v>#REF!</v>
      </c>
      <c r="FP11" t="e">
        <f>AND(#REF!,"AAAAAD9176s=")</f>
        <v>#REF!</v>
      </c>
      <c r="FQ11" t="e">
        <f>AND(#REF!,"AAAAAD9176w=")</f>
        <v>#REF!</v>
      </c>
      <c r="FR11" t="e">
        <f>AND(#REF!,"AAAAAD91760=")</f>
        <v>#REF!</v>
      </c>
      <c r="FS11" t="e">
        <f>AND(#REF!,"AAAAAD91764=")</f>
        <v>#REF!</v>
      </c>
      <c r="FT11" t="e">
        <f>AND(#REF!,"AAAAAD91768=")</f>
        <v>#REF!</v>
      </c>
      <c r="FU11" t="e">
        <f>AND(#REF!,"AAAAAD9177A=")</f>
        <v>#REF!</v>
      </c>
      <c r="FV11" t="e">
        <f>AND(#REF!,"AAAAAD9177E=")</f>
        <v>#REF!</v>
      </c>
      <c r="FW11" t="e">
        <f>AND(#REF!,"AAAAAD9177I=")</f>
        <v>#REF!</v>
      </c>
      <c r="FX11" t="e">
        <f>AND(#REF!,"AAAAAD9177M=")</f>
        <v>#REF!</v>
      </c>
      <c r="FY11" t="e">
        <f>AND(#REF!,"AAAAAD9177Q=")</f>
        <v>#REF!</v>
      </c>
      <c r="FZ11" t="e">
        <f>AND(#REF!,"AAAAAD9177U=")</f>
        <v>#REF!</v>
      </c>
      <c r="GA11" t="e">
        <f>AND(#REF!,"AAAAAD9177Y=")</f>
        <v>#REF!</v>
      </c>
      <c r="GB11" t="e">
        <f>AND(#REF!,"AAAAAD9177c=")</f>
        <v>#REF!</v>
      </c>
      <c r="GC11" t="e">
        <f>AND(#REF!,"AAAAAD9177g=")</f>
        <v>#REF!</v>
      </c>
      <c r="GD11" t="e">
        <f>AND(#REF!,"AAAAAD9177k=")</f>
        <v>#REF!</v>
      </c>
      <c r="GE11" t="e">
        <f>AND(#REF!,"AAAAAD9177o=")</f>
        <v>#REF!</v>
      </c>
      <c r="GF11" t="e">
        <f>AND(#REF!,"AAAAAD9177s=")</f>
        <v>#REF!</v>
      </c>
      <c r="GG11" t="e">
        <f>AND(#REF!,"AAAAAD9177w=")</f>
        <v>#REF!</v>
      </c>
      <c r="GH11" t="e">
        <f>IF(#REF!,"AAAAAD91770=",0)</f>
        <v>#REF!</v>
      </c>
      <c r="GI11" t="e">
        <f>AND(#REF!,"AAAAAD91774=")</f>
        <v>#REF!</v>
      </c>
      <c r="GJ11" t="e">
        <f>AND(#REF!,"AAAAAD91778=")</f>
        <v>#REF!</v>
      </c>
      <c r="GK11" t="e">
        <f>AND(#REF!,"AAAAAD9178A=")</f>
        <v>#REF!</v>
      </c>
      <c r="GL11" t="e">
        <f>AND(#REF!,"AAAAAD9178E=")</f>
        <v>#REF!</v>
      </c>
      <c r="GM11" t="e">
        <f>AND(#REF!,"AAAAAD9178I=")</f>
        <v>#REF!</v>
      </c>
      <c r="GN11" t="e">
        <f>AND(#REF!,"AAAAAD9178M=")</f>
        <v>#REF!</v>
      </c>
      <c r="GO11" t="e">
        <f>AND(#REF!,"AAAAAD9178Q=")</f>
        <v>#REF!</v>
      </c>
      <c r="GP11" t="e">
        <f>AND(#REF!,"AAAAAD9178U=")</f>
        <v>#REF!</v>
      </c>
      <c r="GQ11" t="e">
        <f>AND(#REF!,"AAAAAD9178Y=")</f>
        <v>#REF!</v>
      </c>
      <c r="GR11" t="e">
        <f>AND(#REF!,"AAAAAD9178c=")</f>
        <v>#REF!</v>
      </c>
      <c r="GS11" t="e">
        <f>AND(#REF!,"AAAAAD9178g=")</f>
        <v>#REF!</v>
      </c>
      <c r="GT11" t="e">
        <f>AND(#REF!,"AAAAAD9178k=")</f>
        <v>#REF!</v>
      </c>
      <c r="GU11" t="e">
        <f>AND(#REF!,"AAAAAD9178o=")</f>
        <v>#REF!</v>
      </c>
      <c r="GV11" t="e">
        <f>AND(#REF!,"AAAAAD9178s=")</f>
        <v>#REF!</v>
      </c>
      <c r="GW11" t="e">
        <f>AND(#REF!,"AAAAAD9178w=")</f>
        <v>#REF!</v>
      </c>
      <c r="GX11" t="e">
        <f>AND(#REF!,"AAAAAD91780=")</f>
        <v>#REF!</v>
      </c>
      <c r="GY11" t="e">
        <f>AND(#REF!,"AAAAAD91784=")</f>
        <v>#REF!</v>
      </c>
      <c r="GZ11" t="e">
        <f>AND(#REF!,"AAAAAD91788=")</f>
        <v>#REF!</v>
      </c>
      <c r="HA11" t="e">
        <f>AND(#REF!,"AAAAAD9179A=")</f>
        <v>#REF!</v>
      </c>
      <c r="HB11" t="e">
        <f>AND(#REF!,"AAAAAD9179E=")</f>
        <v>#REF!</v>
      </c>
      <c r="HC11" t="e">
        <f>AND(#REF!,"AAAAAD9179I=")</f>
        <v>#REF!</v>
      </c>
      <c r="HD11" t="e">
        <f>AND(#REF!,"AAAAAD9179M=")</f>
        <v>#REF!</v>
      </c>
      <c r="HE11" t="e">
        <f>AND(#REF!,"AAAAAD9179Q=")</f>
        <v>#REF!</v>
      </c>
      <c r="HF11" t="e">
        <f>AND(#REF!,"AAAAAD9179U=")</f>
        <v>#REF!</v>
      </c>
      <c r="HG11" t="e">
        <f>AND(#REF!,"AAAAAD9179Y=")</f>
        <v>#REF!</v>
      </c>
      <c r="HH11" t="e">
        <f>AND(#REF!,"AAAAAD9179c=")</f>
        <v>#REF!</v>
      </c>
      <c r="HI11" t="e">
        <f>AND(#REF!,"AAAAAD9179g=")</f>
        <v>#REF!</v>
      </c>
      <c r="HJ11" t="e">
        <f>AND(#REF!,"AAAAAD9179k=")</f>
        <v>#REF!</v>
      </c>
      <c r="HK11" t="e">
        <f>AND(#REF!,"AAAAAD9179o=")</f>
        <v>#REF!</v>
      </c>
      <c r="HL11" t="e">
        <f>AND(#REF!,"AAAAAD9179s=")</f>
        <v>#REF!</v>
      </c>
      <c r="HM11" t="e">
        <f>AND(#REF!,"AAAAAD9179w=")</f>
        <v>#REF!</v>
      </c>
      <c r="HN11" t="e">
        <f>AND(#REF!,"AAAAAD91790=")</f>
        <v>#REF!</v>
      </c>
      <c r="HO11" t="e">
        <f>AND(#REF!,"AAAAAD91794=")</f>
        <v>#REF!</v>
      </c>
      <c r="HP11" t="e">
        <f>AND(#REF!,"AAAAAD91798=")</f>
        <v>#REF!</v>
      </c>
      <c r="HQ11" t="e">
        <f>AND(#REF!,"AAAAAD917+A=")</f>
        <v>#REF!</v>
      </c>
      <c r="HR11" t="e">
        <f>AND(#REF!,"AAAAAD917+E=")</f>
        <v>#REF!</v>
      </c>
      <c r="HS11" t="e">
        <f>AND(#REF!,"AAAAAD917+I=")</f>
        <v>#REF!</v>
      </c>
      <c r="HT11" t="e">
        <f>AND(#REF!,"AAAAAD917+M=")</f>
        <v>#REF!</v>
      </c>
      <c r="HU11" t="e">
        <f>AND(#REF!,"AAAAAD917+Q=")</f>
        <v>#REF!</v>
      </c>
      <c r="HV11" t="e">
        <f>AND(#REF!,"AAAAAD917+U=")</f>
        <v>#REF!</v>
      </c>
      <c r="HW11" t="e">
        <f>IF(#REF!,"AAAAAD917+Y=",0)</f>
        <v>#REF!</v>
      </c>
      <c r="HX11" t="e">
        <f>AND(#REF!,"AAAAAD917+c=")</f>
        <v>#REF!</v>
      </c>
      <c r="HY11" t="e">
        <f>AND(#REF!,"AAAAAD917+g=")</f>
        <v>#REF!</v>
      </c>
      <c r="HZ11" t="e">
        <f>AND(#REF!,"AAAAAD917+k=")</f>
        <v>#REF!</v>
      </c>
      <c r="IA11" t="e">
        <f>AND(#REF!,"AAAAAD917+o=")</f>
        <v>#REF!</v>
      </c>
      <c r="IB11" t="e">
        <f>AND(#REF!,"AAAAAD917+s=")</f>
        <v>#REF!</v>
      </c>
      <c r="IC11" t="e">
        <f>AND(#REF!,"AAAAAD917+w=")</f>
        <v>#REF!</v>
      </c>
      <c r="ID11" t="e">
        <f>AND(#REF!,"AAAAAD917+0=")</f>
        <v>#REF!</v>
      </c>
      <c r="IE11" t="e">
        <f>AND(#REF!,"AAAAAD917+4=")</f>
        <v>#REF!</v>
      </c>
      <c r="IF11" t="e">
        <f>AND(#REF!,"AAAAAD917+8=")</f>
        <v>#REF!</v>
      </c>
      <c r="IG11" t="e">
        <f>AND(#REF!,"AAAAAD917/A=")</f>
        <v>#REF!</v>
      </c>
      <c r="IH11" t="e">
        <f>AND(#REF!,"AAAAAD917/E=")</f>
        <v>#REF!</v>
      </c>
      <c r="II11" t="e">
        <f>AND(#REF!,"AAAAAD917/I=")</f>
        <v>#REF!</v>
      </c>
      <c r="IJ11" t="e">
        <f>AND(#REF!,"AAAAAD917/M=")</f>
        <v>#REF!</v>
      </c>
      <c r="IK11" t="e">
        <f>AND(#REF!,"AAAAAD917/Q=")</f>
        <v>#REF!</v>
      </c>
      <c r="IL11" t="e">
        <f>AND(#REF!,"AAAAAD917/U=")</f>
        <v>#REF!</v>
      </c>
      <c r="IM11" t="e">
        <f>AND(#REF!,"AAAAAD917/Y=")</f>
        <v>#REF!</v>
      </c>
      <c r="IN11" t="e">
        <f>AND(#REF!,"AAAAAD917/c=")</f>
        <v>#REF!</v>
      </c>
      <c r="IO11" t="e">
        <f>AND(#REF!,"AAAAAD917/g=")</f>
        <v>#REF!</v>
      </c>
      <c r="IP11" t="e">
        <f>AND(#REF!,"AAAAAD917/k=")</f>
        <v>#REF!</v>
      </c>
      <c r="IQ11" t="e">
        <f>AND(#REF!,"AAAAAD917/o=")</f>
        <v>#REF!</v>
      </c>
      <c r="IR11" t="e">
        <f>AND(#REF!,"AAAAAD917/s=")</f>
        <v>#REF!</v>
      </c>
      <c r="IS11" t="e">
        <f>AND(#REF!,"AAAAAD917/w=")</f>
        <v>#REF!</v>
      </c>
      <c r="IT11" t="e">
        <f>AND(#REF!,"AAAAAD917/0=")</f>
        <v>#REF!</v>
      </c>
      <c r="IU11" t="e">
        <f>AND(#REF!,"AAAAAD917/4=")</f>
        <v>#REF!</v>
      </c>
      <c r="IV11" t="e">
        <f>AND(#REF!,"AAAAAD917/8=")</f>
        <v>#REF!</v>
      </c>
    </row>
    <row r="12" spans="1:256" x14ac:dyDescent="0.2">
      <c r="A12" t="e">
        <f>AND(#REF!,"AAAAAF+dfwA=")</f>
        <v>#REF!</v>
      </c>
      <c r="B12" t="e">
        <f>AND(#REF!,"AAAAAF+dfwE=")</f>
        <v>#REF!</v>
      </c>
      <c r="C12" t="e">
        <f>AND(#REF!,"AAAAAF+dfwI=")</f>
        <v>#REF!</v>
      </c>
      <c r="D12" t="e">
        <f>AND(#REF!,"AAAAAF+dfwM=")</f>
        <v>#REF!</v>
      </c>
      <c r="E12" t="e">
        <f>AND(#REF!,"AAAAAF+dfwQ=")</f>
        <v>#REF!</v>
      </c>
      <c r="F12" t="e">
        <f>AND(#REF!,"AAAAAF+dfwU=")</f>
        <v>#REF!</v>
      </c>
      <c r="G12" t="e">
        <f>AND(#REF!,"AAAAAF+dfwY=")</f>
        <v>#REF!</v>
      </c>
      <c r="H12" t="e">
        <f>AND(#REF!,"AAAAAF+dfwc=")</f>
        <v>#REF!</v>
      </c>
      <c r="I12" t="e">
        <f>AND(#REF!,"AAAAAF+dfwg=")</f>
        <v>#REF!</v>
      </c>
      <c r="J12" t="e">
        <f>AND(#REF!,"AAAAAF+dfwk=")</f>
        <v>#REF!</v>
      </c>
      <c r="K12" t="e">
        <f>AND(#REF!,"AAAAAF+dfwo=")</f>
        <v>#REF!</v>
      </c>
      <c r="L12" t="e">
        <f>AND(#REF!,"AAAAAF+dfws=")</f>
        <v>#REF!</v>
      </c>
      <c r="M12" t="e">
        <f>AND(#REF!,"AAAAAF+dfww=")</f>
        <v>#REF!</v>
      </c>
      <c r="N12" t="e">
        <f>AND(#REF!,"AAAAAF+dfw0=")</f>
        <v>#REF!</v>
      </c>
      <c r="O12" t="e">
        <f>AND(#REF!,"AAAAAF+dfw4=")</f>
        <v>#REF!</v>
      </c>
      <c r="P12" t="e">
        <f>IF(#REF!,"AAAAAF+dfw8=",0)</f>
        <v>#REF!</v>
      </c>
      <c r="Q12" t="e">
        <f>AND(#REF!,"AAAAAF+dfxA=")</f>
        <v>#REF!</v>
      </c>
      <c r="R12" t="e">
        <f>AND(#REF!,"AAAAAF+dfxE=")</f>
        <v>#REF!</v>
      </c>
      <c r="S12" t="e">
        <f>AND(#REF!,"AAAAAF+dfxI=")</f>
        <v>#REF!</v>
      </c>
      <c r="T12" t="e">
        <f>AND(#REF!,"AAAAAF+dfxM=")</f>
        <v>#REF!</v>
      </c>
      <c r="U12" t="e">
        <f>AND(#REF!,"AAAAAF+dfxQ=")</f>
        <v>#REF!</v>
      </c>
      <c r="V12" t="e">
        <f>AND(#REF!,"AAAAAF+dfxU=")</f>
        <v>#REF!</v>
      </c>
      <c r="W12" t="e">
        <f>AND(#REF!,"AAAAAF+dfxY=")</f>
        <v>#REF!</v>
      </c>
      <c r="X12" t="e">
        <f>AND(#REF!,"AAAAAF+dfxc=")</f>
        <v>#REF!</v>
      </c>
      <c r="Y12" t="e">
        <f>AND(#REF!,"AAAAAF+dfxg=")</f>
        <v>#REF!</v>
      </c>
      <c r="Z12" t="e">
        <f>AND(#REF!,"AAAAAF+dfxk=")</f>
        <v>#REF!</v>
      </c>
      <c r="AA12" t="e">
        <f>AND(#REF!,"AAAAAF+dfxo=")</f>
        <v>#REF!</v>
      </c>
      <c r="AB12" t="e">
        <f>AND(#REF!,"AAAAAF+dfxs=")</f>
        <v>#REF!</v>
      </c>
      <c r="AC12" t="e">
        <f>AND(#REF!,"AAAAAF+dfxw=")</f>
        <v>#REF!</v>
      </c>
      <c r="AD12" t="e">
        <f>AND(#REF!,"AAAAAF+dfx0=")</f>
        <v>#REF!</v>
      </c>
      <c r="AE12" t="e">
        <f>AND(#REF!,"AAAAAF+dfx4=")</f>
        <v>#REF!</v>
      </c>
      <c r="AF12" t="e">
        <f>AND(#REF!,"AAAAAF+dfx8=")</f>
        <v>#REF!</v>
      </c>
      <c r="AG12" t="e">
        <f>AND(#REF!,"AAAAAF+dfyA=")</f>
        <v>#REF!</v>
      </c>
      <c r="AH12" t="e">
        <f>AND(#REF!,"AAAAAF+dfyE=")</f>
        <v>#REF!</v>
      </c>
      <c r="AI12" t="e">
        <f>AND(#REF!,"AAAAAF+dfyI=")</f>
        <v>#REF!</v>
      </c>
      <c r="AJ12" t="e">
        <f>AND(#REF!,"AAAAAF+dfyM=")</f>
        <v>#REF!</v>
      </c>
      <c r="AK12" t="e">
        <f>AND(#REF!,"AAAAAF+dfyQ=")</f>
        <v>#REF!</v>
      </c>
      <c r="AL12" t="e">
        <f>AND(#REF!,"AAAAAF+dfyU=")</f>
        <v>#REF!</v>
      </c>
      <c r="AM12" t="e">
        <f>AND(#REF!,"AAAAAF+dfyY=")</f>
        <v>#REF!</v>
      </c>
      <c r="AN12" t="e">
        <f>AND(#REF!,"AAAAAF+dfyc=")</f>
        <v>#REF!</v>
      </c>
      <c r="AO12" t="e">
        <f>AND(#REF!,"AAAAAF+dfyg=")</f>
        <v>#REF!</v>
      </c>
      <c r="AP12" t="e">
        <f>AND(#REF!,"AAAAAF+dfyk=")</f>
        <v>#REF!</v>
      </c>
      <c r="AQ12" t="e">
        <f>AND(#REF!,"AAAAAF+dfyo=")</f>
        <v>#REF!</v>
      </c>
      <c r="AR12" t="e">
        <f>AND(#REF!,"AAAAAF+dfys=")</f>
        <v>#REF!</v>
      </c>
      <c r="AS12" t="e">
        <f>AND(#REF!,"AAAAAF+dfyw=")</f>
        <v>#REF!</v>
      </c>
      <c r="AT12" t="e">
        <f>AND(#REF!,"AAAAAF+dfy0=")</f>
        <v>#REF!</v>
      </c>
      <c r="AU12" t="e">
        <f>AND(#REF!,"AAAAAF+dfy4=")</f>
        <v>#REF!</v>
      </c>
      <c r="AV12" t="e">
        <f>AND(#REF!,"AAAAAF+dfy8=")</f>
        <v>#REF!</v>
      </c>
      <c r="AW12" t="e">
        <f>AND(#REF!,"AAAAAF+dfzA=")</f>
        <v>#REF!</v>
      </c>
      <c r="AX12" t="e">
        <f>AND(#REF!,"AAAAAF+dfzE=")</f>
        <v>#REF!</v>
      </c>
      <c r="AY12" t="e">
        <f>AND(#REF!,"AAAAAF+dfzI=")</f>
        <v>#REF!</v>
      </c>
      <c r="AZ12" t="e">
        <f>AND(#REF!,"AAAAAF+dfzM=")</f>
        <v>#REF!</v>
      </c>
      <c r="BA12" t="e">
        <f>AND(#REF!,"AAAAAF+dfzQ=")</f>
        <v>#REF!</v>
      </c>
      <c r="BB12" t="e">
        <f>AND(#REF!,"AAAAAF+dfzU=")</f>
        <v>#REF!</v>
      </c>
      <c r="BC12" t="e">
        <f>AND(#REF!,"AAAAAF+dfzY=")</f>
        <v>#REF!</v>
      </c>
      <c r="BD12" t="e">
        <f>AND(#REF!,"AAAAAF+dfzc=")</f>
        <v>#REF!</v>
      </c>
      <c r="BE12" t="e">
        <f>IF(#REF!,"AAAAAF+dfzg=",0)</f>
        <v>#REF!</v>
      </c>
      <c r="BF12" t="e">
        <f>AND(#REF!,"AAAAAF+dfzk=")</f>
        <v>#REF!</v>
      </c>
      <c r="BG12" t="e">
        <f>AND(#REF!,"AAAAAF+dfzo=")</f>
        <v>#REF!</v>
      </c>
      <c r="BH12" t="e">
        <f>AND(#REF!,"AAAAAF+dfzs=")</f>
        <v>#REF!</v>
      </c>
      <c r="BI12" t="e">
        <f>AND(#REF!,"AAAAAF+dfzw=")</f>
        <v>#REF!</v>
      </c>
      <c r="BJ12" t="e">
        <f>AND(#REF!,"AAAAAF+dfz0=")</f>
        <v>#REF!</v>
      </c>
      <c r="BK12" t="e">
        <f>AND(#REF!,"AAAAAF+dfz4=")</f>
        <v>#REF!</v>
      </c>
      <c r="BL12" t="e">
        <f>AND(#REF!,"AAAAAF+dfz8=")</f>
        <v>#REF!</v>
      </c>
      <c r="BM12" t="e">
        <f>AND(#REF!,"AAAAAF+df0A=")</f>
        <v>#REF!</v>
      </c>
      <c r="BN12" t="e">
        <f>AND(#REF!,"AAAAAF+df0E=")</f>
        <v>#REF!</v>
      </c>
      <c r="BO12" t="e">
        <f>AND(#REF!,"AAAAAF+df0I=")</f>
        <v>#REF!</v>
      </c>
      <c r="BP12" t="e">
        <f>AND(#REF!,"AAAAAF+df0M=")</f>
        <v>#REF!</v>
      </c>
      <c r="BQ12" t="e">
        <f>AND(#REF!,"AAAAAF+df0Q=")</f>
        <v>#REF!</v>
      </c>
      <c r="BR12" t="e">
        <f>AND(#REF!,"AAAAAF+df0U=")</f>
        <v>#REF!</v>
      </c>
      <c r="BS12" t="e">
        <f>AND(#REF!,"AAAAAF+df0Y=")</f>
        <v>#REF!</v>
      </c>
      <c r="BT12" t="e">
        <f>AND(#REF!,"AAAAAF+df0c=")</f>
        <v>#REF!</v>
      </c>
      <c r="BU12" t="e">
        <f>AND(#REF!,"AAAAAF+df0g=")</f>
        <v>#REF!</v>
      </c>
      <c r="BV12" t="e">
        <f>AND(#REF!,"AAAAAF+df0k=")</f>
        <v>#REF!</v>
      </c>
      <c r="BW12" t="e">
        <f>AND(#REF!,"AAAAAF+df0o=")</f>
        <v>#REF!</v>
      </c>
      <c r="BX12" t="e">
        <f>AND(#REF!,"AAAAAF+df0s=")</f>
        <v>#REF!</v>
      </c>
      <c r="BY12" t="e">
        <f>AND(#REF!,"AAAAAF+df0w=")</f>
        <v>#REF!</v>
      </c>
      <c r="BZ12" t="e">
        <f>AND(#REF!,"AAAAAF+df00=")</f>
        <v>#REF!</v>
      </c>
      <c r="CA12" t="e">
        <f>AND(#REF!,"AAAAAF+df04=")</f>
        <v>#REF!</v>
      </c>
      <c r="CB12" t="e">
        <f>AND(#REF!,"AAAAAF+df08=")</f>
        <v>#REF!</v>
      </c>
      <c r="CC12" t="e">
        <f>AND(#REF!,"AAAAAF+df1A=")</f>
        <v>#REF!</v>
      </c>
      <c r="CD12" t="e">
        <f>AND(#REF!,"AAAAAF+df1E=")</f>
        <v>#REF!</v>
      </c>
      <c r="CE12" t="e">
        <f>AND(#REF!,"AAAAAF+df1I=")</f>
        <v>#REF!</v>
      </c>
      <c r="CF12" t="e">
        <f>AND(#REF!,"AAAAAF+df1M=")</f>
        <v>#REF!</v>
      </c>
      <c r="CG12" t="e">
        <f>AND(#REF!,"AAAAAF+df1Q=")</f>
        <v>#REF!</v>
      </c>
      <c r="CH12" t="e">
        <f>AND(#REF!,"AAAAAF+df1U=")</f>
        <v>#REF!</v>
      </c>
      <c r="CI12" t="e">
        <f>AND(#REF!,"AAAAAF+df1Y=")</f>
        <v>#REF!</v>
      </c>
      <c r="CJ12" t="e">
        <f>AND(#REF!,"AAAAAF+df1c=")</f>
        <v>#REF!</v>
      </c>
      <c r="CK12" t="e">
        <f>AND(#REF!,"AAAAAF+df1g=")</f>
        <v>#REF!</v>
      </c>
      <c r="CL12" t="e">
        <f>AND(#REF!,"AAAAAF+df1k=")</f>
        <v>#REF!</v>
      </c>
      <c r="CM12" t="e">
        <f>AND(#REF!,"AAAAAF+df1o=")</f>
        <v>#REF!</v>
      </c>
      <c r="CN12" t="e">
        <f>AND(#REF!,"AAAAAF+df1s=")</f>
        <v>#REF!</v>
      </c>
      <c r="CO12" t="e">
        <f>AND(#REF!,"AAAAAF+df1w=")</f>
        <v>#REF!</v>
      </c>
      <c r="CP12" t="e">
        <f>AND(#REF!,"AAAAAF+df10=")</f>
        <v>#REF!</v>
      </c>
      <c r="CQ12" t="e">
        <f>AND(#REF!,"AAAAAF+df14=")</f>
        <v>#REF!</v>
      </c>
      <c r="CR12" t="e">
        <f>AND(#REF!,"AAAAAF+df18=")</f>
        <v>#REF!</v>
      </c>
      <c r="CS12" t="e">
        <f>AND(#REF!,"AAAAAF+df2A=")</f>
        <v>#REF!</v>
      </c>
      <c r="CT12" t="e">
        <f>IF(#REF!,"AAAAAF+df2E=",0)</f>
        <v>#REF!</v>
      </c>
      <c r="CU12" t="e">
        <f>AND(#REF!,"AAAAAF+df2I=")</f>
        <v>#REF!</v>
      </c>
      <c r="CV12" t="e">
        <f>AND(#REF!,"AAAAAF+df2M=")</f>
        <v>#REF!</v>
      </c>
      <c r="CW12" t="e">
        <f>AND(#REF!,"AAAAAF+df2Q=")</f>
        <v>#REF!</v>
      </c>
      <c r="CX12" t="e">
        <f>AND(#REF!,"AAAAAF+df2U=")</f>
        <v>#REF!</v>
      </c>
      <c r="CY12" t="e">
        <f>AND(#REF!,"AAAAAF+df2Y=")</f>
        <v>#REF!</v>
      </c>
      <c r="CZ12" t="e">
        <f>AND(#REF!,"AAAAAF+df2c=")</f>
        <v>#REF!</v>
      </c>
      <c r="DA12" t="e">
        <f>AND(#REF!,"AAAAAF+df2g=")</f>
        <v>#REF!</v>
      </c>
      <c r="DB12" t="e">
        <f>AND(#REF!,"AAAAAF+df2k=")</f>
        <v>#REF!</v>
      </c>
      <c r="DC12" t="e">
        <f>AND(#REF!,"AAAAAF+df2o=")</f>
        <v>#REF!</v>
      </c>
      <c r="DD12" t="e">
        <f>AND(#REF!,"AAAAAF+df2s=")</f>
        <v>#REF!</v>
      </c>
      <c r="DE12" t="e">
        <f>AND(#REF!,"AAAAAF+df2w=")</f>
        <v>#REF!</v>
      </c>
      <c r="DF12" t="e">
        <f>AND(#REF!,"AAAAAF+df20=")</f>
        <v>#REF!</v>
      </c>
      <c r="DG12" t="e">
        <f>AND(#REF!,"AAAAAF+df24=")</f>
        <v>#REF!</v>
      </c>
      <c r="DH12" t="e">
        <f>AND(#REF!,"AAAAAF+df28=")</f>
        <v>#REF!</v>
      </c>
      <c r="DI12" t="e">
        <f>AND(#REF!,"AAAAAF+df3A=")</f>
        <v>#REF!</v>
      </c>
      <c r="DJ12" t="e">
        <f>AND(#REF!,"AAAAAF+df3E=")</f>
        <v>#REF!</v>
      </c>
      <c r="DK12" t="e">
        <f>AND(#REF!,"AAAAAF+df3I=")</f>
        <v>#REF!</v>
      </c>
      <c r="DL12" t="e">
        <f>AND(#REF!,"AAAAAF+df3M=")</f>
        <v>#REF!</v>
      </c>
      <c r="DM12" t="e">
        <f>AND(#REF!,"AAAAAF+df3Q=")</f>
        <v>#REF!</v>
      </c>
      <c r="DN12" t="e">
        <f>AND(#REF!,"AAAAAF+df3U=")</f>
        <v>#REF!</v>
      </c>
      <c r="DO12" t="e">
        <f>AND(#REF!,"AAAAAF+df3Y=")</f>
        <v>#REF!</v>
      </c>
      <c r="DP12" t="e">
        <f>AND(#REF!,"AAAAAF+df3c=")</f>
        <v>#REF!</v>
      </c>
      <c r="DQ12" t="e">
        <f>AND(#REF!,"AAAAAF+df3g=")</f>
        <v>#REF!</v>
      </c>
      <c r="DR12" t="e">
        <f>AND(#REF!,"AAAAAF+df3k=")</f>
        <v>#REF!</v>
      </c>
      <c r="DS12" t="e">
        <f>AND(#REF!,"AAAAAF+df3o=")</f>
        <v>#REF!</v>
      </c>
      <c r="DT12" t="e">
        <f>AND(#REF!,"AAAAAF+df3s=")</f>
        <v>#REF!</v>
      </c>
      <c r="DU12" t="e">
        <f>AND(#REF!,"AAAAAF+df3w=")</f>
        <v>#REF!</v>
      </c>
      <c r="DV12" t="e">
        <f>AND(#REF!,"AAAAAF+df30=")</f>
        <v>#REF!</v>
      </c>
      <c r="DW12" t="e">
        <f>AND(#REF!,"AAAAAF+df34=")</f>
        <v>#REF!</v>
      </c>
      <c r="DX12" t="e">
        <f>AND(#REF!,"AAAAAF+df38=")</f>
        <v>#REF!</v>
      </c>
      <c r="DY12" t="e">
        <f>AND(#REF!,"AAAAAF+df4A=")</f>
        <v>#REF!</v>
      </c>
      <c r="DZ12" t="e">
        <f>AND(#REF!,"AAAAAF+df4E=")</f>
        <v>#REF!</v>
      </c>
      <c r="EA12" t="e">
        <f>AND(#REF!,"AAAAAF+df4I=")</f>
        <v>#REF!</v>
      </c>
      <c r="EB12" t="e">
        <f>AND(#REF!,"AAAAAF+df4M=")</f>
        <v>#REF!</v>
      </c>
      <c r="EC12" t="e">
        <f>AND(#REF!,"AAAAAF+df4Q=")</f>
        <v>#REF!</v>
      </c>
      <c r="ED12" t="e">
        <f>AND(#REF!,"AAAAAF+df4U=")</f>
        <v>#REF!</v>
      </c>
      <c r="EE12" t="e">
        <f>AND(#REF!,"AAAAAF+df4Y=")</f>
        <v>#REF!</v>
      </c>
      <c r="EF12" t="e">
        <f>AND(#REF!,"AAAAAF+df4c=")</f>
        <v>#REF!</v>
      </c>
      <c r="EG12" t="e">
        <f>AND(#REF!,"AAAAAF+df4g=")</f>
        <v>#REF!</v>
      </c>
      <c r="EH12" t="e">
        <f>AND(#REF!,"AAAAAF+df4k=")</f>
        <v>#REF!</v>
      </c>
      <c r="EI12" t="e">
        <f>IF(#REF!,"AAAAAF+df4o=",0)</f>
        <v>#REF!</v>
      </c>
      <c r="EJ12" t="e">
        <f>AND(#REF!,"AAAAAF+df4s=")</f>
        <v>#REF!</v>
      </c>
      <c r="EK12" t="e">
        <f>AND(#REF!,"AAAAAF+df4w=")</f>
        <v>#REF!</v>
      </c>
      <c r="EL12" t="e">
        <f>AND(#REF!,"AAAAAF+df40=")</f>
        <v>#REF!</v>
      </c>
      <c r="EM12" t="e">
        <f>AND(#REF!,"AAAAAF+df44=")</f>
        <v>#REF!</v>
      </c>
      <c r="EN12" t="e">
        <f>AND(#REF!,"AAAAAF+df48=")</f>
        <v>#REF!</v>
      </c>
      <c r="EO12" t="e">
        <f>AND(#REF!,"AAAAAF+df5A=")</f>
        <v>#REF!</v>
      </c>
      <c r="EP12" t="e">
        <f>AND(#REF!,"AAAAAF+df5E=")</f>
        <v>#REF!</v>
      </c>
      <c r="EQ12" t="e">
        <f>AND(#REF!,"AAAAAF+df5I=")</f>
        <v>#REF!</v>
      </c>
      <c r="ER12" t="e">
        <f>AND(#REF!,"AAAAAF+df5M=")</f>
        <v>#REF!</v>
      </c>
      <c r="ES12" t="e">
        <f>AND(#REF!,"AAAAAF+df5Q=")</f>
        <v>#REF!</v>
      </c>
      <c r="ET12" t="e">
        <f>AND(#REF!,"AAAAAF+df5U=")</f>
        <v>#REF!</v>
      </c>
      <c r="EU12" t="e">
        <f>AND(#REF!,"AAAAAF+df5Y=")</f>
        <v>#REF!</v>
      </c>
      <c r="EV12" t="e">
        <f>AND(#REF!,"AAAAAF+df5c=")</f>
        <v>#REF!</v>
      </c>
      <c r="EW12" t="e">
        <f>AND(#REF!,"AAAAAF+df5g=")</f>
        <v>#REF!</v>
      </c>
      <c r="EX12" t="e">
        <f>AND(#REF!,"AAAAAF+df5k=")</f>
        <v>#REF!</v>
      </c>
      <c r="EY12" t="e">
        <f>AND(#REF!,"AAAAAF+df5o=")</f>
        <v>#REF!</v>
      </c>
      <c r="EZ12" t="e">
        <f>AND(#REF!,"AAAAAF+df5s=")</f>
        <v>#REF!</v>
      </c>
      <c r="FA12" t="e">
        <f>AND(#REF!,"AAAAAF+df5w=")</f>
        <v>#REF!</v>
      </c>
      <c r="FB12" t="e">
        <f>AND(#REF!,"AAAAAF+df50=")</f>
        <v>#REF!</v>
      </c>
      <c r="FC12" t="e">
        <f>AND(#REF!,"AAAAAF+df54=")</f>
        <v>#REF!</v>
      </c>
      <c r="FD12" t="e">
        <f>AND(#REF!,"AAAAAF+df58=")</f>
        <v>#REF!</v>
      </c>
      <c r="FE12" t="e">
        <f>AND(#REF!,"AAAAAF+df6A=")</f>
        <v>#REF!</v>
      </c>
      <c r="FF12" t="e">
        <f>AND(#REF!,"AAAAAF+df6E=")</f>
        <v>#REF!</v>
      </c>
      <c r="FG12" t="e">
        <f>AND(#REF!,"AAAAAF+df6I=")</f>
        <v>#REF!</v>
      </c>
      <c r="FH12" t="e">
        <f>AND(#REF!,"AAAAAF+df6M=")</f>
        <v>#REF!</v>
      </c>
      <c r="FI12" t="e">
        <f>AND(#REF!,"AAAAAF+df6Q=")</f>
        <v>#REF!</v>
      </c>
      <c r="FJ12" t="e">
        <f>AND(#REF!,"AAAAAF+df6U=")</f>
        <v>#REF!</v>
      </c>
      <c r="FK12" t="e">
        <f>AND(#REF!,"AAAAAF+df6Y=")</f>
        <v>#REF!</v>
      </c>
      <c r="FL12" t="e">
        <f>AND(#REF!,"AAAAAF+df6c=")</f>
        <v>#REF!</v>
      </c>
      <c r="FM12" t="e">
        <f>AND(#REF!,"AAAAAF+df6g=")</f>
        <v>#REF!</v>
      </c>
      <c r="FN12" t="e">
        <f>AND(#REF!,"AAAAAF+df6k=")</f>
        <v>#REF!</v>
      </c>
      <c r="FO12" t="e">
        <f>AND(#REF!,"AAAAAF+df6o=")</f>
        <v>#REF!</v>
      </c>
      <c r="FP12" t="e">
        <f>AND(#REF!,"AAAAAF+df6s=")</f>
        <v>#REF!</v>
      </c>
      <c r="FQ12" t="e">
        <f>AND(#REF!,"AAAAAF+df6w=")</f>
        <v>#REF!</v>
      </c>
      <c r="FR12" t="e">
        <f>AND(#REF!,"AAAAAF+df60=")</f>
        <v>#REF!</v>
      </c>
      <c r="FS12" t="e">
        <f>AND(#REF!,"AAAAAF+df64=")</f>
        <v>#REF!</v>
      </c>
      <c r="FT12" t="e">
        <f>AND(#REF!,"AAAAAF+df68=")</f>
        <v>#REF!</v>
      </c>
      <c r="FU12" t="e">
        <f>AND(#REF!,"AAAAAF+df7A=")</f>
        <v>#REF!</v>
      </c>
      <c r="FV12" t="e">
        <f>AND(#REF!,"AAAAAF+df7E=")</f>
        <v>#REF!</v>
      </c>
      <c r="FW12" t="e">
        <f>AND(#REF!,"AAAAAF+df7I=")</f>
        <v>#REF!</v>
      </c>
      <c r="FX12" t="e">
        <f>IF(#REF!,"AAAAAF+df7M=",0)</f>
        <v>#REF!</v>
      </c>
      <c r="FY12" t="e">
        <f>AND(#REF!,"AAAAAF+df7Q=")</f>
        <v>#REF!</v>
      </c>
      <c r="FZ12" t="e">
        <f>AND(#REF!,"AAAAAF+df7U=")</f>
        <v>#REF!</v>
      </c>
      <c r="GA12" t="e">
        <f>AND(#REF!,"AAAAAF+df7Y=")</f>
        <v>#REF!</v>
      </c>
      <c r="GB12" t="e">
        <f>AND(#REF!,"AAAAAF+df7c=")</f>
        <v>#REF!</v>
      </c>
      <c r="GC12" t="e">
        <f>AND(#REF!,"AAAAAF+df7g=")</f>
        <v>#REF!</v>
      </c>
      <c r="GD12" t="e">
        <f>AND(#REF!,"AAAAAF+df7k=")</f>
        <v>#REF!</v>
      </c>
      <c r="GE12" t="e">
        <f>AND(#REF!,"AAAAAF+df7o=")</f>
        <v>#REF!</v>
      </c>
      <c r="GF12" t="e">
        <f>AND(#REF!,"AAAAAF+df7s=")</f>
        <v>#REF!</v>
      </c>
      <c r="GG12" t="e">
        <f>AND(#REF!,"AAAAAF+df7w=")</f>
        <v>#REF!</v>
      </c>
      <c r="GH12" t="e">
        <f>AND(#REF!,"AAAAAF+df70=")</f>
        <v>#REF!</v>
      </c>
      <c r="GI12" t="e">
        <f>AND(#REF!,"AAAAAF+df74=")</f>
        <v>#REF!</v>
      </c>
      <c r="GJ12" t="e">
        <f>AND(#REF!,"AAAAAF+df78=")</f>
        <v>#REF!</v>
      </c>
      <c r="GK12" t="e">
        <f>AND(#REF!,"AAAAAF+df8A=")</f>
        <v>#REF!</v>
      </c>
      <c r="GL12" t="e">
        <f>AND(#REF!,"AAAAAF+df8E=")</f>
        <v>#REF!</v>
      </c>
      <c r="GM12" t="e">
        <f>AND(#REF!,"AAAAAF+df8I=")</f>
        <v>#REF!</v>
      </c>
      <c r="GN12" t="e">
        <f>AND(#REF!,"AAAAAF+df8M=")</f>
        <v>#REF!</v>
      </c>
      <c r="GO12" t="e">
        <f>AND(#REF!,"AAAAAF+df8Q=")</f>
        <v>#REF!</v>
      </c>
      <c r="GP12" t="e">
        <f>AND(#REF!,"AAAAAF+df8U=")</f>
        <v>#REF!</v>
      </c>
      <c r="GQ12" t="e">
        <f>AND(#REF!,"AAAAAF+df8Y=")</f>
        <v>#REF!</v>
      </c>
      <c r="GR12" t="e">
        <f>AND(#REF!,"AAAAAF+df8c=")</f>
        <v>#REF!</v>
      </c>
      <c r="GS12" t="e">
        <f>AND(#REF!,"AAAAAF+df8g=")</f>
        <v>#REF!</v>
      </c>
      <c r="GT12" t="e">
        <f>AND(#REF!,"AAAAAF+df8k=")</f>
        <v>#REF!</v>
      </c>
      <c r="GU12" t="e">
        <f>AND(#REF!,"AAAAAF+df8o=")</f>
        <v>#REF!</v>
      </c>
      <c r="GV12" t="e">
        <f>AND(#REF!,"AAAAAF+df8s=")</f>
        <v>#REF!</v>
      </c>
      <c r="GW12" t="e">
        <f>AND(#REF!,"AAAAAF+df8w=")</f>
        <v>#REF!</v>
      </c>
      <c r="GX12" t="e">
        <f>AND(#REF!,"AAAAAF+df80=")</f>
        <v>#REF!</v>
      </c>
      <c r="GY12" t="e">
        <f>AND(#REF!,"AAAAAF+df84=")</f>
        <v>#REF!</v>
      </c>
      <c r="GZ12" t="e">
        <f>AND(#REF!,"AAAAAF+df88=")</f>
        <v>#REF!</v>
      </c>
      <c r="HA12" t="e">
        <f>AND(#REF!,"AAAAAF+df9A=")</f>
        <v>#REF!</v>
      </c>
      <c r="HB12" t="e">
        <f>AND(#REF!,"AAAAAF+df9E=")</f>
        <v>#REF!</v>
      </c>
      <c r="HC12" t="e">
        <f>AND(#REF!,"AAAAAF+df9I=")</f>
        <v>#REF!</v>
      </c>
      <c r="HD12" t="e">
        <f>AND(#REF!,"AAAAAF+df9M=")</f>
        <v>#REF!</v>
      </c>
      <c r="HE12" t="e">
        <f>AND(#REF!,"AAAAAF+df9Q=")</f>
        <v>#REF!</v>
      </c>
      <c r="HF12" t="e">
        <f>AND(#REF!,"AAAAAF+df9U=")</f>
        <v>#REF!</v>
      </c>
      <c r="HG12" t="e">
        <f>AND(#REF!,"AAAAAF+df9Y=")</f>
        <v>#REF!</v>
      </c>
      <c r="HH12" t="e">
        <f>AND(#REF!,"AAAAAF+df9c=")</f>
        <v>#REF!</v>
      </c>
      <c r="HI12" t="e">
        <f>AND(#REF!,"AAAAAF+df9g=")</f>
        <v>#REF!</v>
      </c>
      <c r="HJ12" t="e">
        <f>AND(#REF!,"AAAAAF+df9k=")</f>
        <v>#REF!</v>
      </c>
      <c r="HK12" t="e">
        <f>AND(#REF!,"AAAAAF+df9o=")</f>
        <v>#REF!</v>
      </c>
      <c r="HL12" t="e">
        <f>AND(#REF!,"AAAAAF+df9s=")</f>
        <v>#REF!</v>
      </c>
      <c r="HM12" t="e">
        <f>IF(#REF!,"AAAAAF+df9w=",0)</f>
        <v>#REF!</v>
      </c>
      <c r="HN12" t="e">
        <f>AND(#REF!,"AAAAAF+df90=")</f>
        <v>#REF!</v>
      </c>
      <c r="HO12" t="e">
        <f>AND(#REF!,"AAAAAF+df94=")</f>
        <v>#REF!</v>
      </c>
      <c r="HP12" t="e">
        <f>AND(#REF!,"AAAAAF+df98=")</f>
        <v>#REF!</v>
      </c>
      <c r="HQ12" t="e">
        <f>AND(#REF!,"AAAAAF+df+A=")</f>
        <v>#REF!</v>
      </c>
      <c r="HR12" t="e">
        <f>AND(#REF!,"AAAAAF+df+E=")</f>
        <v>#REF!</v>
      </c>
      <c r="HS12" t="e">
        <f>AND(#REF!,"AAAAAF+df+I=")</f>
        <v>#REF!</v>
      </c>
      <c r="HT12" t="e">
        <f>AND(#REF!,"AAAAAF+df+M=")</f>
        <v>#REF!</v>
      </c>
      <c r="HU12" t="e">
        <f>AND(#REF!,"AAAAAF+df+Q=")</f>
        <v>#REF!</v>
      </c>
      <c r="HV12" t="e">
        <f>AND(#REF!,"AAAAAF+df+U=")</f>
        <v>#REF!</v>
      </c>
      <c r="HW12" t="e">
        <f>AND(#REF!,"AAAAAF+df+Y=")</f>
        <v>#REF!</v>
      </c>
      <c r="HX12" t="e">
        <f>AND(#REF!,"AAAAAF+df+c=")</f>
        <v>#REF!</v>
      </c>
      <c r="HY12" t="e">
        <f>AND(#REF!,"AAAAAF+df+g=")</f>
        <v>#REF!</v>
      </c>
      <c r="HZ12" t="e">
        <f>AND(#REF!,"AAAAAF+df+k=")</f>
        <v>#REF!</v>
      </c>
      <c r="IA12" t="e">
        <f>AND(#REF!,"AAAAAF+df+o=")</f>
        <v>#REF!</v>
      </c>
      <c r="IB12" t="e">
        <f>AND(#REF!,"AAAAAF+df+s=")</f>
        <v>#REF!</v>
      </c>
      <c r="IC12" t="e">
        <f>AND(#REF!,"AAAAAF+df+w=")</f>
        <v>#REF!</v>
      </c>
      <c r="ID12" t="e">
        <f>AND(#REF!,"AAAAAF+df+0=")</f>
        <v>#REF!</v>
      </c>
      <c r="IE12" t="e">
        <f>AND(#REF!,"AAAAAF+df+4=")</f>
        <v>#REF!</v>
      </c>
      <c r="IF12" t="e">
        <f>AND(#REF!,"AAAAAF+df+8=")</f>
        <v>#REF!</v>
      </c>
      <c r="IG12" t="e">
        <f>AND(#REF!,"AAAAAF+df/A=")</f>
        <v>#REF!</v>
      </c>
      <c r="IH12" t="e">
        <f>AND(#REF!,"AAAAAF+df/E=")</f>
        <v>#REF!</v>
      </c>
      <c r="II12" t="e">
        <f>AND(#REF!,"AAAAAF+df/I=")</f>
        <v>#REF!</v>
      </c>
      <c r="IJ12" t="e">
        <f>AND(#REF!,"AAAAAF+df/M=")</f>
        <v>#REF!</v>
      </c>
      <c r="IK12" t="e">
        <f>AND(#REF!,"AAAAAF+df/Q=")</f>
        <v>#REF!</v>
      </c>
      <c r="IL12" t="e">
        <f>AND(#REF!,"AAAAAF+df/U=")</f>
        <v>#REF!</v>
      </c>
      <c r="IM12" t="e">
        <f>AND(#REF!,"AAAAAF+df/Y=")</f>
        <v>#REF!</v>
      </c>
      <c r="IN12" t="e">
        <f>AND(#REF!,"AAAAAF+df/c=")</f>
        <v>#REF!</v>
      </c>
      <c r="IO12" t="e">
        <f>AND(#REF!,"AAAAAF+df/g=")</f>
        <v>#REF!</v>
      </c>
      <c r="IP12" t="e">
        <f>AND(#REF!,"AAAAAF+df/k=")</f>
        <v>#REF!</v>
      </c>
      <c r="IQ12" t="e">
        <f>AND(#REF!,"AAAAAF+df/o=")</f>
        <v>#REF!</v>
      </c>
      <c r="IR12" t="e">
        <f>AND(#REF!,"AAAAAF+df/s=")</f>
        <v>#REF!</v>
      </c>
      <c r="IS12" t="e">
        <f>AND(#REF!,"AAAAAF+df/w=")</f>
        <v>#REF!</v>
      </c>
      <c r="IT12" t="e">
        <f>AND(#REF!,"AAAAAF+df/0=")</f>
        <v>#REF!</v>
      </c>
      <c r="IU12" t="e">
        <f>AND(#REF!,"AAAAAF+df/4=")</f>
        <v>#REF!</v>
      </c>
      <c r="IV12" t="e">
        <f>AND(#REF!,"AAAAAF+df/8=")</f>
        <v>#REF!</v>
      </c>
    </row>
    <row r="13" spans="1:256" x14ac:dyDescent="0.2">
      <c r="A13" t="e">
        <f>AND(#REF!,"AAAAAC//3wA=")</f>
        <v>#REF!</v>
      </c>
      <c r="B13" t="e">
        <f>AND(#REF!,"AAAAAC//3wE=")</f>
        <v>#REF!</v>
      </c>
      <c r="C13" t="e">
        <f>AND(#REF!,"AAAAAC//3wI=")</f>
        <v>#REF!</v>
      </c>
      <c r="D13" t="e">
        <f>AND(#REF!,"AAAAAC//3wM=")</f>
        <v>#REF!</v>
      </c>
      <c r="E13" t="e">
        <f>AND(#REF!,"AAAAAC//3wQ=")</f>
        <v>#REF!</v>
      </c>
      <c r="F13" t="e">
        <f>IF(#REF!,"AAAAAC//3wU=",0)</f>
        <v>#REF!</v>
      </c>
      <c r="G13" t="e">
        <f>AND(#REF!,"AAAAAC//3wY=")</f>
        <v>#REF!</v>
      </c>
      <c r="H13" t="e">
        <f>AND(#REF!,"AAAAAC//3wc=")</f>
        <v>#REF!</v>
      </c>
      <c r="I13" t="e">
        <f>AND(#REF!,"AAAAAC//3wg=")</f>
        <v>#REF!</v>
      </c>
      <c r="J13" t="e">
        <f>AND(#REF!,"AAAAAC//3wk=")</f>
        <v>#REF!</v>
      </c>
      <c r="K13" t="e">
        <f>AND(#REF!,"AAAAAC//3wo=")</f>
        <v>#REF!</v>
      </c>
      <c r="L13" t="e">
        <f>AND(#REF!,"AAAAAC//3ws=")</f>
        <v>#REF!</v>
      </c>
      <c r="M13" t="e">
        <f>AND(#REF!,"AAAAAC//3ww=")</f>
        <v>#REF!</v>
      </c>
      <c r="N13" t="e">
        <f>AND(#REF!,"AAAAAC//3w0=")</f>
        <v>#REF!</v>
      </c>
      <c r="O13" t="e">
        <f>AND(#REF!,"AAAAAC//3w4=")</f>
        <v>#REF!</v>
      </c>
      <c r="P13" t="e">
        <f>AND(#REF!,"AAAAAC//3w8=")</f>
        <v>#REF!</v>
      </c>
      <c r="Q13" t="e">
        <f>AND(#REF!,"AAAAAC//3xA=")</f>
        <v>#REF!</v>
      </c>
      <c r="R13" t="e">
        <f>AND(#REF!,"AAAAAC//3xE=")</f>
        <v>#REF!</v>
      </c>
      <c r="S13" t="e">
        <f>AND(#REF!,"AAAAAC//3xI=")</f>
        <v>#REF!</v>
      </c>
      <c r="T13" t="e">
        <f>AND(#REF!,"AAAAAC//3xM=")</f>
        <v>#REF!</v>
      </c>
      <c r="U13" t="e">
        <f>AND(#REF!,"AAAAAC//3xQ=")</f>
        <v>#REF!</v>
      </c>
      <c r="V13" t="e">
        <f>AND(#REF!,"AAAAAC//3xU=")</f>
        <v>#REF!</v>
      </c>
      <c r="W13" t="e">
        <f>AND(#REF!,"AAAAAC//3xY=")</f>
        <v>#REF!</v>
      </c>
      <c r="X13" t="e">
        <f>AND(#REF!,"AAAAAC//3xc=")</f>
        <v>#REF!</v>
      </c>
      <c r="Y13" t="e">
        <f>AND(#REF!,"AAAAAC//3xg=")</f>
        <v>#REF!</v>
      </c>
      <c r="Z13" t="e">
        <f>AND(#REF!,"AAAAAC//3xk=")</f>
        <v>#REF!</v>
      </c>
      <c r="AA13" t="e">
        <f>AND(#REF!,"AAAAAC//3xo=")</f>
        <v>#REF!</v>
      </c>
      <c r="AB13" t="e">
        <f>AND(#REF!,"AAAAAC//3xs=")</f>
        <v>#REF!</v>
      </c>
      <c r="AC13" t="e">
        <f>AND(#REF!,"AAAAAC//3xw=")</f>
        <v>#REF!</v>
      </c>
      <c r="AD13" t="e">
        <f>AND(#REF!,"AAAAAC//3x0=")</f>
        <v>#REF!</v>
      </c>
      <c r="AE13" t="e">
        <f>AND(#REF!,"AAAAAC//3x4=")</f>
        <v>#REF!</v>
      </c>
      <c r="AF13" t="e">
        <f>AND(#REF!,"AAAAAC//3x8=")</f>
        <v>#REF!</v>
      </c>
      <c r="AG13" t="e">
        <f>AND(#REF!,"AAAAAC//3yA=")</f>
        <v>#REF!</v>
      </c>
      <c r="AH13" t="e">
        <f>AND(#REF!,"AAAAAC//3yE=")</f>
        <v>#REF!</v>
      </c>
      <c r="AI13" t="e">
        <f>AND(#REF!,"AAAAAC//3yI=")</f>
        <v>#REF!</v>
      </c>
      <c r="AJ13" t="e">
        <f>AND(#REF!,"AAAAAC//3yM=")</f>
        <v>#REF!</v>
      </c>
      <c r="AK13" t="e">
        <f>AND(#REF!,"AAAAAC//3yQ=")</f>
        <v>#REF!</v>
      </c>
      <c r="AL13" t="e">
        <f>AND(#REF!,"AAAAAC//3yU=")</f>
        <v>#REF!</v>
      </c>
      <c r="AM13" t="e">
        <f>AND(#REF!,"AAAAAC//3yY=")</f>
        <v>#REF!</v>
      </c>
      <c r="AN13" t="e">
        <f>AND(#REF!,"AAAAAC//3yc=")</f>
        <v>#REF!</v>
      </c>
      <c r="AO13" t="e">
        <f>AND(#REF!,"AAAAAC//3yg=")</f>
        <v>#REF!</v>
      </c>
      <c r="AP13" t="e">
        <f>AND(#REF!,"AAAAAC//3yk=")</f>
        <v>#REF!</v>
      </c>
      <c r="AQ13" t="e">
        <f>AND(#REF!,"AAAAAC//3yo=")</f>
        <v>#REF!</v>
      </c>
      <c r="AR13" t="e">
        <f>AND(#REF!,"AAAAAC//3ys=")</f>
        <v>#REF!</v>
      </c>
      <c r="AS13" t="e">
        <f>AND(#REF!,"AAAAAC//3yw=")</f>
        <v>#REF!</v>
      </c>
      <c r="AT13" t="e">
        <f>AND(#REF!,"AAAAAC//3y0=")</f>
        <v>#REF!</v>
      </c>
      <c r="AU13" t="e">
        <f>IF(#REF!,"AAAAAC//3y4=",0)</f>
        <v>#REF!</v>
      </c>
      <c r="AV13" t="e">
        <f>AND(#REF!,"AAAAAC//3y8=")</f>
        <v>#REF!</v>
      </c>
      <c r="AW13" t="e">
        <f>AND(#REF!,"AAAAAC//3zA=")</f>
        <v>#REF!</v>
      </c>
      <c r="AX13" t="e">
        <f>AND(#REF!,"AAAAAC//3zE=")</f>
        <v>#REF!</v>
      </c>
      <c r="AY13" t="e">
        <f>AND(#REF!,"AAAAAC//3zI=")</f>
        <v>#REF!</v>
      </c>
      <c r="AZ13" t="e">
        <f>AND(#REF!,"AAAAAC//3zM=")</f>
        <v>#REF!</v>
      </c>
      <c r="BA13" t="e">
        <f>AND(#REF!,"AAAAAC//3zQ=")</f>
        <v>#REF!</v>
      </c>
      <c r="BB13" t="e">
        <f>AND(#REF!,"AAAAAC//3zU=")</f>
        <v>#REF!</v>
      </c>
      <c r="BC13" t="e">
        <f>AND(#REF!,"AAAAAC//3zY=")</f>
        <v>#REF!</v>
      </c>
      <c r="BD13" t="e">
        <f>AND(#REF!,"AAAAAC//3zc=")</f>
        <v>#REF!</v>
      </c>
      <c r="BE13" t="e">
        <f>AND(#REF!,"AAAAAC//3zg=")</f>
        <v>#REF!</v>
      </c>
      <c r="BF13" t="e">
        <f>AND(#REF!,"AAAAAC//3zk=")</f>
        <v>#REF!</v>
      </c>
      <c r="BG13" t="e">
        <f>AND(#REF!,"AAAAAC//3zo=")</f>
        <v>#REF!</v>
      </c>
      <c r="BH13" t="e">
        <f>AND(#REF!,"AAAAAC//3zs=")</f>
        <v>#REF!</v>
      </c>
      <c r="BI13" t="e">
        <f>AND(#REF!,"AAAAAC//3zw=")</f>
        <v>#REF!</v>
      </c>
      <c r="BJ13" t="e">
        <f>AND(#REF!,"AAAAAC//3z0=")</f>
        <v>#REF!</v>
      </c>
      <c r="BK13" t="e">
        <f>AND(#REF!,"AAAAAC//3z4=")</f>
        <v>#REF!</v>
      </c>
      <c r="BL13" t="e">
        <f>AND(#REF!,"AAAAAC//3z8=")</f>
        <v>#REF!</v>
      </c>
      <c r="BM13" t="e">
        <f>AND(#REF!,"AAAAAC//30A=")</f>
        <v>#REF!</v>
      </c>
      <c r="BN13" t="e">
        <f>AND(#REF!,"AAAAAC//30E=")</f>
        <v>#REF!</v>
      </c>
      <c r="BO13" t="e">
        <f>AND(#REF!,"AAAAAC//30I=")</f>
        <v>#REF!</v>
      </c>
      <c r="BP13" t="e">
        <f>AND(#REF!,"AAAAAC//30M=")</f>
        <v>#REF!</v>
      </c>
      <c r="BQ13" t="e">
        <f>AND(#REF!,"AAAAAC//30Q=")</f>
        <v>#REF!</v>
      </c>
      <c r="BR13" t="e">
        <f>AND(#REF!,"AAAAAC//30U=")</f>
        <v>#REF!</v>
      </c>
      <c r="BS13" t="e">
        <f>AND(#REF!,"AAAAAC//30Y=")</f>
        <v>#REF!</v>
      </c>
      <c r="BT13" t="e">
        <f>AND(#REF!,"AAAAAC//30c=")</f>
        <v>#REF!</v>
      </c>
      <c r="BU13" t="e">
        <f>AND(#REF!,"AAAAAC//30g=")</f>
        <v>#REF!</v>
      </c>
      <c r="BV13" t="e">
        <f>AND(#REF!,"AAAAAC//30k=")</f>
        <v>#REF!</v>
      </c>
      <c r="BW13" t="e">
        <f>AND(#REF!,"AAAAAC//30o=")</f>
        <v>#REF!</v>
      </c>
      <c r="BX13" t="e">
        <f>AND(#REF!,"AAAAAC//30s=")</f>
        <v>#REF!</v>
      </c>
      <c r="BY13" t="e">
        <f>AND(#REF!,"AAAAAC//30w=")</f>
        <v>#REF!</v>
      </c>
      <c r="BZ13" t="e">
        <f>AND(#REF!,"AAAAAC//300=")</f>
        <v>#REF!</v>
      </c>
      <c r="CA13" t="e">
        <f>AND(#REF!,"AAAAAC//304=")</f>
        <v>#REF!</v>
      </c>
      <c r="CB13" t="e">
        <f>AND(#REF!,"AAAAAC//308=")</f>
        <v>#REF!</v>
      </c>
      <c r="CC13" t="e">
        <f>AND(#REF!,"AAAAAC//31A=")</f>
        <v>#REF!</v>
      </c>
      <c r="CD13" t="e">
        <f>AND(#REF!,"AAAAAC//31E=")</f>
        <v>#REF!</v>
      </c>
      <c r="CE13" t="e">
        <f>AND(#REF!,"AAAAAC//31I=")</f>
        <v>#REF!</v>
      </c>
      <c r="CF13" t="e">
        <f>AND(#REF!,"AAAAAC//31M=")</f>
        <v>#REF!</v>
      </c>
      <c r="CG13" t="e">
        <f>AND(#REF!,"AAAAAC//31Q=")</f>
        <v>#REF!</v>
      </c>
      <c r="CH13" t="e">
        <f>AND(#REF!,"AAAAAC//31U=")</f>
        <v>#REF!</v>
      </c>
      <c r="CI13" t="e">
        <f>AND(#REF!,"AAAAAC//31Y=")</f>
        <v>#REF!</v>
      </c>
      <c r="CJ13" t="e">
        <f>IF(#REF!,"AAAAAC//31c=",0)</f>
        <v>#REF!</v>
      </c>
      <c r="CK13" t="e">
        <f>AND(#REF!,"AAAAAC//31g=")</f>
        <v>#REF!</v>
      </c>
      <c r="CL13" t="e">
        <f>AND(#REF!,"AAAAAC//31k=")</f>
        <v>#REF!</v>
      </c>
      <c r="CM13" t="e">
        <f>AND(#REF!,"AAAAAC//31o=")</f>
        <v>#REF!</v>
      </c>
      <c r="CN13" t="e">
        <f>AND(#REF!,"AAAAAC//31s=")</f>
        <v>#REF!</v>
      </c>
      <c r="CO13" t="e">
        <f>AND(#REF!,"AAAAAC//31w=")</f>
        <v>#REF!</v>
      </c>
      <c r="CP13" t="e">
        <f>AND(#REF!,"AAAAAC//310=")</f>
        <v>#REF!</v>
      </c>
      <c r="CQ13" t="e">
        <f>AND(#REF!,"AAAAAC//314=")</f>
        <v>#REF!</v>
      </c>
      <c r="CR13" t="e">
        <f>AND(#REF!,"AAAAAC//318=")</f>
        <v>#REF!</v>
      </c>
      <c r="CS13" t="e">
        <f>AND(#REF!,"AAAAAC//32A=")</f>
        <v>#REF!</v>
      </c>
      <c r="CT13" t="e">
        <f>AND(#REF!,"AAAAAC//32E=")</f>
        <v>#REF!</v>
      </c>
      <c r="CU13" t="e">
        <f>AND(#REF!,"AAAAAC//32I=")</f>
        <v>#REF!</v>
      </c>
      <c r="CV13" t="e">
        <f>AND(#REF!,"AAAAAC//32M=")</f>
        <v>#REF!</v>
      </c>
      <c r="CW13" t="e">
        <f>AND(#REF!,"AAAAAC//32Q=")</f>
        <v>#REF!</v>
      </c>
      <c r="CX13" t="e">
        <f>AND(#REF!,"AAAAAC//32U=")</f>
        <v>#REF!</v>
      </c>
      <c r="CY13" t="e">
        <f>AND(#REF!,"AAAAAC//32Y=")</f>
        <v>#REF!</v>
      </c>
      <c r="CZ13" t="e">
        <f>AND(#REF!,"AAAAAC//32c=")</f>
        <v>#REF!</v>
      </c>
      <c r="DA13" t="e">
        <f>AND(#REF!,"AAAAAC//32g=")</f>
        <v>#REF!</v>
      </c>
      <c r="DB13" t="e">
        <f>AND(#REF!,"AAAAAC//32k=")</f>
        <v>#REF!</v>
      </c>
      <c r="DC13" t="e">
        <f>AND(#REF!,"AAAAAC//32o=")</f>
        <v>#REF!</v>
      </c>
      <c r="DD13" t="e">
        <f>AND(#REF!,"AAAAAC//32s=")</f>
        <v>#REF!</v>
      </c>
      <c r="DE13" t="e">
        <f>AND(#REF!,"AAAAAC//32w=")</f>
        <v>#REF!</v>
      </c>
      <c r="DF13" t="e">
        <f>AND(#REF!,"AAAAAC//320=")</f>
        <v>#REF!</v>
      </c>
      <c r="DG13" t="e">
        <f>AND(#REF!,"AAAAAC//324=")</f>
        <v>#REF!</v>
      </c>
      <c r="DH13" t="e">
        <f>AND(#REF!,"AAAAAC//328=")</f>
        <v>#REF!</v>
      </c>
      <c r="DI13" t="e">
        <f>AND(#REF!,"AAAAAC//33A=")</f>
        <v>#REF!</v>
      </c>
      <c r="DJ13" t="e">
        <f>AND(#REF!,"AAAAAC//33E=")</f>
        <v>#REF!</v>
      </c>
      <c r="DK13" t="e">
        <f>AND(#REF!,"AAAAAC//33I=")</f>
        <v>#REF!</v>
      </c>
      <c r="DL13" t="e">
        <f>AND(#REF!,"AAAAAC//33M=")</f>
        <v>#REF!</v>
      </c>
      <c r="DM13" t="e">
        <f>AND(#REF!,"AAAAAC//33Q=")</f>
        <v>#REF!</v>
      </c>
      <c r="DN13" t="e">
        <f>AND(#REF!,"AAAAAC//33U=")</f>
        <v>#REF!</v>
      </c>
      <c r="DO13" t="e">
        <f>AND(#REF!,"AAAAAC//33Y=")</f>
        <v>#REF!</v>
      </c>
      <c r="DP13" t="e">
        <f>AND(#REF!,"AAAAAC//33c=")</f>
        <v>#REF!</v>
      </c>
      <c r="DQ13" t="e">
        <f>AND(#REF!,"AAAAAC//33g=")</f>
        <v>#REF!</v>
      </c>
      <c r="DR13" t="e">
        <f>AND(#REF!,"AAAAAC//33k=")</f>
        <v>#REF!</v>
      </c>
      <c r="DS13" t="e">
        <f>AND(#REF!,"AAAAAC//33o=")</f>
        <v>#REF!</v>
      </c>
      <c r="DT13" t="e">
        <f>AND(#REF!,"AAAAAC//33s=")</f>
        <v>#REF!</v>
      </c>
      <c r="DU13" t="e">
        <f>AND(#REF!,"AAAAAC//33w=")</f>
        <v>#REF!</v>
      </c>
      <c r="DV13" t="e">
        <f>AND(#REF!,"AAAAAC//330=")</f>
        <v>#REF!</v>
      </c>
      <c r="DW13" t="e">
        <f>AND(#REF!,"AAAAAC//334=")</f>
        <v>#REF!</v>
      </c>
      <c r="DX13" t="e">
        <f>AND(#REF!,"AAAAAC//338=")</f>
        <v>#REF!</v>
      </c>
      <c r="DY13" t="e">
        <f>IF(#REF!,"AAAAAC//34A=",0)</f>
        <v>#REF!</v>
      </c>
      <c r="DZ13" t="e">
        <f>AND(#REF!,"AAAAAC//34E=")</f>
        <v>#REF!</v>
      </c>
      <c r="EA13" t="e">
        <f>AND(#REF!,"AAAAAC//34I=")</f>
        <v>#REF!</v>
      </c>
      <c r="EB13" t="e">
        <f>AND(#REF!,"AAAAAC//34M=")</f>
        <v>#REF!</v>
      </c>
      <c r="EC13" t="e">
        <f>AND(#REF!,"AAAAAC//34Q=")</f>
        <v>#REF!</v>
      </c>
      <c r="ED13" t="e">
        <f>AND(#REF!,"AAAAAC//34U=")</f>
        <v>#REF!</v>
      </c>
      <c r="EE13" t="e">
        <f>AND(#REF!,"AAAAAC//34Y=")</f>
        <v>#REF!</v>
      </c>
      <c r="EF13" t="e">
        <f>AND(#REF!,"AAAAAC//34c=")</f>
        <v>#REF!</v>
      </c>
      <c r="EG13" t="e">
        <f>AND(#REF!,"AAAAAC//34g=")</f>
        <v>#REF!</v>
      </c>
      <c r="EH13" t="e">
        <f>AND(#REF!,"AAAAAC//34k=")</f>
        <v>#REF!</v>
      </c>
      <c r="EI13" t="e">
        <f>AND(#REF!,"AAAAAC//34o=")</f>
        <v>#REF!</v>
      </c>
      <c r="EJ13" t="e">
        <f>AND(#REF!,"AAAAAC//34s=")</f>
        <v>#REF!</v>
      </c>
      <c r="EK13" t="e">
        <f>AND(#REF!,"AAAAAC//34w=")</f>
        <v>#REF!</v>
      </c>
      <c r="EL13" t="e">
        <f>AND(#REF!,"AAAAAC//340=")</f>
        <v>#REF!</v>
      </c>
      <c r="EM13" t="e">
        <f>AND(#REF!,"AAAAAC//344=")</f>
        <v>#REF!</v>
      </c>
      <c r="EN13" t="e">
        <f>AND(#REF!,"AAAAAC//348=")</f>
        <v>#REF!</v>
      </c>
      <c r="EO13" t="e">
        <f>AND(#REF!,"AAAAAC//35A=")</f>
        <v>#REF!</v>
      </c>
      <c r="EP13" t="e">
        <f>AND(#REF!,"AAAAAC//35E=")</f>
        <v>#REF!</v>
      </c>
      <c r="EQ13" t="e">
        <f>AND(#REF!,"AAAAAC//35I=")</f>
        <v>#REF!</v>
      </c>
      <c r="ER13" t="e">
        <f>AND(#REF!,"AAAAAC//35M=")</f>
        <v>#REF!</v>
      </c>
      <c r="ES13" t="e">
        <f>AND(#REF!,"AAAAAC//35Q=")</f>
        <v>#REF!</v>
      </c>
      <c r="ET13" t="e">
        <f>AND(#REF!,"AAAAAC//35U=")</f>
        <v>#REF!</v>
      </c>
      <c r="EU13" t="e">
        <f>AND(#REF!,"AAAAAC//35Y=")</f>
        <v>#REF!</v>
      </c>
      <c r="EV13" t="e">
        <f>AND(#REF!,"AAAAAC//35c=")</f>
        <v>#REF!</v>
      </c>
      <c r="EW13" t="e">
        <f>AND(#REF!,"AAAAAC//35g=")</f>
        <v>#REF!</v>
      </c>
      <c r="EX13" t="e">
        <f>AND(#REF!,"AAAAAC//35k=")</f>
        <v>#REF!</v>
      </c>
      <c r="EY13" t="e">
        <f>AND(#REF!,"AAAAAC//35o=")</f>
        <v>#REF!</v>
      </c>
      <c r="EZ13" t="e">
        <f>AND(#REF!,"AAAAAC//35s=")</f>
        <v>#REF!</v>
      </c>
      <c r="FA13" t="e">
        <f>AND(#REF!,"AAAAAC//35w=")</f>
        <v>#REF!</v>
      </c>
      <c r="FB13" t="e">
        <f>AND(#REF!,"AAAAAC//350=")</f>
        <v>#REF!</v>
      </c>
      <c r="FC13" t="e">
        <f>AND(#REF!,"AAAAAC//354=")</f>
        <v>#REF!</v>
      </c>
      <c r="FD13" t="e">
        <f>AND(#REF!,"AAAAAC//358=")</f>
        <v>#REF!</v>
      </c>
      <c r="FE13" t="e">
        <f>AND(#REF!,"AAAAAC//36A=")</f>
        <v>#REF!</v>
      </c>
      <c r="FF13" t="e">
        <f>AND(#REF!,"AAAAAC//36E=")</f>
        <v>#REF!</v>
      </c>
      <c r="FG13" t="e">
        <f>AND(#REF!,"AAAAAC//36I=")</f>
        <v>#REF!</v>
      </c>
      <c r="FH13" t="e">
        <f>AND(#REF!,"AAAAAC//36M=")</f>
        <v>#REF!</v>
      </c>
      <c r="FI13" t="e">
        <f>AND(#REF!,"AAAAAC//36Q=")</f>
        <v>#REF!</v>
      </c>
      <c r="FJ13" t="e">
        <f>AND(#REF!,"AAAAAC//36U=")</f>
        <v>#REF!</v>
      </c>
      <c r="FK13" t="e">
        <f>AND(#REF!,"AAAAAC//36Y=")</f>
        <v>#REF!</v>
      </c>
      <c r="FL13" t="e">
        <f>AND(#REF!,"AAAAAC//36c=")</f>
        <v>#REF!</v>
      </c>
      <c r="FM13" t="e">
        <f>AND(#REF!,"AAAAAC//36g=")</f>
        <v>#REF!</v>
      </c>
      <c r="FN13" t="e">
        <f>IF(#REF!,"AAAAAC//36k=",0)</f>
        <v>#REF!</v>
      </c>
      <c r="FO13" t="e">
        <f>AND(#REF!,"AAAAAC//36o=")</f>
        <v>#REF!</v>
      </c>
      <c r="FP13" t="e">
        <f>AND(#REF!,"AAAAAC//36s=")</f>
        <v>#REF!</v>
      </c>
      <c r="FQ13" t="e">
        <f>AND(#REF!,"AAAAAC//36w=")</f>
        <v>#REF!</v>
      </c>
      <c r="FR13" t="e">
        <f>AND(#REF!,"AAAAAC//360=")</f>
        <v>#REF!</v>
      </c>
      <c r="FS13" t="e">
        <f>AND(#REF!,"AAAAAC//364=")</f>
        <v>#REF!</v>
      </c>
      <c r="FT13" t="e">
        <f>AND(#REF!,"AAAAAC//368=")</f>
        <v>#REF!</v>
      </c>
      <c r="FU13" t="e">
        <f>AND(#REF!,"AAAAAC//37A=")</f>
        <v>#REF!</v>
      </c>
      <c r="FV13" t="e">
        <f>AND(#REF!,"AAAAAC//37E=")</f>
        <v>#REF!</v>
      </c>
      <c r="FW13" t="e">
        <f>AND(#REF!,"AAAAAC//37I=")</f>
        <v>#REF!</v>
      </c>
      <c r="FX13" t="e">
        <f>AND(#REF!,"AAAAAC//37M=")</f>
        <v>#REF!</v>
      </c>
      <c r="FY13" t="e">
        <f>AND(#REF!,"AAAAAC//37Q=")</f>
        <v>#REF!</v>
      </c>
      <c r="FZ13" t="e">
        <f>AND(#REF!,"AAAAAC//37U=")</f>
        <v>#REF!</v>
      </c>
      <c r="GA13" t="e">
        <f>AND(#REF!,"AAAAAC//37Y=")</f>
        <v>#REF!</v>
      </c>
      <c r="GB13" t="e">
        <f>AND(#REF!,"AAAAAC//37c=")</f>
        <v>#REF!</v>
      </c>
      <c r="GC13" t="e">
        <f>AND(#REF!,"AAAAAC//37g=")</f>
        <v>#REF!</v>
      </c>
      <c r="GD13" t="e">
        <f>AND(#REF!,"AAAAAC//37k=")</f>
        <v>#REF!</v>
      </c>
      <c r="GE13" t="e">
        <f>AND(#REF!,"AAAAAC//37o=")</f>
        <v>#REF!</v>
      </c>
      <c r="GF13" t="e">
        <f>AND(#REF!,"AAAAAC//37s=")</f>
        <v>#REF!</v>
      </c>
      <c r="GG13" t="e">
        <f>AND(#REF!,"AAAAAC//37w=")</f>
        <v>#REF!</v>
      </c>
      <c r="GH13" t="e">
        <f>AND(#REF!,"AAAAAC//370=")</f>
        <v>#REF!</v>
      </c>
      <c r="GI13" t="e">
        <f>AND(#REF!,"AAAAAC//374=")</f>
        <v>#REF!</v>
      </c>
      <c r="GJ13" t="e">
        <f>AND(#REF!,"AAAAAC//378=")</f>
        <v>#REF!</v>
      </c>
      <c r="GK13" t="e">
        <f>AND(#REF!,"AAAAAC//38A=")</f>
        <v>#REF!</v>
      </c>
      <c r="GL13" t="e">
        <f>AND(#REF!,"AAAAAC//38E=")</f>
        <v>#REF!</v>
      </c>
      <c r="GM13" t="e">
        <f>AND(#REF!,"AAAAAC//38I=")</f>
        <v>#REF!</v>
      </c>
      <c r="GN13" t="e">
        <f>AND(#REF!,"AAAAAC//38M=")</f>
        <v>#REF!</v>
      </c>
      <c r="GO13" t="e">
        <f>AND(#REF!,"AAAAAC//38Q=")</f>
        <v>#REF!</v>
      </c>
      <c r="GP13" t="e">
        <f>AND(#REF!,"AAAAAC//38U=")</f>
        <v>#REF!</v>
      </c>
      <c r="GQ13" t="e">
        <f>AND(#REF!,"AAAAAC//38Y=")</f>
        <v>#REF!</v>
      </c>
      <c r="GR13" t="e">
        <f>AND(#REF!,"AAAAAC//38c=")</f>
        <v>#REF!</v>
      </c>
      <c r="GS13" t="e">
        <f>AND(#REF!,"AAAAAC//38g=")</f>
        <v>#REF!</v>
      </c>
      <c r="GT13" t="e">
        <f>AND(#REF!,"AAAAAC//38k=")</f>
        <v>#REF!</v>
      </c>
      <c r="GU13" t="e">
        <f>AND(#REF!,"AAAAAC//38o=")</f>
        <v>#REF!</v>
      </c>
      <c r="GV13" t="e">
        <f>AND(#REF!,"AAAAAC//38s=")</f>
        <v>#REF!</v>
      </c>
      <c r="GW13" t="e">
        <f>AND(#REF!,"AAAAAC//38w=")</f>
        <v>#REF!</v>
      </c>
      <c r="GX13" t="e">
        <f>AND(#REF!,"AAAAAC//380=")</f>
        <v>#REF!</v>
      </c>
      <c r="GY13" t="e">
        <f>AND(#REF!,"AAAAAC//384=")</f>
        <v>#REF!</v>
      </c>
      <c r="GZ13" t="e">
        <f>AND(#REF!,"AAAAAC//388=")</f>
        <v>#REF!</v>
      </c>
      <c r="HA13" t="e">
        <f>AND(#REF!,"AAAAAC//39A=")</f>
        <v>#REF!</v>
      </c>
      <c r="HB13" t="e">
        <f>AND(#REF!,"AAAAAC//39E=")</f>
        <v>#REF!</v>
      </c>
      <c r="HC13" t="e">
        <f>IF(#REF!,"AAAAAC//39I=",0)</f>
        <v>#REF!</v>
      </c>
      <c r="HD13" t="e">
        <f>AND(#REF!,"AAAAAC//39M=")</f>
        <v>#REF!</v>
      </c>
      <c r="HE13" t="e">
        <f>AND(#REF!,"AAAAAC//39Q=")</f>
        <v>#REF!</v>
      </c>
      <c r="HF13" t="e">
        <f>AND(#REF!,"AAAAAC//39U=")</f>
        <v>#REF!</v>
      </c>
      <c r="HG13" t="e">
        <f>AND(#REF!,"AAAAAC//39Y=")</f>
        <v>#REF!</v>
      </c>
      <c r="HH13" t="e">
        <f>AND(#REF!,"AAAAAC//39c=")</f>
        <v>#REF!</v>
      </c>
      <c r="HI13" t="e">
        <f>AND(#REF!,"AAAAAC//39g=")</f>
        <v>#REF!</v>
      </c>
      <c r="HJ13" t="e">
        <f>AND(#REF!,"AAAAAC//39k=")</f>
        <v>#REF!</v>
      </c>
      <c r="HK13" t="e">
        <f>AND(#REF!,"AAAAAC//39o=")</f>
        <v>#REF!</v>
      </c>
      <c r="HL13" t="e">
        <f>AND(#REF!,"AAAAAC//39s=")</f>
        <v>#REF!</v>
      </c>
      <c r="HM13" t="e">
        <f>AND(#REF!,"AAAAAC//39w=")</f>
        <v>#REF!</v>
      </c>
      <c r="HN13" t="e">
        <f>AND(#REF!,"AAAAAC//390=")</f>
        <v>#REF!</v>
      </c>
      <c r="HO13" t="e">
        <f>AND(#REF!,"AAAAAC//394=")</f>
        <v>#REF!</v>
      </c>
      <c r="HP13" t="e">
        <f>AND(#REF!,"AAAAAC//398=")</f>
        <v>#REF!</v>
      </c>
      <c r="HQ13" t="e">
        <f>AND(#REF!,"AAAAAC//3+A=")</f>
        <v>#REF!</v>
      </c>
      <c r="HR13" t="e">
        <f>AND(#REF!,"AAAAAC//3+E=")</f>
        <v>#REF!</v>
      </c>
      <c r="HS13" t="e">
        <f>AND(#REF!,"AAAAAC//3+I=")</f>
        <v>#REF!</v>
      </c>
      <c r="HT13" t="e">
        <f>AND(#REF!,"AAAAAC//3+M=")</f>
        <v>#REF!</v>
      </c>
      <c r="HU13" t="e">
        <f>AND(#REF!,"AAAAAC//3+Q=")</f>
        <v>#REF!</v>
      </c>
      <c r="HV13" t="e">
        <f>AND(#REF!,"AAAAAC//3+U=")</f>
        <v>#REF!</v>
      </c>
      <c r="HW13" t="e">
        <f>AND(#REF!,"AAAAAC//3+Y=")</f>
        <v>#REF!</v>
      </c>
      <c r="HX13" t="e">
        <f>AND(#REF!,"AAAAAC//3+c=")</f>
        <v>#REF!</v>
      </c>
      <c r="HY13" t="e">
        <f>AND(#REF!,"AAAAAC//3+g=")</f>
        <v>#REF!</v>
      </c>
      <c r="HZ13" t="e">
        <f>AND(#REF!,"AAAAAC//3+k=")</f>
        <v>#REF!</v>
      </c>
      <c r="IA13" t="e">
        <f>AND(#REF!,"AAAAAC//3+o=")</f>
        <v>#REF!</v>
      </c>
      <c r="IB13" t="e">
        <f>AND(#REF!,"AAAAAC//3+s=")</f>
        <v>#REF!</v>
      </c>
      <c r="IC13" t="e">
        <f>AND(#REF!,"AAAAAC//3+w=")</f>
        <v>#REF!</v>
      </c>
      <c r="ID13" t="e">
        <f>AND(#REF!,"AAAAAC//3+0=")</f>
        <v>#REF!</v>
      </c>
      <c r="IE13" t="e">
        <f>AND(#REF!,"AAAAAC//3+4=")</f>
        <v>#REF!</v>
      </c>
      <c r="IF13" t="e">
        <f>AND(#REF!,"AAAAAC//3+8=")</f>
        <v>#REF!</v>
      </c>
      <c r="IG13" t="e">
        <f>AND(#REF!,"AAAAAC//3/A=")</f>
        <v>#REF!</v>
      </c>
      <c r="IH13" t="e">
        <f>AND(#REF!,"AAAAAC//3/E=")</f>
        <v>#REF!</v>
      </c>
      <c r="II13" t="e">
        <f>AND(#REF!,"AAAAAC//3/I=")</f>
        <v>#REF!</v>
      </c>
      <c r="IJ13" t="e">
        <f>AND(#REF!,"AAAAAC//3/M=")</f>
        <v>#REF!</v>
      </c>
      <c r="IK13" t="e">
        <f>AND(#REF!,"AAAAAC//3/Q=")</f>
        <v>#REF!</v>
      </c>
      <c r="IL13" t="e">
        <f>AND(#REF!,"AAAAAC//3/U=")</f>
        <v>#REF!</v>
      </c>
      <c r="IM13" t="e">
        <f>AND(#REF!,"AAAAAC//3/Y=")</f>
        <v>#REF!</v>
      </c>
      <c r="IN13" t="e">
        <f>AND(#REF!,"AAAAAC//3/c=")</f>
        <v>#REF!</v>
      </c>
      <c r="IO13" t="e">
        <f>AND(#REF!,"AAAAAC//3/g=")</f>
        <v>#REF!</v>
      </c>
      <c r="IP13" t="e">
        <f>AND(#REF!,"AAAAAC//3/k=")</f>
        <v>#REF!</v>
      </c>
      <c r="IQ13" t="e">
        <f>AND(#REF!,"AAAAAC//3/o=")</f>
        <v>#REF!</v>
      </c>
      <c r="IR13" t="e">
        <f>IF(#REF!,"AAAAAC//3/s=",0)</f>
        <v>#REF!</v>
      </c>
      <c r="IS13" t="e">
        <f>AND(#REF!,"AAAAAC//3/w=")</f>
        <v>#REF!</v>
      </c>
      <c r="IT13" t="e">
        <f>AND(#REF!,"AAAAAC//3/0=")</f>
        <v>#REF!</v>
      </c>
      <c r="IU13" t="e">
        <f>AND(#REF!,"AAAAAC//3/4=")</f>
        <v>#REF!</v>
      </c>
      <c r="IV13" t="e">
        <f>AND(#REF!,"AAAAAC//3/8=")</f>
        <v>#REF!</v>
      </c>
    </row>
    <row r="14" spans="1:256" x14ac:dyDescent="0.2">
      <c r="A14" t="e">
        <f>AND(#REF!,"AAAAAGU/owA=")</f>
        <v>#REF!</v>
      </c>
      <c r="B14" t="e">
        <f>AND(#REF!,"AAAAAGU/owE=")</f>
        <v>#REF!</v>
      </c>
      <c r="C14" t="e">
        <f>AND(#REF!,"AAAAAGU/owI=")</f>
        <v>#REF!</v>
      </c>
      <c r="D14" t="e">
        <f>AND(#REF!,"AAAAAGU/owM=")</f>
        <v>#REF!</v>
      </c>
      <c r="E14" t="e">
        <f>AND(#REF!,"AAAAAGU/owQ=")</f>
        <v>#REF!</v>
      </c>
      <c r="F14" t="e">
        <f>AND(#REF!,"AAAAAGU/owU=")</f>
        <v>#REF!</v>
      </c>
      <c r="G14" t="e">
        <f>AND(#REF!,"AAAAAGU/owY=")</f>
        <v>#REF!</v>
      </c>
      <c r="H14" t="e">
        <f>AND(#REF!,"AAAAAGU/owc=")</f>
        <v>#REF!</v>
      </c>
      <c r="I14" t="e">
        <f>AND(#REF!,"AAAAAGU/owg=")</f>
        <v>#REF!</v>
      </c>
      <c r="J14" t="e">
        <f>AND(#REF!,"AAAAAGU/owk=")</f>
        <v>#REF!</v>
      </c>
      <c r="K14" t="e">
        <f>AND(#REF!,"AAAAAGU/owo=")</f>
        <v>#REF!</v>
      </c>
      <c r="L14" t="e">
        <f>AND(#REF!,"AAAAAGU/ows=")</f>
        <v>#REF!</v>
      </c>
      <c r="M14" t="e">
        <f>AND(#REF!,"AAAAAGU/oww=")</f>
        <v>#REF!</v>
      </c>
      <c r="N14" t="e">
        <f>AND(#REF!,"AAAAAGU/ow0=")</f>
        <v>#REF!</v>
      </c>
      <c r="O14" t="e">
        <f>AND(#REF!,"AAAAAGU/ow4=")</f>
        <v>#REF!</v>
      </c>
      <c r="P14" t="e">
        <f>AND(#REF!,"AAAAAGU/ow8=")</f>
        <v>#REF!</v>
      </c>
      <c r="Q14" t="e">
        <f>AND(#REF!,"AAAAAGU/oxA=")</f>
        <v>#REF!</v>
      </c>
      <c r="R14" t="e">
        <f>AND(#REF!,"AAAAAGU/oxE=")</f>
        <v>#REF!</v>
      </c>
      <c r="S14" t="e">
        <f>AND(#REF!,"AAAAAGU/oxI=")</f>
        <v>#REF!</v>
      </c>
      <c r="T14" t="e">
        <f>AND(#REF!,"AAAAAGU/oxM=")</f>
        <v>#REF!</v>
      </c>
      <c r="U14" t="e">
        <f>AND(#REF!,"AAAAAGU/oxQ=")</f>
        <v>#REF!</v>
      </c>
      <c r="V14" t="e">
        <f>AND(#REF!,"AAAAAGU/oxU=")</f>
        <v>#REF!</v>
      </c>
      <c r="W14" t="e">
        <f>AND(#REF!,"AAAAAGU/oxY=")</f>
        <v>#REF!</v>
      </c>
      <c r="X14" t="e">
        <f>AND(#REF!,"AAAAAGU/oxc=")</f>
        <v>#REF!</v>
      </c>
      <c r="Y14" t="e">
        <f>AND(#REF!,"AAAAAGU/oxg=")</f>
        <v>#REF!</v>
      </c>
      <c r="Z14" t="e">
        <f>AND(#REF!,"AAAAAGU/oxk=")</f>
        <v>#REF!</v>
      </c>
      <c r="AA14" t="e">
        <f>AND(#REF!,"AAAAAGU/oxo=")</f>
        <v>#REF!</v>
      </c>
      <c r="AB14" t="e">
        <f>AND(#REF!,"AAAAAGU/oxs=")</f>
        <v>#REF!</v>
      </c>
      <c r="AC14" t="e">
        <f>AND(#REF!,"AAAAAGU/oxw=")</f>
        <v>#REF!</v>
      </c>
      <c r="AD14" t="e">
        <f>AND(#REF!,"AAAAAGU/ox0=")</f>
        <v>#REF!</v>
      </c>
      <c r="AE14" t="e">
        <f>AND(#REF!,"AAAAAGU/ox4=")</f>
        <v>#REF!</v>
      </c>
      <c r="AF14" t="e">
        <f>AND(#REF!,"AAAAAGU/ox8=")</f>
        <v>#REF!</v>
      </c>
      <c r="AG14" t="e">
        <f>AND(#REF!,"AAAAAGU/oyA=")</f>
        <v>#REF!</v>
      </c>
      <c r="AH14" t="e">
        <f>AND(#REF!,"AAAAAGU/oyE=")</f>
        <v>#REF!</v>
      </c>
      <c r="AI14" t="e">
        <f>AND(#REF!,"AAAAAGU/oyI=")</f>
        <v>#REF!</v>
      </c>
      <c r="AJ14" t="e">
        <f>AND(#REF!,"AAAAAGU/oyM=")</f>
        <v>#REF!</v>
      </c>
      <c r="AK14" t="e">
        <f>IF(#REF!,"AAAAAGU/oyQ=",0)</f>
        <v>#REF!</v>
      </c>
      <c r="AL14" t="e">
        <f>AND(#REF!,"AAAAAGU/oyU=")</f>
        <v>#REF!</v>
      </c>
      <c r="AM14" t="e">
        <f>AND(#REF!,"AAAAAGU/oyY=")</f>
        <v>#REF!</v>
      </c>
      <c r="AN14" t="e">
        <f>AND(#REF!,"AAAAAGU/oyc=")</f>
        <v>#REF!</v>
      </c>
      <c r="AO14" t="e">
        <f>AND(#REF!,"AAAAAGU/oyg=")</f>
        <v>#REF!</v>
      </c>
      <c r="AP14" t="e">
        <f>AND(#REF!,"AAAAAGU/oyk=")</f>
        <v>#REF!</v>
      </c>
      <c r="AQ14" t="e">
        <f>AND(#REF!,"AAAAAGU/oyo=")</f>
        <v>#REF!</v>
      </c>
      <c r="AR14" t="e">
        <f>AND(#REF!,"AAAAAGU/oys=")</f>
        <v>#REF!</v>
      </c>
      <c r="AS14" t="e">
        <f>AND(#REF!,"AAAAAGU/oyw=")</f>
        <v>#REF!</v>
      </c>
      <c r="AT14" t="e">
        <f>AND(#REF!,"AAAAAGU/oy0=")</f>
        <v>#REF!</v>
      </c>
      <c r="AU14" t="e">
        <f>AND(#REF!,"AAAAAGU/oy4=")</f>
        <v>#REF!</v>
      </c>
      <c r="AV14" t="e">
        <f>AND(#REF!,"AAAAAGU/oy8=")</f>
        <v>#REF!</v>
      </c>
      <c r="AW14" t="e">
        <f>AND(#REF!,"AAAAAGU/ozA=")</f>
        <v>#REF!</v>
      </c>
      <c r="AX14" t="e">
        <f>AND(#REF!,"AAAAAGU/ozE=")</f>
        <v>#REF!</v>
      </c>
      <c r="AY14" t="e">
        <f>AND(#REF!,"AAAAAGU/ozI=")</f>
        <v>#REF!</v>
      </c>
      <c r="AZ14" t="e">
        <f>AND(#REF!,"AAAAAGU/ozM=")</f>
        <v>#REF!</v>
      </c>
      <c r="BA14" t="e">
        <f>AND(#REF!,"AAAAAGU/ozQ=")</f>
        <v>#REF!</v>
      </c>
      <c r="BB14" t="e">
        <f>AND(#REF!,"AAAAAGU/ozU=")</f>
        <v>#REF!</v>
      </c>
      <c r="BC14" t="e">
        <f>AND(#REF!,"AAAAAGU/ozY=")</f>
        <v>#REF!</v>
      </c>
      <c r="BD14" t="e">
        <f>AND(#REF!,"AAAAAGU/ozc=")</f>
        <v>#REF!</v>
      </c>
      <c r="BE14" t="e">
        <f>AND(#REF!,"AAAAAGU/ozg=")</f>
        <v>#REF!</v>
      </c>
      <c r="BF14" t="e">
        <f>AND(#REF!,"AAAAAGU/ozk=")</f>
        <v>#REF!</v>
      </c>
      <c r="BG14" t="e">
        <f>AND(#REF!,"AAAAAGU/ozo=")</f>
        <v>#REF!</v>
      </c>
      <c r="BH14" t="e">
        <f>AND(#REF!,"AAAAAGU/ozs=")</f>
        <v>#REF!</v>
      </c>
      <c r="BI14" t="e">
        <f>AND(#REF!,"AAAAAGU/ozw=")</f>
        <v>#REF!</v>
      </c>
      <c r="BJ14" t="e">
        <f>AND(#REF!,"AAAAAGU/oz0=")</f>
        <v>#REF!</v>
      </c>
      <c r="BK14" t="e">
        <f>AND(#REF!,"AAAAAGU/oz4=")</f>
        <v>#REF!</v>
      </c>
      <c r="BL14" t="e">
        <f>AND(#REF!,"AAAAAGU/oz8=")</f>
        <v>#REF!</v>
      </c>
      <c r="BM14" t="e">
        <f>AND(#REF!,"AAAAAGU/o0A=")</f>
        <v>#REF!</v>
      </c>
      <c r="BN14" t="e">
        <f>AND(#REF!,"AAAAAGU/o0E=")</f>
        <v>#REF!</v>
      </c>
      <c r="BO14" t="e">
        <f>AND(#REF!,"AAAAAGU/o0I=")</f>
        <v>#REF!</v>
      </c>
      <c r="BP14" t="e">
        <f>AND(#REF!,"AAAAAGU/o0M=")</f>
        <v>#REF!</v>
      </c>
      <c r="BQ14" t="e">
        <f>AND(#REF!,"AAAAAGU/o0Q=")</f>
        <v>#REF!</v>
      </c>
      <c r="BR14" t="e">
        <f>AND(#REF!,"AAAAAGU/o0U=")</f>
        <v>#REF!</v>
      </c>
      <c r="BS14" t="e">
        <f>AND(#REF!,"AAAAAGU/o0Y=")</f>
        <v>#REF!</v>
      </c>
      <c r="BT14" t="e">
        <f>AND(#REF!,"AAAAAGU/o0c=")</f>
        <v>#REF!</v>
      </c>
      <c r="BU14" t="e">
        <f>AND(#REF!,"AAAAAGU/o0g=")</f>
        <v>#REF!</v>
      </c>
      <c r="BV14" t="e">
        <f>AND(#REF!,"AAAAAGU/o0k=")</f>
        <v>#REF!</v>
      </c>
      <c r="BW14" t="e">
        <f>AND(#REF!,"AAAAAGU/o0o=")</f>
        <v>#REF!</v>
      </c>
      <c r="BX14" t="e">
        <f>AND(#REF!,"AAAAAGU/o0s=")</f>
        <v>#REF!</v>
      </c>
      <c r="BY14" t="e">
        <f>AND(#REF!,"AAAAAGU/o0w=")</f>
        <v>#REF!</v>
      </c>
      <c r="BZ14" t="e">
        <f>IF(#REF!,"AAAAAGU/o00=",0)</f>
        <v>#REF!</v>
      </c>
      <c r="CA14" t="e">
        <f>AND(#REF!,"AAAAAGU/o04=")</f>
        <v>#REF!</v>
      </c>
      <c r="CB14" t="e">
        <f>AND(#REF!,"AAAAAGU/o08=")</f>
        <v>#REF!</v>
      </c>
      <c r="CC14" t="e">
        <f>AND(#REF!,"AAAAAGU/o1A=")</f>
        <v>#REF!</v>
      </c>
      <c r="CD14" t="e">
        <f>AND(#REF!,"AAAAAGU/o1E=")</f>
        <v>#REF!</v>
      </c>
      <c r="CE14" t="e">
        <f>AND(#REF!,"AAAAAGU/o1I=")</f>
        <v>#REF!</v>
      </c>
      <c r="CF14" t="e">
        <f>AND(#REF!,"AAAAAGU/o1M=")</f>
        <v>#REF!</v>
      </c>
      <c r="CG14" t="e">
        <f>AND(#REF!,"AAAAAGU/o1Q=")</f>
        <v>#REF!</v>
      </c>
      <c r="CH14" t="e">
        <f>AND(#REF!,"AAAAAGU/o1U=")</f>
        <v>#REF!</v>
      </c>
      <c r="CI14" t="e">
        <f>AND(#REF!,"AAAAAGU/o1Y=")</f>
        <v>#REF!</v>
      </c>
      <c r="CJ14" t="e">
        <f>AND(#REF!,"AAAAAGU/o1c=")</f>
        <v>#REF!</v>
      </c>
      <c r="CK14" t="e">
        <f>AND(#REF!,"AAAAAGU/o1g=")</f>
        <v>#REF!</v>
      </c>
      <c r="CL14" t="e">
        <f>AND(#REF!,"AAAAAGU/o1k=")</f>
        <v>#REF!</v>
      </c>
      <c r="CM14" t="e">
        <f>AND(#REF!,"AAAAAGU/o1o=")</f>
        <v>#REF!</v>
      </c>
      <c r="CN14" t="e">
        <f>AND(#REF!,"AAAAAGU/o1s=")</f>
        <v>#REF!</v>
      </c>
      <c r="CO14" t="e">
        <f>AND(#REF!,"AAAAAGU/o1w=")</f>
        <v>#REF!</v>
      </c>
      <c r="CP14" t="e">
        <f>AND(#REF!,"AAAAAGU/o10=")</f>
        <v>#REF!</v>
      </c>
      <c r="CQ14" t="e">
        <f>AND(#REF!,"AAAAAGU/o14=")</f>
        <v>#REF!</v>
      </c>
      <c r="CR14" t="e">
        <f>AND(#REF!,"AAAAAGU/o18=")</f>
        <v>#REF!</v>
      </c>
      <c r="CS14" t="e">
        <f>AND(#REF!,"AAAAAGU/o2A=")</f>
        <v>#REF!</v>
      </c>
      <c r="CT14" t="e">
        <f>AND(#REF!,"AAAAAGU/o2E=")</f>
        <v>#REF!</v>
      </c>
      <c r="CU14" t="e">
        <f>AND(#REF!,"AAAAAGU/o2I=")</f>
        <v>#REF!</v>
      </c>
      <c r="CV14" t="e">
        <f>AND(#REF!,"AAAAAGU/o2M=")</f>
        <v>#REF!</v>
      </c>
      <c r="CW14" t="e">
        <f>AND(#REF!,"AAAAAGU/o2Q=")</f>
        <v>#REF!</v>
      </c>
      <c r="CX14" t="e">
        <f>AND(#REF!,"AAAAAGU/o2U=")</f>
        <v>#REF!</v>
      </c>
      <c r="CY14" t="e">
        <f>AND(#REF!,"AAAAAGU/o2Y=")</f>
        <v>#REF!</v>
      </c>
      <c r="CZ14" t="e">
        <f>AND(#REF!,"AAAAAGU/o2c=")</f>
        <v>#REF!</v>
      </c>
      <c r="DA14" t="e">
        <f>AND(#REF!,"AAAAAGU/o2g=")</f>
        <v>#REF!</v>
      </c>
      <c r="DB14" t="e">
        <f>AND(#REF!,"AAAAAGU/o2k=")</f>
        <v>#REF!</v>
      </c>
      <c r="DC14" t="e">
        <f>AND(#REF!,"AAAAAGU/o2o=")</f>
        <v>#REF!</v>
      </c>
      <c r="DD14" t="e">
        <f>AND(#REF!,"AAAAAGU/o2s=")</f>
        <v>#REF!</v>
      </c>
      <c r="DE14" t="e">
        <f>AND(#REF!,"AAAAAGU/o2w=")</f>
        <v>#REF!</v>
      </c>
      <c r="DF14" t="e">
        <f>AND(#REF!,"AAAAAGU/o20=")</f>
        <v>#REF!</v>
      </c>
      <c r="DG14" t="e">
        <f>AND(#REF!,"AAAAAGU/o24=")</f>
        <v>#REF!</v>
      </c>
      <c r="DH14" t="e">
        <f>AND(#REF!,"AAAAAGU/o28=")</f>
        <v>#REF!</v>
      </c>
      <c r="DI14" t="e">
        <f>AND(#REF!,"AAAAAGU/o3A=")</f>
        <v>#REF!</v>
      </c>
      <c r="DJ14" t="e">
        <f>AND(#REF!,"AAAAAGU/o3E=")</f>
        <v>#REF!</v>
      </c>
      <c r="DK14" t="e">
        <f>AND(#REF!,"AAAAAGU/o3I=")</f>
        <v>#REF!</v>
      </c>
      <c r="DL14" t="e">
        <f>AND(#REF!,"AAAAAGU/o3M=")</f>
        <v>#REF!</v>
      </c>
      <c r="DM14" t="e">
        <f>AND(#REF!,"AAAAAGU/o3Q=")</f>
        <v>#REF!</v>
      </c>
      <c r="DN14" t="e">
        <f>AND(#REF!,"AAAAAGU/o3U=")</f>
        <v>#REF!</v>
      </c>
      <c r="DO14" t="e">
        <f>IF(#REF!,"AAAAAGU/o3Y=",0)</f>
        <v>#REF!</v>
      </c>
      <c r="DP14" t="e">
        <f>AND(#REF!,"AAAAAGU/o3c=")</f>
        <v>#REF!</v>
      </c>
      <c r="DQ14" t="e">
        <f>AND(#REF!,"AAAAAGU/o3g=")</f>
        <v>#REF!</v>
      </c>
      <c r="DR14" t="e">
        <f>AND(#REF!,"AAAAAGU/o3k=")</f>
        <v>#REF!</v>
      </c>
      <c r="DS14" t="e">
        <f>AND(#REF!,"AAAAAGU/o3o=")</f>
        <v>#REF!</v>
      </c>
      <c r="DT14" t="e">
        <f>AND(#REF!,"AAAAAGU/o3s=")</f>
        <v>#REF!</v>
      </c>
      <c r="DU14" t="e">
        <f>AND(#REF!,"AAAAAGU/o3w=")</f>
        <v>#REF!</v>
      </c>
      <c r="DV14" t="e">
        <f>AND(#REF!,"AAAAAGU/o30=")</f>
        <v>#REF!</v>
      </c>
      <c r="DW14" t="e">
        <f>AND(#REF!,"AAAAAGU/o34=")</f>
        <v>#REF!</v>
      </c>
      <c r="DX14" t="e">
        <f>AND(#REF!,"AAAAAGU/o38=")</f>
        <v>#REF!</v>
      </c>
      <c r="DY14" t="e">
        <f>AND(#REF!,"AAAAAGU/o4A=")</f>
        <v>#REF!</v>
      </c>
      <c r="DZ14" t="e">
        <f>AND(#REF!,"AAAAAGU/o4E=")</f>
        <v>#REF!</v>
      </c>
      <c r="EA14" t="e">
        <f>AND(#REF!,"AAAAAGU/o4I=")</f>
        <v>#REF!</v>
      </c>
      <c r="EB14" t="e">
        <f>AND(#REF!,"AAAAAGU/o4M=")</f>
        <v>#REF!</v>
      </c>
      <c r="EC14" t="e">
        <f>AND(#REF!,"AAAAAGU/o4Q=")</f>
        <v>#REF!</v>
      </c>
      <c r="ED14" t="e">
        <f>AND(#REF!,"AAAAAGU/o4U=")</f>
        <v>#REF!</v>
      </c>
      <c r="EE14" t="e">
        <f>AND(#REF!,"AAAAAGU/o4Y=")</f>
        <v>#REF!</v>
      </c>
      <c r="EF14" t="e">
        <f>AND(#REF!,"AAAAAGU/o4c=")</f>
        <v>#REF!</v>
      </c>
      <c r="EG14" t="e">
        <f>AND(#REF!,"AAAAAGU/o4g=")</f>
        <v>#REF!</v>
      </c>
      <c r="EH14" t="e">
        <f>AND(#REF!,"AAAAAGU/o4k=")</f>
        <v>#REF!</v>
      </c>
      <c r="EI14" t="e">
        <f>AND(#REF!,"AAAAAGU/o4o=")</f>
        <v>#REF!</v>
      </c>
      <c r="EJ14" t="e">
        <f>AND(#REF!,"AAAAAGU/o4s=")</f>
        <v>#REF!</v>
      </c>
      <c r="EK14" t="e">
        <f>AND(#REF!,"AAAAAGU/o4w=")</f>
        <v>#REF!</v>
      </c>
      <c r="EL14" t="e">
        <f>AND(#REF!,"AAAAAGU/o40=")</f>
        <v>#REF!</v>
      </c>
      <c r="EM14" t="e">
        <f>AND(#REF!,"AAAAAGU/o44=")</f>
        <v>#REF!</v>
      </c>
      <c r="EN14" t="e">
        <f>AND(#REF!,"AAAAAGU/o48=")</f>
        <v>#REF!</v>
      </c>
      <c r="EO14" t="e">
        <f>AND(#REF!,"AAAAAGU/o5A=")</f>
        <v>#REF!</v>
      </c>
      <c r="EP14" t="e">
        <f>AND(#REF!,"AAAAAGU/o5E=")</f>
        <v>#REF!</v>
      </c>
      <c r="EQ14" t="e">
        <f>AND(#REF!,"AAAAAGU/o5I=")</f>
        <v>#REF!</v>
      </c>
      <c r="ER14" t="e">
        <f>AND(#REF!,"AAAAAGU/o5M=")</f>
        <v>#REF!</v>
      </c>
      <c r="ES14" t="e">
        <f>AND(#REF!,"AAAAAGU/o5Q=")</f>
        <v>#REF!</v>
      </c>
      <c r="ET14" t="e">
        <f>AND(#REF!,"AAAAAGU/o5U=")</f>
        <v>#REF!</v>
      </c>
      <c r="EU14" t="e">
        <f>AND(#REF!,"AAAAAGU/o5Y=")</f>
        <v>#REF!</v>
      </c>
      <c r="EV14" t="e">
        <f>AND(#REF!,"AAAAAGU/o5c=")</f>
        <v>#REF!</v>
      </c>
      <c r="EW14" t="e">
        <f>AND(#REF!,"AAAAAGU/o5g=")</f>
        <v>#REF!</v>
      </c>
      <c r="EX14" t="e">
        <f>AND(#REF!,"AAAAAGU/o5k=")</f>
        <v>#REF!</v>
      </c>
      <c r="EY14" t="e">
        <f>AND(#REF!,"AAAAAGU/o5o=")</f>
        <v>#REF!</v>
      </c>
      <c r="EZ14" t="e">
        <f>AND(#REF!,"AAAAAGU/o5s=")</f>
        <v>#REF!</v>
      </c>
      <c r="FA14" t="e">
        <f>AND(#REF!,"AAAAAGU/o5w=")</f>
        <v>#REF!</v>
      </c>
      <c r="FB14" t="e">
        <f>AND(#REF!,"AAAAAGU/o50=")</f>
        <v>#REF!</v>
      </c>
      <c r="FC14" t="e">
        <f>AND(#REF!,"AAAAAGU/o54=")</f>
        <v>#REF!</v>
      </c>
      <c r="FD14" t="e">
        <f>IF(#REF!,"AAAAAGU/o58=",0)</f>
        <v>#REF!</v>
      </c>
      <c r="FE14" t="e">
        <f>AND(#REF!,"AAAAAGU/o6A=")</f>
        <v>#REF!</v>
      </c>
      <c r="FF14" t="e">
        <f>AND(#REF!,"AAAAAGU/o6E=")</f>
        <v>#REF!</v>
      </c>
      <c r="FG14" t="e">
        <f>AND(#REF!,"AAAAAGU/o6I=")</f>
        <v>#REF!</v>
      </c>
      <c r="FH14" t="e">
        <f>AND(#REF!,"AAAAAGU/o6M=")</f>
        <v>#REF!</v>
      </c>
      <c r="FI14" t="e">
        <f>AND(#REF!,"AAAAAGU/o6Q=")</f>
        <v>#REF!</v>
      </c>
      <c r="FJ14" t="e">
        <f>AND(#REF!,"AAAAAGU/o6U=")</f>
        <v>#REF!</v>
      </c>
      <c r="FK14" t="e">
        <f>AND(#REF!,"AAAAAGU/o6Y=")</f>
        <v>#REF!</v>
      </c>
      <c r="FL14" t="e">
        <f>AND(#REF!,"AAAAAGU/o6c=")</f>
        <v>#REF!</v>
      </c>
      <c r="FM14" t="e">
        <f>AND(#REF!,"AAAAAGU/o6g=")</f>
        <v>#REF!</v>
      </c>
      <c r="FN14" t="e">
        <f>AND(#REF!,"AAAAAGU/o6k=")</f>
        <v>#REF!</v>
      </c>
      <c r="FO14" t="e">
        <f>AND(#REF!,"AAAAAGU/o6o=")</f>
        <v>#REF!</v>
      </c>
      <c r="FP14" t="e">
        <f>AND(#REF!,"AAAAAGU/o6s=")</f>
        <v>#REF!</v>
      </c>
      <c r="FQ14" t="e">
        <f>AND(#REF!,"AAAAAGU/o6w=")</f>
        <v>#REF!</v>
      </c>
      <c r="FR14" t="e">
        <f>AND(#REF!,"AAAAAGU/o60=")</f>
        <v>#REF!</v>
      </c>
      <c r="FS14" t="e">
        <f>AND(#REF!,"AAAAAGU/o64=")</f>
        <v>#REF!</v>
      </c>
      <c r="FT14" t="e">
        <f>AND(#REF!,"AAAAAGU/o68=")</f>
        <v>#REF!</v>
      </c>
      <c r="FU14" t="e">
        <f>AND(#REF!,"AAAAAGU/o7A=")</f>
        <v>#REF!</v>
      </c>
      <c r="FV14" t="e">
        <f>AND(#REF!,"AAAAAGU/o7E=")</f>
        <v>#REF!</v>
      </c>
      <c r="FW14" t="e">
        <f>AND(#REF!,"AAAAAGU/o7I=")</f>
        <v>#REF!</v>
      </c>
      <c r="FX14" t="e">
        <f>AND(#REF!,"AAAAAGU/o7M=")</f>
        <v>#REF!</v>
      </c>
      <c r="FY14" t="e">
        <f>AND(#REF!,"AAAAAGU/o7Q=")</f>
        <v>#REF!</v>
      </c>
      <c r="FZ14" t="e">
        <f>AND(#REF!,"AAAAAGU/o7U=")</f>
        <v>#REF!</v>
      </c>
      <c r="GA14" t="e">
        <f>AND(#REF!,"AAAAAGU/o7Y=")</f>
        <v>#REF!</v>
      </c>
      <c r="GB14" t="e">
        <f>AND(#REF!,"AAAAAGU/o7c=")</f>
        <v>#REF!</v>
      </c>
      <c r="GC14" t="e">
        <f>AND(#REF!,"AAAAAGU/o7g=")</f>
        <v>#REF!</v>
      </c>
      <c r="GD14" t="e">
        <f>AND(#REF!,"AAAAAGU/o7k=")</f>
        <v>#REF!</v>
      </c>
      <c r="GE14" t="e">
        <f>AND(#REF!,"AAAAAGU/o7o=")</f>
        <v>#REF!</v>
      </c>
      <c r="GF14" t="e">
        <f>AND(#REF!,"AAAAAGU/o7s=")</f>
        <v>#REF!</v>
      </c>
      <c r="GG14" t="e">
        <f>AND(#REF!,"AAAAAGU/o7w=")</f>
        <v>#REF!</v>
      </c>
      <c r="GH14" t="e">
        <f>AND(#REF!,"AAAAAGU/o70=")</f>
        <v>#REF!</v>
      </c>
      <c r="GI14" t="e">
        <f>AND(#REF!,"AAAAAGU/o74=")</f>
        <v>#REF!</v>
      </c>
      <c r="GJ14" t="e">
        <f>AND(#REF!,"AAAAAGU/o78=")</f>
        <v>#REF!</v>
      </c>
      <c r="GK14" t="e">
        <f>AND(#REF!,"AAAAAGU/o8A=")</f>
        <v>#REF!</v>
      </c>
      <c r="GL14" t="e">
        <f>AND(#REF!,"AAAAAGU/o8E=")</f>
        <v>#REF!</v>
      </c>
      <c r="GM14" t="e">
        <f>AND(#REF!,"AAAAAGU/o8I=")</f>
        <v>#REF!</v>
      </c>
      <c r="GN14" t="e">
        <f>AND(#REF!,"AAAAAGU/o8M=")</f>
        <v>#REF!</v>
      </c>
      <c r="GO14" t="e">
        <f>AND(#REF!,"AAAAAGU/o8Q=")</f>
        <v>#REF!</v>
      </c>
      <c r="GP14" t="e">
        <f>AND(#REF!,"AAAAAGU/o8U=")</f>
        <v>#REF!</v>
      </c>
      <c r="GQ14" t="e">
        <f>AND(#REF!,"AAAAAGU/o8Y=")</f>
        <v>#REF!</v>
      </c>
      <c r="GR14" t="e">
        <f>AND(#REF!,"AAAAAGU/o8c=")</f>
        <v>#REF!</v>
      </c>
      <c r="GS14" t="e">
        <f>IF(#REF!,"AAAAAGU/o8g=",0)</f>
        <v>#REF!</v>
      </c>
      <c r="GT14" t="e">
        <f>AND(#REF!,"AAAAAGU/o8k=")</f>
        <v>#REF!</v>
      </c>
      <c r="GU14" t="e">
        <f>AND(#REF!,"AAAAAGU/o8o=")</f>
        <v>#REF!</v>
      </c>
      <c r="GV14" t="e">
        <f>AND(#REF!,"AAAAAGU/o8s=")</f>
        <v>#REF!</v>
      </c>
      <c r="GW14" t="e">
        <f>AND(#REF!,"AAAAAGU/o8w=")</f>
        <v>#REF!</v>
      </c>
      <c r="GX14" t="e">
        <f>AND(#REF!,"AAAAAGU/o80=")</f>
        <v>#REF!</v>
      </c>
      <c r="GY14" t="e">
        <f>AND(#REF!,"AAAAAGU/o84=")</f>
        <v>#REF!</v>
      </c>
      <c r="GZ14" t="e">
        <f>AND(#REF!,"AAAAAGU/o88=")</f>
        <v>#REF!</v>
      </c>
      <c r="HA14" t="e">
        <f>AND(#REF!,"AAAAAGU/o9A=")</f>
        <v>#REF!</v>
      </c>
      <c r="HB14" t="e">
        <f>AND(#REF!,"AAAAAGU/o9E=")</f>
        <v>#REF!</v>
      </c>
      <c r="HC14" t="e">
        <f>AND(#REF!,"AAAAAGU/o9I=")</f>
        <v>#REF!</v>
      </c>
      <c r="HD14" t="e">
        <f>AND(#REF!,"AAAAAGU/o9M=")</f>
        <v>#REF!</v>
      </c>
      <c r="HE14" t="e">
        <f>AND(#REF!,"AAAAAGU/o9Q=")</f>
        <v>#REF!</v>
      </c>
      <c r="HF14" t="e">
        <f>AND(#REF!,"AAAAAGU/o9U=")</f>
        <v>#REF!</v>
      </c>
      <c r="HG14" t="e">
        <f>AND(#REF!,"AAAAAGU/o9Y=")</f>
        <v>#REF!</v>
      </c>
      <c r="HH14" t="e">
        <f>AND(#REF!,"AAAAAGU/o9c=")</f>
        <v>#REF!</v>
      </c>
      <c r="HI14" t="e">
        <f>AND(#REF!,"AAAAAGU/o9g=")</f>
        <v>#REF!</v>
      </c>
      <c r="HJ14" t="e">
        <f>AND(#REF!,"AAAAAGU/o9k=")</f>
        <v>#REF!</v>
      </c>
      <c r="HK14" t="e">
        <f>AND(#REF!,"AAAAAGU/o9o=")</f>
        <v>#REF!</v>
      </c>
      <c r="HL14" t="e">
        <f>AND(#REF!,"AAAAAGU/o9s=")</f>
        <v>#REF!</v>
      </c>
      <c r="HM14" t="e">
        <f>AND(#REF!,"AAAAAGU/o9w=")</f>
        <v>#REF!</v>
      </c>
      <c r="HN14" t="e">
        <f>AND(#REF!,"AAAAAGU/o90=")</f>
        <v>#REF!</v>
      </c>
      <c r="HO14" t="e">
        <f>AND(#REF!,"AAAAAGU/o94=")</f>
        <v>#REF!</v>
      </c>
      <c r="HP14" t="e">
        <f>AND(#REF!,"AAAAAGU/o98=")</f>
        <v>#REF!</v>
      </c>
      <c r="HQ14" t="e">
        <f>AND(#REF!,"AAAAAGU/o+A=")</f>
        <v>#REF!</v>
      </c>
      <c r="HR14" t="e">
        <f>AND(#REF!,"AAAAAGU/o+E=")</f>
        <v>#REF!</v>
      </c>
      <c r="HS14" t="e">
        <f>AND(#REF!,"AAAAAGU/o+I=")</f>
        <v>#REF!</v>
      </c>
      <c r="HT14" t="e">
        <f>AND(#REF!,"AAAAAGU/o+M=")</f>
        <v>#REF!</v>
      </c>
      <c r="HU14" t="e">
        <f>AND(#REF!,"AAAAAGU/o+Q=")</f>
        <v>#REF!</v>
      </c>
      <c r="HV14" t="e">
        <f>AND(#REF!,"AAAAAGU/o+U=")</f>
        <v>#REF!</v>
      </c>
      <c r="HW14" t="e">
        <f>AND(#REF!,"AAAAAGU/o+Y=")</f>
        <v>#REF!</v>
      </c>
      <c r="HX14" t="e">
        <f>AND(#REF!,"AAAAAGU/o+c=")</f>
        <v>#REF!</v>
      </c>
      <c r="HY14" t="e">
        <f>AND(#REF!,"AAAAAGU/o+g=")</f>
        <v>#REF!</v>
      </c>
      <c r="HZ14" t="e">
        <f>AND(#REF!,"AAAAAGU/o+k=")</f>
        <v>#REF!</v>
      </c>
      <c r="IA14" t="e">
        <f>AND(#REF!,"AAAAAGU/o+o=")</f>
        <v>#REF!</v>
      </c>
      <c r="IB14" t="e">
        <f>AND(#REF!,"AAAAAGU/o+s=")</f>
        <v>#REF!</v>
      </c>
      <c r="IC14" t="e">
        <f>AND(#REF!,"AAAAAGU/o+w=")</f>
        <v>#REF!</v>
      </c>
      <c r="ID14" t="e">
        <f>AND(#REF!,"AAAAAGU/o+0=")</f>
        <v>#REF!</v>
      </c>
      <c r="IE14" t="e">
        <f>AND(#REF!,"AAAAAGU/o+4=")</f>
        <v>#REF!</v>
      </c>
      <c r="IF14" t="e">
        <f>AND(#REF!,"AAAAAGU/o+8=")</f>
        <v>#REF!</v>
      </c>
      <c r="IG14" t="e">
        <f>AND(#REF!,"AAAAAGU/o/A=")</f>
        <v>#REF!</v>
      </c>
      <c r="IH14" t="e">
        <f>IF(#REF!,"AAAAAGU/o/E=",0)</f>
        <v>#REF!</v>
      </c>
      <c r="II14" t="e">
        <f>AND(#REF!,"AAAAAGU/o/I=")</f>
        <v>#REF!</v>
      </c>
      <c r="IJ14" t="e">
        <f>AND(#REF!,"AAAAAGU/o/M=")</f>
        <v>#REF!</v>
      </c>
      <c r="IK14" t="e">
        <f>AND(#REF!,"AAAAAGU/o/Q=")</f>
        <v>#REF!</v>
      </c>
      <c r="IL14" t="e">
        <f>AND(#REF!,"AAAAAGU/o/U=")</f>
        <v>#REF!</v>
      </c>
      <c r="IM14" t="e">
        <f>AND(#REF!,"AAAAAGU/o/Y=")</f>
        <v>#REF!</v>
      </c>
      <c r="IN14" t="e">
        <f>AND(#REF!,"AAAAAGU/o/c=")</f>
        <v>#REF!</v>
      </c>
      <c r="IO14" t="e">
        <f>AND(#REF!,"AAAAAGU/o/g=")</f>
        <v>#REF!</v>
      </c>
      <c r="IP14" t="e">
        <f>AND(#REF!,"AAAAAGU/o/k=")</f>
        <v>#REF!</v>
      </c>
      <c r="IQ14" t="e">
        <f>AND(#REF!,"AAAAAGU/o/o=")</f>
        <v>#REF!</v>
      </c>
      <c r="IR14" t="e">
        <f>AND(#REF!,"AAAAAGU/o/s=")</f>
        <v>#REF!</v>
      </c>
      <c r="IS14" t="e">
        <f>AND(#REF!,"AAAAAGU/o/w=")</f>
        <v>#REF!</v>
      </c>
      <c r="IT14" t="e">
        <f>AND(#REF!,"AAAAAGU/o/0=")</f>
        <v>#REF!</v>
      </c>
      <c r="IU14" t="e">
        <f>AND(#REF!,"AAAAAGU/o/4=")</f>
        <v>#REF!</v>
      </c>
      <c r="IV14" t="e">
        <f>AND(#REF!,"AAAAAGU/o/8=")</f>
        <v>#REF!</v>
      </c>
    </row>
    <row r="15" spans="1:256" x14ac:dyDescent="0.2">
      <c r="A15" t="e">
        <f>AND(#REF!,"AAAAAG/e/wA=")</f>
        <v>#REF!</v>
      </c>
      <c r="B15" t="e">
        <f>AND(#REF!,"AAAAAG/e/wE=")</f>
        <v>#REF!</v>
      </c>
      <c r="C15" t="e">
        <f>AND(#REF!,"AAAAAG/e/wI=")</f>
        <v>#REF!</v>
      </c>
      <c r="D15" t="e">
        <f>AND(#REF!,"AAAAAG/e/wM=")</f>
        <v>#REF!</v>
      </c>
      <c r="E15" t="e">
        <f>AND(#REF!,"AAAAAG/e/wQ=")</f>
        <v>#REF!</v>
      </c>
      <c r="F15" t="e">
        <f>AND(#REF!,"AAAAAG/e/wU=")</f>
        <v>#REF!</v>
      </c>
      <c r="G15" t="e">
        <f>AND(#REF!,"AAAAAG/e/wY=")</f>
        <v>#REF!</v>
      </c>
      <c r="H15" t="e">
        <f>AND(#REF!,"AAAAAG/e/wc=")</f>
        <v>#REF!</v>
      </c>
      <c r="I15" t="e">
        <f>AND(#REF!,"AAAAAG/e/wg=")</f>
        <v>#REF!</v>
      </c>
      <c r="J15" t="e">
        <f>AND(#REF!,"AAAAAG/e/wk=")</f>
        <v>#REF!</v>
      </c>
      <c r="K15" t="e">
        <f>AND(#REF!,"AAAAAG/e/wo=")</f>
        <v>#REF!</v>
      </c>
      <c r="L15" t="e">
        <f>AND(#REF!,"AAAAAG/e/ws=")</f>
        <v>#REF!</v>
      </c>
      <c r="M15" t="e">
        <f>AND(#REF!,"AAAAAG/e/ww=")</f>
        <v>#REF!</v>
      </c>
      <c r="N15" t="e">
        <f>AND(#REF!,"AAAAAG/e/w0=")</f>
        <v>#REF!</v>
      </c>
      <c r="O15" t="e">
        <f>AND(#REF!,"AAAAAG/e/w4=")</f>
        <v>#REF!</v>
      </c>
      <c r="P15" t="e">
        <f>AND(#REF!,"AAAAAG/e/w8=")</f>
        <v>#REF!</v>
      </c>
      <c r="Q15" t="e">
        <f>AND(#REF!,"AAAAAG/e/xA=")</f>
        <v>#REF!</v>
      </c>
      <c r="R15" t="e">
        <f>AND(#REF!,"AAAAAG/e/xE=")</f>
        <v>#REF!</v>
      </c>
      <c r="S15" t="e">
        <f>AND(#REF!,"AAAAAG/e/xI=")</f>
        <v>#REF!</v>
      </c>
      <c r="T15" t="e">
        <f>AND(#REF!,"AAAAAG/e/xM=")</f>
        <v>#REF!</v>
      </c>
      <c r="U15" t="e">
        <f>AND(#REF!,"AAAAAG/e/xQ=")</f>
        <v>#REF!</v>
      </c>
      <c r="V15" t="e">
        <f>AND(#REF!,"AAAAAG/e/xU=")</f>
        <v>#REF!</v>
      </c>
      <c r="W15" t="e">
        <f>AND(#REF!,"AAAAAG/e/xY=")</f>
        <v>#REF!</v>
      </c>
      <c r="X15" t="e">
        <f>AND(#REF!,"AAAAAG/e/xc=")</f>
        <v>#REF!</v>
      </c>
      <c r="Y15" t="e">
        <f>AND(#REF!,"AAAAAG/e/xg=")</f>
        <v>#REF!</v>
      </c>
      <c r="Z15" t="e">
        <f>AND(#REF!,"AAAAAG/e/xk=")</f>
        <v>#REF!</v>
      </c>
      <c r="AA15" t="e">
        <f>IF(#REF!,"AAAAAG/e/xo=",0)</f>
        <v>#REF!</v>
      </c>
      <c r="AB15" t="e">
        <f>AND(#REF!,"AAAAAG/e/xs=")</f>
        <v>#REF!</v>
      </c>
      <c r="AC15" t="e">
        <f>AND(#REF!,"AAAAAG/e/xw=")</f>
        <v>#REF!</v>
      </c>
      <c r="AD15" t="e">
        <f>AND(#REF!,"AAAAAG/e/x0=")</f>
        <v>#REF!</v>
      </c>
      <c r="AE15" t="e">
        <f>AND(#REF!,"AAAAAG/e/x4=")</f>
        <v>#REF!</v>
      </c>
      <c r="AF15" t="e">
        <f>AND(#REF!,"AAAAAG/e/x8=")</f>
        <v>#REF!</v>
      </c>
      <c r="AG15" t="e">
        <f>AND(#REF!,"AAAAAG/e/yA=")</f>
        <v>#REF!</v>
      </c>
      <c r="AH15" t="e">
        <f>AND(#REF!,"AAAAAG/e/yE=")</f>
        <v>#REF!</v>
      </c>
      <c r="AI15" t="e">
        <f>AND(#REF!,"AAAAAG/e/yI=")</f>
        <v>#REF!</v>
      </c>
      <c r="AJ15" t="e">
        <f>AND(#REF!,"AAAAAG/e/yM=")</f>
        <v>#REF!</v>
      </c>
      <c r="AK15" t="e">
        <f>AND(#REF!,"AAAAAG/e/yQ=")</f>
        <v>#REF!</v>
      </c>
      <c r="AL15" t="e">
        <f>AND(#REF!,"AAAAAG/e/yU=")</f>
        <v>#REF!</v>
      </c>
      <c r="AM15" t="e">
        <f>AND(#REF!,"AAAAAG/e/yY=")</f>
        <v>#REF!</v>
      </c>
      <c r="AN15" t="e">
        <f>AND(#REF!,"AAAAAG/e/yc=")</f>
        <v>#REF!</v>
      </c>
      <c r="AO15" t="e">
        <f>AND(#REF!,"AAAAAG/e/yg=")</f>
        <v>#REF!</v>
      </c>
      <c r="AP15" t="e">
        <f>AND(#REF!,"AAAAAG/e/yk=")</f>
        <v>#REF!</v>
      </c>
      <c r="AQ15" t="e">
        <f>AND(#REF!,"AAAAAG/e/yo=")</f>
        <v>#REF!</v>
      </c>
      <c r="AR15" t="e">
        <f>AND(#REF!,"AAAAAG/e/ys=")</f>
        <v>#REF!</v>
      </c>
      <c r="AS15" t="e">
        <f>AND(#REF!,"AAAAAG/e/yw=")</f>
        <v>#REF!</v>
      </c>
      <c r="AT15" t="e">
        <f>AND(#REF!,"AAAAAG/e/y0=")</f>
        <v>#REF!</v>
      </c>
      <c r="AU15" t="e">
        <f>AND(#REF!,"AAAAAG/e/y4=")</f>
        <v>#REF!</v>
      </c>
      <c r="AV15" t="e">
        <f>AND(#REF!,"AAAAAG/e/y8=")</f>
        <v>#REF!</v>
      </c>
      <c r="AW15" t="e">
        <f>AND(#REF!,"AAAAAG/e/zA=")</f>
        <v>#REF!</v>
      </c>
      <c r="AX15" t="e">
        <f>AND(#REF!,"AAAAAG/e/zE=")</f>
        <v>#REF!</v>
      </c>
      <c r="AY15" t="e">
        <f>AND(#REF!,"AAAAAG/e/zI=")</f>
        <v>#REF!</v>
      </c>
      <c r="AZ15" t="e">
        <f>AND(#REF!,"AAAAAG/e/zM=")</f>
        <v>#REF!</v>
      </c>
      <c r="BA15" t="e">
        <f>AND(#REF!,"AAAAAG/e/zQ=")</f>
        <v>#REF!</v>
      </c>
      <c r="BB15" t="e">
        <f>AND(#REF!,"AAAAAG/e/zU=")</f>
        <v>#REF!</v>
      </c>
      <c r="BC15" t="e">
        <f>AND(#REF!,"AAAAAG/e/zY=")</f>
        <v>#REF!</v>
      </c>
      <c r="BD15" t="e">
        <f>AND(#REF!,"AAAAAG/e/zc=")</f>
        <v>#REF!</v>
      </c>
      <c r="BE15" t="e">
        <f>AND(#REF!,"AAAAAG/e/zg=")</f>
        <v>#REF!</v>
      </c>
      <c r="BF15" t="e">
        <f>AND(#REF!,"AAAAAG/e/zk=")</f>
        <v>#REF!</v>
      </c>
      <c r="BG15" t="e">
        <f>AND(#REF!,"AAAAAG/e/zo=")</f>
        <v>#REF!</v>
      </c>
      <c r="BH15" t="e">
        <f>AND(#REF!,"AAAAAG/e/zs=")</f>
        <v>#REF!</v>
      </c>
      <c r="BI15" t="e">
        <f>AND(#REF!,"AAAAAG/e/zw=")</f>
        <v>#REF!</v>
      </c>
      <c r="BJ15" t="e">
        <f>AND(#REF!,"AAAAAG/e/z0=")</f>
        <v>#REF!</v>
      </c>
      <c r="BK15" t="e">
        <f>AND(#REF!,"AAAAAG/e/z4=")</f>
        <v>#REF!</v>
      </c>
      <c r="BL15" t="e">
        <f>AND(#REF!,"AAAAAG/e/z8=")</f>
        <v>#REF!</v>
      </c>
      <c r="BM15" t="e">
        <f>AND(#REF!,"AAAAAG/e/0A=")</f>
        <v>#REF!</v>
      </c>
      <c r="BN15" t="e">
        <f>AND(#REF!,"AAAAAG/e/0E=")</f>
        <v>#REF!</v>
      </c>
      <c r="BO15" t="e">
        <f>AND(#REF!,"AAAAAG/e/0I=")</f>
        <v>#REF!</v>
      </c>
      <c r="BP15" t="e">
        <f>IF(#REF!,"AAAAAG/e/0M=",0)</f>
        <v>#REF!</v>
      </c>
      <c r="BQ15" t="e">
        <f>AND(#REF!,"AAAAAG/e/0Q=")</f>
        <v>#REF!</v>
      </c>
      <c r="BR15" t="e">
        <f>AND(#REF!,"AAAAAG/e/0U=")</f>
        <v>#REF!</v>
      </c>
      <c r="BS15" t="e">
        <f>AND(#REF!,"AAAAAG/e/0Y=")</f>
        <v>#REF!</v>
      </c>
      <c r="BT15" t="e">
        <f>AND(#REF!,"AAAAAG/e/0c=")</f>
        <v>#REF!</v>
      </c>
      <c r="BU15" t="e">
        <f>AND(#REF!,"AAAAAG/e/0g=")</f>
        <v>#REF!</v>
      </c>
      <c r="BV15" t="e">
        <f>AND(#REF!,"AAAAAG/e/0k=")</f>
        <v>#REF!</v>
      </c>
      <c r="BW15" t="e">
        <f>AND(#REF!,"AAAAAG/e/0o=")</f>
        <v>#REF!</v>
      </c>
      <c r="BX15" t="e">
        <f>AND(#REF!,"AAAAAG/e/0s=")</f>
        <v>#REF!</v>
      </c>
      <c r="BY15" t="e">
        <f>AND(#REF!,"AAAAAG/e/0w=")</f>
        <v>#REF!</v>
      </c>
      <c r="BZ15" t="e">
        <f>AND(#REF!,"AAAAAG/e/00=")</f>
        <v>#REF!</v>
      </c>
      <c r="CA15" t="e">
        <f>AND(#REF!,"AAAAAG/e/04=")</f>
        <v>#REF!</v>
      </c>
      <c r="CB15" t="e">
        <f>AND(#REF!,"AAAAAG/e/08=")</f>
        <v>#REF!</v>
      </c>
      <c r="CC15" t="e">
        <f>AND(#REF!,"AAAAAG/e/1A=")</f>
        <v>#REF!</v>
      </c>
      <c r="CD15" t="e">
        <f>AND(#REF!,"AAAAAG/e/1E=")</f>
        <v>#REF!</v>
      </c>
      <c r="CE15" t="e">
        <f>AND(#REF!,"AAAAAG/e/1I=")</f>
        <v>#REF!</v>
      </c>
      <c r="CF15" t="e">
        <f>AND(#REF!,"AAAAAG/e/1M=")</f>
        <v>#REF!</v>
      </c>
      <c r="CG15" t="e">
        <f>AND(#REF!,"AAAAAG/e/1Q=")</f>
        <v>#REF!</v>
      </c>
      <c r="CH15" t="e">
        <f>AND(#REF!,"AAAAAG/e/1U=")</f>
        <v>#REF!</v>
      </c>
      <c r="CI15" t="e">
        <f>AND(#REF!,"AAAAAG/e/1Y=")</f>
        <v>#REF!</v>
      </c>
      <c r="CJ15" t="e">
        <f>AND(#REF!,"AAAAAG/e/1c=")</f>
        <v>#REF!</v>
      </c>
      <c r="CK15" t="e">
        <f>AND(#REF!,"AAAAAG/e/1g=")</f>
        <v>#REF!</v>
      </c>
      <c r="CL15" t="e">
        <f>AND(#REF!,"AAAAAG/e/1k=")</f>
        <v>#REF!</v>
      </c>
      <c r="CM15" t="e">
        <f>AND(#REF!,"AAAAAG/e/1o=")</f>
        <v>#REF!</v>
      </c>
      <c r="CN15" t="e">
        <f>AND(#REF!,"AAAAAG/e/1s=")</f>
        <v>#REF!</v>
      </c>
      <c r="CO15" t="e">
        <f>AND(#REF!,"AAAAAG/e/1w=")</f>
        <v>#REF!</v>
      </c>
      <c r="CP15" t="e">
        <f>AND(#REF!,"AAAAAG/e/10=")</f>
        <v>#REF!</v>
      </c>
      <c r="CQ15" t="e">
        <f>AND(#REF!,"AAAAAG/e/14=")</f>
        <v>#REF!</v>
      </c>
      <c r="CR15" t="e">
        <f>AND(#REF!,"AAAAAG/e/18=")</f>
        <v>#REF!</v>
      </c>
      <c r="CS15" t="e">
        <f>AND(#REF!,"AAAAAG/e/2A=")</f>
        <v>#REF!</v>
      </c>
      <c r="CT15" t="e">
        <f>AND(#REF!,"AAAAAG/e/2E=")</f>
        <v>#REF!</v>
      </c>
      <c r="CU15" t="e">
        <f>AND(#REF!,"AAAAAG/e/2I=")</f>
        <v>#REF!</v>
      </c>
      <c r="CV15" t="e">
        <f>AND(#REF!,"AAAAAG/e/2M=")</f>
        <v>#REF!</v>
      </c>
      <c r="CW15" t="e">
        <f>AND(#REF!,"AAAAAG/e/2Q=")</f>
        <v>#REF!</v>
      </c>
      <c r="CX15" t="e">
        <f>AND(#REF!,"AAAAAG/e/2U=")</f>
        <v>#REF!</v>
      </c>
      <c r="CY15" t="e">
        <f>AND(#REF!,"AAAAAG/e/2Y=")</f>
        <v>#REF!</v>
      </c>
      <c r="CZ15" t="e">
        <f>AND(#REF!,"AAAAAG/e/2c=")</f>
        <v>#REF!</v>
      </c>
      <c r="DA15" t="e">
        <f>AND(#REF!,"AAAAAG/e/2g=")</f>
        <v>#REF!</v>
      </c>
      <c r="DB15" t="e">
        <f>AND(#REF!,"AAAAAG/e/2k=")</f>
        <v>#REF!</v>
      </c>
      <c r="DC15" t="e">
        <f>AND(#REF!,"AAAAAG/e/2o=")</f>
        <v>#REF!</v>
      </c>
      <c r="DD15" t="e">
        <f>AND(#REF!,"AAAAAG/e/2s=")</f>
        <v>#REF!</v>
      </c>
      <c r="DE15" t="e">
        <f>IF(#REF!,"AAAAAG/e/2w=",0)</f>
        <v>#REF!</v>
      </c>
      <c r="DF15" t="e">
        <f>AND(#REF!,"AAAAAG/e/20=")</f>
        <v>#REF!</v>
      </c>
      <c r="DG15" t="e">
        <f>AND(#REF!,"AAAAAG/e/24=")</f>
        <v>#REF!</v>
      </c>
      <c r="DH15" t="e">
        <f>AND(#REF!,"AAAAAG/e/28=")</f>
        <v>#REF!</v>
      </c>
      <c r="DI15" t="e">
        <f>AND(#REF!,"AAAAAG/e/3A=")</f>
        <v>#REF!</v>
      </c>
      <c r="DJ15" t="e">
        <f>AND(#REF!,"AAAAAG/e/3E=")</f>
        <v>#REF!</v>
      </c>
      <c r="DK15" t="e">
        <f>AND(#REF!,"AAAAAG/e/3I=")</f>
        <v>#REF!</v>
      </c>
      <c r="DL15" t="e">
        <f>AND(#REF!,"AAAAAG/e/3M=")</f>
        <v>#REF!</v>
      </c>
      <c r="DM15" t="e">
        <f>AND(#REF!,"AAAAAG/e/3Q=")</f>
        <v>#REF!</v>
      </c>
      <c r="DN15" t="e">
        <f>AND(#REF!,"AAAAAG/e/3U=")</f>
        <v>#REF!</v>
      </c>
      <c r="DO15" t="e">
        <f>AND(#REF!,"AAAAAG/e/3Y=")</f>
        <v>#REF!</v>
      </c>
      <c r="DP15" t="e">
        <f>AND(#REF!,"AAAAAG/e/3c=")</f>
        <v>#REF!</v>
      </c>
      <c r="DQ15" t="e">
        <f>AND(#REF!,"AAAAAG/e/3g=")</f>
        <v>#REF!</v>
      </c>
      <c r="DR15" t="e">
        <f>AND(#REF!,"AAAAAG/e/3k=")</f>
        <v>#REF!</v>
      </c>
      <c r="DS15" t="e">
        <f>AND(#REF!,"AAAAAG/e/3o=")</f>
        <v>#REF!</v>
      </c>
      <c r="DT15" t="e">
        <f>AND(#REF!,"AAAAAG/e/3s=")</f>
        <v>#REF!</v>
      </c>
      <c r="DU15" t="e">
        <f>AND(#REF!,"AAAAAG/e/3w=")</f>
        <v>#REF!</v>
      </c>
      <c r="DV15" t="e">
        <f>AND(#REF!,"AAAAAG/e/30=")</f>
        <v>#REF!</v>
      </c>
      <c r="DW15" t="e">
        <f>AND(#REF!,"AAAAAG/e/34=")</f>
        <v>#REF!</v>
      </c>
      <c r="DX15" t="e">
        <f>AND(#REF!,"AAAAAG/e/38=")</f>
        <v>#REF!</v>
      </c>
      <c r="DY15" t="e">
        <f>AND(#REF!,"AAAAAG/e/4A=")</f>
        <v>#REF!</v>
      </c>
      <c r="DZ15" t="e">
        <f>AND(#REF!,"AAAAAG/e/4E=")</f>
        <v>#REF!</v>
      </c>
      <c r="EA15" t="e">
        <f>AND(#REF!,"AAAAAG/e/4I=")</f>
        <v>#REF!</v>
      </c>
      <c r="EB15" t="e">
        <f>AND(#REF!,"AAAAAG/e/4M=")</f>
        <v>#REF!</v>
      </c>
      <c r="EC15" t="e">
        <f>AND(#REF!,"AAAAAG/e/4Q=")</f>
        <v>#REF!</v>
      </c>
      <c r="ED15" t="e">
        <f>AND(#REF!,"AAAAAG/e/4U=")</f>
        <v>#REF!</v>
      </c>
      <c r="EE15" t="e">
        <f>AND(#REF!,"AAAAAG/e/4Y=")</f>
        <v>#REF!</v>
      </c>
      <c r="EF15" t="e">
        <f>AND(#REF!,"AAAAAG/e/4c=")</f>
        <v>#REF!</v>
      </c>
      <c r="EG15" t="e">
        <f>AND(#REF!,"AAAAAG/e/4g=")</f>
        <v>#REF!</v>
      </c>
      <c r="EH15" t="e">
        <f>AND(#REF!,"AAAAAG/e/4k=")</f>
        <v>#REF!</v>
      </c>
      <c r="EI15" t="e">
        <f>AND(#REF!,"AAAAAG/e/4o=")</f>
        <v>#REF!</v>
      </c>
      <c r="EJ15" t="e">
        <f>AND(#REF!,"AAAAAG/e/4s=")</f>
        <v>#REF!</v>
      </c>
      <c r="EK15" t="e">
        <f>AND(#REF!,"AAAAAG/e/4w=")</f>
        <v>#REF!</v>
      </c>
      <c r="EL15" t="e">
        <f>AND(#REF!,"AAAAAG/e/40=")</f>
        <v>#REF!</v>
      </c>
      <c r="EM15" t="e">
        <f>AND(#REF!,"AAAAAG/e/44=")</f>
        <v>#REF!</v>
      </c>
      <c r="EN15" t="e">
        <f>AND(#REF!,"AAAAAG/e/48=")</f>
        <v>#REF!</v>
      </c>
      <c r="EO15" t="e">
        <f>AND(#REF!,"AAAAAG/e/5A=")</f>
        <v>#REF!</v>
      </c>
      <c r="EP15" t="e">
        <f>AND(#REF!,"AAAAAG/e/5E=")</f>
        <v>#REF!</v>
      </c>
      <c r="EQ15" t="e">
        <f>AND(#REF!,"AAAAAG/e/5I=")</f>
        <v>#REF!</v>
      </c>
      <c r="ER15" t="e">
        <f>AND(#REF!,"AAAAAG/e/5M=")</f>
        <v>#REF!</v>
      </c>
      <c r="ES15" t="e">
        <f>AND(#REF!,"AAAAAG/e/5Q=")</f>
        <v>#REF!</v>
      </c>
      <c r="ET15" t="e">
        <f>IF(#REF!,"AAAAAG/e/5U=",0)</f>
        <v>#REF!</v>
      </c>
      <c r="EU15" t="e">
        <f>AND(#REF!,"AAAAAG/e/5Y=")</f>
        <v>#REF!</v>
      </c>
      <c r="EV15" t="e">
        <f>AND(#REF!,"AAAAAG/e/5c=")</f>
        <v>#REF!</v>
      </c>
      <c r="EW15" t="e">
        <f>AND(#REF!,"AAAAAG/e/5g=")</f>
        <v>#REF!</v>
      </c>
      <c r="EX15" t="e">
        <f>AND(#REF!,"AAAAAG/e/5k=")</f>
        <v>#REF!</v>
      </c>
      <c r="EY15" t="e">
        <f>AND(#REF!,"AAAAAG/e/5o=")</f>
        <v>#REF!</v>
      </c>
      <c r="EZ15" t="e">
        <f>AND(#REF!,"AAAAAG/e/5s=")</f>
        <v>#REF!</v>
      </c>
      <c r="FA15" t="e">
        <f>AND(#REF!,"AAAAAG/e/5w=")</f>
        <v>#REF!</v>
      </c>
      <c r="FB15" t="e">
        <f>AND(#REF!,"AAAAAG/e/50=")</f>
        <v>#REF!</v>
      </c>
      <c r="FC15" t="e">
        <f>AND(#REF!,"AAAAAG/e/54=")</f>
        <v>#REF!</v>
      </c>
      <c r="FD15" t="e">
        <f>AND(#REF!,"AAAAAG/e/58=")</f>
        <v>#REF!</v>
      </c>
      <c r="FE15" t="e">
        <f>AND(#REF!,"AAAAAG/e/6A=")</f>
        <v>#REF!</v>
      </c>
      <c r="FF15" t="e">
        <f>AND(#REF!,"AAAAAG/e/6E=")</f>
        <v>#REF!</v>
      </c>
      <c r="FG15" t="e">
        <f>AND(#REF!,"AAAAAG/e/6I=")</f>
        <v>#REF!</v>
      </c>
      <c r="FH15" t="e">
        <f>AND(#REF!,"AAAAAG/e/6M=")</f>
        <v>#REF!</v>
      </c>
      <c r="FI15" t="e">
        <f>AND(#REF!,"AAAAAG/e/6Q=")</f>
        <v>#REF!</v>
      </c>
      <c r="FJ15" t="e">
        <f>AND(#REF!,"AAAAAG/e/6U=")</f>
        <v>#REF!</v>
      </c>
      <c r="FK15" t="e">
        <f>AND(#REF!,"AAAAAG/e/6Y=")</f>
        <v>#REF!</v>
      </c>
      <c r="FL15" t="e">
        <f>AND(#REF!,"AAAAAG/e/6c=")</f>
        <v>#REF!</v>
      </c>
      <c r="FM15" t="e">
        <f>AND(#REF!,"AAAAAG/e/6g=")</f>
        <v>#REF!</v>
      </c>
      <c r="FN15" t="e">
        <f>AND(#REF!,"AAAAAG/e/6k=")</f>
        <v>#REF!</v>
      </c>
      <c r="FO15" t="e">
        <f>AND(#REF!,"AAAAAG/e/6o=")</f>
        <v>#REF!</v>
      </c>
      <c r="FP15" t="e">
        <f>AND(#REF!,"AAAAAG/e/6s=")</f>
        <v>#REF!</v>
      </c>
      <c r="FQ15" t="e">
        <f>AND(#REF!,"AAAAAG/e/6w=")</f>
        <v>#REF!</v>
      </c>
      <c r="FR15" t="e">
        <f>AND(#REF!,"AAAAAG/e/60=")</f>
        <v>#REF!</v>
      </c>
      <c r="FS15" t="e">
        <f>AND(#REF!,"AAAAAG/e/64=")</f>
        <v>#REF!</v>
      </c>
      <c r="FT15" t="e">
        <f>AND(#REF!,"AAAAAG/e/68=")</f>
        <v>#REF!</v>
      </c>
      <c r="FU15" t="e">
        <f>AND(#REF!,"AAAAAG/e/7A=")</f>
        <v>#REF!</v>
      </c>
      <c r="FV15" t="e">
        <f>AND(#REF!,"AAAAAG/e/7E=")</f>
        <v>#REF!</v>
      </c>
      <c r="FW15" t="e">
        <f>AND(#REF!,"AAAAAG/e/7I=")</f>
        <v>#REF!</v>
      </c>
      <c r="FX15" t="e">
        <f>AND(#REF!,"AAAAAG/e/7M=")</f>
        <v>#REF!</v>
      </c>
      <c r="FY15" t="e">
        <f>AND(#REF!,"AAAAAG/e/7Q=")</f>
        <v>#REF!</v>
      </c>
      <c r="FZ15" t="e">
        <f>AND(#REF!,"AAAAAG/e/7U=")</f>
        <v>#REF!</v>
      </c>
      <c r="GA15" t="e">
        <f>AND(#REF!,"AAAAAG/e/7Y=")</f>
        <v>#REF!</v>
      </c>
      <c r="GB15" t="e">
        <f>AND(#REF!,"AAAAAG/e/7c=")</f>
        <v>#REF!</v>
      </c>
      <c r="GC15" t="e">
        <f>AND(#REF!,"AAAAAG/e/7g=")</f>
        <v>#REF!</v>
      </c>
      <c r="GD15" t="e">
        <f>AND(#REF!,"AAAAAG/e/7k=")</f>
        <v>#REF!</v>
      </c>
      <c r="GE15" t="e">
        <f>AND(#REF!,"AAAAAG/e/7o=")</f>
        <v>#REF!</v>
      </c>
      <c r="GF15" t="e">
        <f>AND(#REF!,"AAAAAG/e/7s=")</f>
        <v>#REF!</v>
      </c>
      <c r="GG15" t="e">
        <f>AND(#REF!,"AAAAAG/e/7w=")</f>
        <v>#REF!</v>
      </c>
      <c r="GH15" t="e">
        <f>AND(#REF!,"AAAAAG/e/70=")</f>
        <v>#REF!</v>
      </c>
      <c r="GI15" t="e">
        <f>IF(#REF!,"AAAAAG/e/74=",0)</f>
        <v>#REF!</v>
      </c>
      <c r="GJ15" t="e">
        <f>AND(#REF!,"AAAAAG/e/78=")</f>
        <v>#REF!</v>
      </c>
      <c r="GK15" t="e">
        <f>AND(#REF!,"AAAAAG/e/8A=")</f>
        <v>#REF!</v>
      </c>
      <c r="GL15" t="e">
        <f>AND(#REF!,"AAAAAG/e/8E=")</f>
        <v>#REF!</v>
      </c>
      <c r="GM15" t="e">
        <f>AND(#REF!,"AAAAAG/e/8I=")</f>
        <v>#REF!</v>
      </c>
      <c r="GN15" t="e">
        <f>AND(#REF!,"AAAAAG/e/8M=")</f>
        <v>#REF!</v>
      </c>
      <c r="GO15" t="e">
        <f>AND(#REF!,"AAAAAG/e/8Q=")</f>
        <v>#REF!</v>
      </c>
      <c r="GP15" t="e">
        <f>AND(#REF!,"AAAAAG/e/8U=")</f>
        <v>#REF!</v>
      </c>
      <c r="GQ15" t="e">
        <f>AND(#REF!,"AAAAAG/e/8Y=")</f>
        <v>#REF!</v>
      </c>
      <c r="GR15" t="e">
        <f>AND(#REF!,"AAAAAG/e/8c=")</f>
        <v>#REF!</v>
      </c>
      <c r="GS15" t="e">
        <f>AND(#REF!,"AAAAAG/e/8g=")</f>
        <v>#REF!</v>
      </c>
      <c r="GT15" t="e">
        <f>AND(#REF!,"AAAAAG/e/8k=")</f>
        <v>#REF!</v>
      </c>
      <c r="GU15" t="e">
        <f>AND(#REF!,"AAAAAG/e/8o=")</f>
        <v>#REF!</v>
      </c>
      <c r="GV15" t="e">
        <f>AND(#REF!,"AAAAAG/e/8s=")</f>
        <v>#REF!</v>
      </c>
      <c r="GW15" t="e">
        <f>AND(#REF!,"AAAAAG/e/8w=")</f>
        <v>#REF!</v>
      </c>
      <c r="GX15" t="e">
        <f>AND(#REF!,"AAAAAG/e/80=")</f>
        <v>#REF!</v>
      </c>
      <c r="GY15" t="e">
        <f>AND(#REF!,"AAAAAG/e/84=")</f>
        <v>#REF!</v>
      </c>
      <c r="GZ15" t="e">
        <f>AND(#REF!,"AAAAAG/e/88=")</f>
        <v>#REF!</v>
      </c>
      <c r="HA15" t="e">
        <f>AND(#REF!,"AAAAAG/e/9A=")</f>
        <v>#REF!</v>
      </c>
      <c r="HB15" t="e">
        <f>AND(#REF!,"AAAAAG/e/9E=")</f>
        <v>#REF!</v>
      </c>
      <c r="HC15" t="e">
        <f>AND(#REF!,"AAAAAG/e/9I=")</f>
        <v>#REF!</v>
      </c>
      <c r="HD15" t="e">
        <f>AND(#REF!,"AAAAAG/e/9M=")</f>
        <v>#REF!</v>
      </c>
      <c r="HE15" t="e">
        <f>AND(#REF!,"AAAAAG/e/9Q=")</f>
        <v>#REF!</v>
      </c>
      <c r="HF15" t="e">
        <f>AND(#REF!,"AAAAAG/e/9U=")</f>
        <v>#REF!</v>
      </c>
      <c r="HG15" t="e">
        <f>AND(#REF!,"AAAAAG/e/9Y=")</f>
        <v>#REF!</v>
      </c>
      <c r="HH15" t="e">
        <f>AND(#REF!,"AAAAAG/e/9c=")</f>
        <v>#REF!</v>
      </c>
      <c r="HI15" t="e">
        <f>AND(#REF!,"AAAAAG/e/9g=")</f>
        <v>#REF!</v>
      </c>
      <c r="HJ15" t="e">
        <f>AND(#REF!,"AAAAAG/e/9k=")</f>
        <v>#REF!</v>
      </c>
      <c r="HK15" t="e">
        <f>AND(#REF!,"AAAAAG/e/9o=")</f>
        <v>#REF!</v>
      </c>
      <c r="HL15" t="e">
        <f>AND(#REF!,"AAAAAG/e/9s=")</f>
        <v>#REF!</v>
      </c>
      <c r="HM15" t="e">
        <f>AND(#REF!,"AAAAAG/e/9w=")</f>
        <v>#REF!</v>
      </c>
      <c r="HN15" t="e">
        <f>AND(#REF!,"AAAAAG/e/90=")</f>
        <v>#REF!</v>
      </c>
      <c r="HO15" t="e">
        <f>AND(#REF!,"AAAAAG/e/94=")</f>
        <v>#REF!</v>
      </c>
      <c r="HP15" t="e">
        <f>AND(#REF!,"AAAAAG/e/98=")</f>
        <v>#REF!</v>
      </c>
      <c r="HQ15" t="e">
        <f>AND(#REF!,"AAAAAG/e/+A=")</f>
        <v>#REF!</v>
      </c>
      <c r="HR15" t="e">
        <f>AND(#REF!,"AAAAAG/e/+E=")</f>
        <v>#REF!</v>
      </c>
      <c r="HS15" t="e">
        <f>AND(#REF!,"AAAAAG/e/+I=")</f>
        <v>#REF!</v>
      </c>
      <c r="HT15" t="e">
        <f>AND(#REF!,"AAAAAG/e/+M=")</f>
        <v>#REF!</v>
      </c>
      <c r="HU15" t="e">
        <f>AND(#REF!,"AAAAAG/e/+Q=")</f>
        <v>#REF!</v>
      </c>
      <c r="HV15" t="e">
        <f>AND(#REF!,"AAAAAG/e/+U=")</f>
        <v>#REF!</v>
      </c>
      <c r="HW15" t="e">
        <f>AND(#REF!,"AAAAAG/e/+Y=")</f>
        <v>#REF!</v>
      </c>
      <c r="HX15" t="e">
        <f>IF(#REF!,"AAAAAG/e/+c=",0)</f>
        <v>#REF!</v>
      </c>
      <c r="HY15" t="e">
        <f>AND(#REF!,"AAAAAG/e/+g=")</f>
        <v>#REF!</v>
      </c>
      <c r="HZ15" t="e">
        <f>AND(#REF!,"AAAAAG/e/+k=")</f>
        <v>#REF!</v>
      </c>
      <c r="IA15" t="e">
        <f>AND(#REF!,"AAAAAG/e/+o=")</f>
        <v>#REF!</v>
      </c>
      <c r="IB15" t="e">
        <f>AND(#REF!,"AAAAAG/e/+s=")</f>
        <v>#REF!</v>
      </c>
      <c r="IC15" t="e">
        <f>AND(#REF!,"AAAAAG/e/+w=")</f>
        <v>#REF!</v>
      </c>
      <c r="ID15" t="e">
        <f>AND(#REF!,"AAAAAG/e/+0=")</f>
        <v>#REF!</v>
      </c>
      <c r="IE15" t="e">
        <f>AND(#REF!,"AAAAAG/e/+4=")</f>
        <v>#REF!</v>
      </c>
      <c r="IF15" t="e">
        <f>AND(#REF!,"AAAAAG/e/+8=")</f>
        <v>#REF!</v>
      </c>
      <c r="IG15" t="e">
        <f>AND(#REF!,"AAAAAG/e//A=")</f>
        <v>#REF!</v>
      </c>
      <c r="IH15" t="e">
        <f>AND(#REF!,"AAAAAG/e//E=")</f>
        <v>#REF!</v>
      </c>
      <c r="II15" t="e">
        <f>AND(#REF!,"AAAAAG/e//I=")</f>
        <v>#REF!</v>
      </c>
      <c r="IJ15" t="e">
        <f>AND(#REF!,"AAAAAG/e//M=")</f>
        <v>#REF!</v>
      </c>
      <c r="IK15" t="e">
        <f>AND(#REF!,"AAAAAG/e//Q=")</f>
        <v>#REF!</v>
      </c>
      <c r="IL15" t="e">
        <f>AND(#REF!,"AAAAAG/e//U=")</f>
        <v>#REF!</v>
      </c>
      <c r="IM15" t="e">
        <f>AND(#REF!,"AAAAAG/e//Y=")</f>
        <v>#REF!</v>
      </c>
      <c r="IN15" t="e">
        <f>AND(#REF!,"AAAAAG/e//c=")</f>
        <v>#REF!</v>
      </c>
      <c r="IO15" t="e">
        <f>AND(#REF!,"AAAAAG/e//g=")</f>
        <v>#REF!</v>
      </c>
      <c r="IP15" t="e">
        <f>AND(#REF!,"AAAAAG/e//k=")</f>
        <v>#REF!</v>
      </c>
      <c r="IQ15" t="e">
        <f>AND(#REF!,"AAAAAG/e//o=")</f>
        <v>#REF!</v>
      </c>
      <c r="IR15" t="e">
        <f>AND(#REF!,"AAAAAG/e//s=")</f>
        <v>#REF!</v>
      </c>
      <c r="IS15" t="e">
        <f>AND(#REF!,"AAAAAG/e//w=")</f>
        <v>#REF!</v>
      </c>
      <c r="IT15" t="e">
        <f>AND(#REF!,"AAAAAG/e//0=")</f>
        <v>#REF!</v>
      </c>
      <c r="IU15" t="e">
        <f>AND(#REF!,"AAAAAG/e//4=")</f>
        <v>#REF!</v>
      </c>
      <c r="IV15" t="e">
        <f>AND(#REF!,"AAAAAG/e//8=")</f>
        <v>#REF!</v>
      </c>
    </row>
    <row r="16" spans="1:256" x14ac:dyDescent="0.2">
      <c r="A16" t="e">
        <f>AND(#REF!,"AAAAAB/07QA=")</f>
        <v>#REF!</v>
      </c>
      <c r="B16" t="e">
        <f>AND(#REF!,"AAAAAB/07QE=")</f>
        <v>#REF!</v>
      </c>
      <c r="C16" t="e">
        <f>AND(#REF!,"AAAAAB/07QI=")</f>
        <v>#REF!</v>
      </c>
      <c r="D16" t="e">
        <f>AND(#REF!,"AAAAAB/07QM=")</f>
        <v>#REF!</v>
      </c>
      <c r="E16" t="e">
        <f>AND(#REF!,"AAAAAB/07QQ=")</f>
        <v>#REF!</v>
      </c>
      <c r="F16" t="e">
        <f>AND(#REF!,"AAAAAB/07QU=")</f>
        <v>#REF!</v>
      </c>
      <c r="G16" t="e">
        <f>AND(#REF!,"AAAAAB/07QY=")</f>
        <v>#REF!</v>
      </c>
      <c r="H16" t="e">
        <f>AND(#REF!,"AAAAAB/07Qc=")</f>
        <v>#REF!</v>
      </c>
      <c r="I16" t="e">
        <f>AND(#REF!,"AAAAAB/07Qg=")</f>
        <v>#REF!</v>
      </c>
      <c r="J16" t="e">
        <f>AND(#REF!,"AAAAAB/07Qk=")</f>
        <v>#REF!</v>
      </c>
      <c r="K16" t="e">
        <f>AND(#REF!,"AAAAAB/07Qo=")</f>
        <v>#REF!</v>
      </c>
      <c r="L16" t="e">
        <f>AND(#REF!,"AAAAAB/07Qs=")</f>
        <v>#REF!</v>
      </c>
      <c r="M16" t="e">
        <f>AND(#REF!,"AAAAAB/07Qw=")</f>
        <v>#REF!</v>
      </c>
      <c r="N16" t="e">
        <f>AND(#REF!,"AAAAAB/07Q0=")</f>
        <v>#REF!</v>
      </c>
      <c r="O16" t="e">
        <f>AND(#REF!,"AAAAAB/07Q4=")</f>
        <v>#REF!</v>
      </c>
      <c r="P16" t="e">
        <f>AND(#REF!,"AAAAAB/07Q8=")</f>
        <v>#REF!</v>
      </c>
      <c r="Q16" t="e">
        <f>IF(#REF!,"AAAAAB/07RA=",0)</f>
        <v>#REF!</v>
      </c>
      <c r="R16" t="e">
        <f>AND(#REF!,"AAAAAB/07RE=")</f>
        <v>#REF!</v>
      </c>
      <c r="S16" t="e">
        <f>AND(#REF!,"AAAAAB/07RI=")</f>
        <v>#REF!</v>
      </c>
      <c r="T16" t="e">
        <f>AND(#REF!,"AAAAAB/07RM=")</f>
        <v>#REF!</v>
      </c>
      <c r="U16" t="e">
        <f>AND(#REF!,"AAAAAB/07RQ=")</f>
        <v>#REF!</v>
      </c>
      <c r="V16" t="e">
        <f>AND(#REF!,"AAAAAB/07RU=")</f>
        <v>#REF!</v>
      </c>
      <c r="W16" t="e">
        <f>AND(#REF!,"AAAAAB/07RY=")</f>
        <v>#REF!</v>
      </c>
      <c r="X16" t="e">
        <f>AND(#REF!,"AAAAAB/07Rc=")</f>
        <v>#REF!</v>
      </c>
      <c r="Y16" t="e">
        <f>AND(#REF!,"AAAAAB/07Rg=")</f>
        <v>#REF!</v>
      </c>
      <c r="Z16" t="e">
        <f>AND(#REF!,"AAAAAB/07Rk=")</f>
        <v>#REF!</v>
      </c>
      <c r="AA16" t="e">
        <f>AND(#REF!,"AAAAAB/07Ro=")</f>
        <v>#REF!</v>
      </c>
      <c r="AB16" t="e">
        <f>AND(#REF!,"AAAAAB/07Rs=")</f>
        <v>#REF!</v>
      </c>
      <c r="AC16" t="e">
        <f>AND(#REF!,"AAAAAB/07Rw=")</f>
        <v>#REF!</v>
      </c>
      <c r="AD16" t="e">
        <f>AND(#REF!,"AAAAAB/07R0=")</f>
        <v>#REF!</v>
      </c>
      <c r="AE16" t="e">
        <f>AND(#REF!,"AAAAAB/07R4=")</f>
        <v>#REF!</v>
      </c>
      <c r="AF16" t="e">
        <f>AND(#REF!,"AAAAAB/07R8=")</f>
        <v>#REF!</v>
      </c>
      <c r="AG16" t="e">
        <f>AND(#REF!,"AAAAAB/07SA=")</f>
        <v>#REF!</v>
      </c>
      <c r="AH16" t="e">
        <f>AND(#REF!,"AAAAAB/07SE=")</f>
        <v>#REF!</v>
      </c>
      <c r="AI16" t="e">
        <f>AND(#REF!,"AAAAAB/07SI=")</f>
        <v>#REF!</v>
      </c>
      <c r="AJ16" t="e">
        <f>AND(#REF!,"AAAAAB/07SM=")</f>
        <v>#REF!</v>
      </c>
      <c r="AK16" t="e">
        <f>AND(#REF!,"AAAAAB/07SQ=")</f>
        <v>#REF!</v>
      </c>
      <c r="AL16" t="e">
        <f>AND(#REF!,"AAAAAB/07SU=")</f>
        <v>#REF!</v>
      </c>
      <c r="AM16" t="e">
        <f>AND(#REF!,"AAAAAB/07SY=")</f>
        <v>#REF!</v>
      </c>
      <c r="AN16" t="e">
        <f>AND(#REF!,"AAAAAB/07Sc=")</f>
        <v>#REF!</v>
      </c>
      <c r="AO16" t="e">
        <f>AND(#REF!,"AAAAAB/07Sg=")</f>
        <v>#REF!</v>
      </c>
      <c r="AP16" t="e">
        <f>AND(#REF!,"AAAAAB/07Sk=")</f>
        <v>#REF!</v>
      </c>
      <c r="AQ16" t="e">
        <f>AND(#REF!,"AAAAAB/07So=")</f>
        <v>#REF!</v>
      </c>
      <c r="AR16" t="e">
        <f>AND(#REF!,"AAAAAB/07Ss=")</f>
        <v>#REF!</v>
      </c>
      <c r="AS16" t="e">
        <f>AND(#REF!,"AAAAAB/07Sw=")</f>
        <v>#REF!</v>
      </c>
      <c r="AT16" t="e">
        <f>AND(#REF!,"AAAAAB/07S0=")</f>
        <v>#REF!</v>
      </c>
      <c r="AU16" t="e">
        <f>AND(#REF!,"AAAAAB/07S4=")</f>
        <v>#REF!</v>
      </c>
      <c r="AV16" t="e">
        <f>AND(#REF!,"AAAAAB/07S8=")</f>
        <v>#REF!</v>
      </c>
      <c r="AW16" t="e">
        <f>AND(#REF!,"AAAAAB/07TA=")</f>
        <v>#REF!</v>
      </c>
      <c r="AX16" t="e">
        <f>AND(#REF!,"AAAAAB/07TE=")</f>
        <v>#REF!</v>
      </c>
      <c r="AY16" t="e">
        <f>AND(#REF!,"AAAAAB/07TI=")</f>
        <v>#REF!</v>
      </c>
      <c r="AZ16" t="e">
        <f>AND(#REF!,"AAAAAB/07TM=")</f>
        <v>#REF!</v>
      </c>
      <c r="BA16" t="e">
        <f>AND(#REF!,"AAAAAB/07TQ=")</f>
        <v>#REF!</v>
      </c>
      <c r="BB16" t="e">
        <f>AND(#REF!,"AAAAAB/07TU=")</f>
        <v>#REF!</v>
      </c>
      <c r="BC16" t="e">
        <f>AND(#REF!,"AAAAAB/07TY=")</f>
        <v>#REF!</v>
      </c>
      <c r="BD16" t="e">
        <f>AND(#REF!,"AAAAAB/07Tc=")</f>
        <v>#REF!</v>
      </c>
      <c r="BE16" t="e">
        <f>AND(#REF!,"AAAAAB/07Tg=")</f>
        <v>#REF!</v>
      </c>
      <c r="BF16" t="e">
        <f>IF(#REF!,"AAAAAB/07Tk=",0)</f>
        <v>#REF!</v>
      </c>
      <c r="BG16" t="e">
        <f>AND(#REF!,"AAAAAB/07To=")</f>
        <v>#REF!</v>
      </c>
      <c r="BH16" t="e">
        <f>AND(#REF!,"AAAAAB/07Ts=")</f>
        <v>#REF!</v>
      </c>
      <c r="BI16" t="e">
        <f>AND(#REF!,"AAAAAB/07Tw=")</f>
        <v>#REF!</v>
      </c>
      <c r="BJ16" t="e">
        <f>AND(#REF!,"AAAAAB/07T0=")</f>
        <v>#REF!</v>
      </c>
      <c r="BK16" t="e">
        <f>AND(#REF!,"AAAAAB/07T4=")</f>
        <v>#REF!</v>
      </c>
      <c r="BL16" t="e">
        <f>AND(#REF!,"AAAAAB/07T8=")</f>
        <v>#REF!</v>
      </c>
      <c r="BM16" t="e">
        <f>AND(#REF!,"AAAAAB/07UA=")</f>
        <v>#REF!</v>
      </c>
      <c r="BN16" t="e">
        <f>AND(#REF!,"AAAAAB/07UE=")</f>
        <v>#REF!</v>
      </c>
      <c r="BO16" t="e">
        <f>AND(#REF!,"AAAAAB/07UI=")</f>
        <v>#REF!</v>
      </c>
      <c r="BP16" t="e">
        <f>AND(#REF!,"AAAAAB/07UM=")</f>
        <v>#REF!</v>
      </c>
      <c r="BQ16" t="e">
        <f>AND(#REF!,"AAAAAB/07UQ=")</f>
        <v>#REF!</v>
      </c>
      <c r="BR16" t="e">
        <f>AND(#REF!,"AAAAAB/07UU=")</f>
        <v>#REF!</v>
      </c>
      <c r="BS16" t="e">
        <f>AND(#REF!,"AAAAAB/07UY=")</f>
        <v>#REF!</v>
      </c>
      <c r="BT16" t="e">
        <f>AND(#REF!,"AAAAAB/07Uc=")</f>
        <v>#REF!</v>
      </c>
      <c r="BU16" t="e">
        <f>AND(#REF!,"AAAAAB/07Ug=")</f>
        <v>#REF!</v>
      </c>
      <c r="BV16" t="e">
        <f>AND(#REF!,"AAAAAB/07Uk=")</f>
        <v>#REF!</v>
      </c>
      <c r="BW16" t="e">
        <f>AND(#REF!,"AAAAAB/07Uo=")</f>
        <v>#REF!</v>
      </c>
      <c r="BX16" t="e">
        <f>AND(#REF!,"AAAAAB/07Us=")</f>
        <v>#REF!</v>
      </c>
      <c r="BY16" t="e">
        <f>AND(#REF!,"AAAAAB/07Uw=")</f>
        <v>#REF!</v>
      </c>
      <c r="BZ16" t="e">
        <f>AND(#REF!,"AAAAAB/07U0=")</f>
        <v>#REF!</v>
      </c>
      <c r="CA16" t="e">
        <f>AND(#REF!,"AAAAAB/07U4=")</f>
        <v>#REF!</v>
      </c>
      <c r="CB16" t="e">
        <f>AND(#REF!,"AAAAAB/07U8=")</f>
        <v>#REF!</v>
      </c>
      <c r="CC16" t="e">
        <f>AND(#REF!,"AAAAAB/07VA=")</f>
        <v>#REF!</v>
      </c>
      <c r="CD16" t="e">
        <f>AND(#REF!,"AAAAAB/07VE=")</f>
        <v>#REF!</v>
      </c>
      <c r="CE16" t="e">
        <f>AND(#REF!,"AAAAAB/07VI=")</f>
        <v>#REF!</v>
      </c>
      <c r="CF16" t="e">
        <f>AND(#REF!,"AAAAAB/07VM=")</f>
        <v>#REF!</v>
      </c>
      <c r="CG16" t="e">
        <f>AND(#REF!,"AAAAAB/07VQ=")</f>
        <v>#REF!</v>
      </c>
      <c r="CH16" t="e">
        <f>AND(#REF!,"AAAAAB/07VU=")</f>
        <v>#REF!</v>
      </c>
      <c r="CI16" t="e">
        <f>AND(#REF!,"AAAAAB/07VY=")</f>
        <v>#REF!</v>
      </c>
      <c r="CJ16" t="e">
        <f>AND(#REF!,"AAAAAB/07Vc=")</f>
        <v>#REF!</v>
      </c>
      <c r="CK16" t="e">
        <f>AND(#REF!,"AAAAAB/07Vg=")</f>
        <v>#REF!</v>
      </c>
      <c r="CL16" t="e">
        <f>AND(#REF!,"AAAAAB/07Vk=")</f>
        <v>#REF!</v>
      </c>
      <c r="CM16" t="e">
        <f>AND(#REF!,"AAAAAB/07Vo=")</f>
        <v>#REF!</v>
      </c>
      <c r="CN16" t="e">
        <f>AND(#REF!,"AAAAAB/07Vs=")</f>
        <v>#REF!</v>
      </c>
      <c r="CO16" t="e">
        <f>AND(#REF!,"AAAAAB/07Vw=")</f>
        <v>#REF!</v>
      </c>
      <c r="CP16" t="e">
        <f>AND(#REF!,"AAAAAB/07V0=")</f>
        <v>#REF!</v>
      </c>
      <c r="CQ16" t="e">
        <f>AND(#REF!,"AAAAAB/07V4=")</f>
        <v>#REF!</v>
      </c>
      <c r="CR16" t="e">
        <f>AND(#REF!,"AAAAAB/07V8=")</f>
        <v>#REF!</v>
      </c>
      <c r="CS16" t="e">
        <f>AND(#REF!,"AAAAAB/07WA=")</f>
        <v>#REF!</v>
      </c>
      <c r="CT16" t="e">
        <f>AND(#REF!,"AAAAAB/07WE=")</f>
        <v>#REF!</v>
      </c>
      <c r="CU16" t="e">
        <f>IF(#REF!,"AAAAAB/07WI=",0)</f>
        <v>#REF!</v>
      </c>
      <c r="CV16" t="e">
        <f>AND(#REF!,"AAAAAB/07WM=")</f>
        <v>#REF!</v>
      </c>
      <c r="CW16" t="e">
        <f>AND(#REF!,"AAAAAB/07WQ=")</f>
        <v>#REF!</v>
      </c>
      <c r="CX16" t="e">
        <f>AND(#REF!,"AAAAAB/07WU=")</f>
        <v>#REF!</v>
      </c>
      <c r="CY16" t="e">
        <f>AND(#REF!,"AAAAAB/07WY=")</f>
        <v>#REF!</v>
      </c>
      <c r="CZ16" t="e">
        <f>AND(#REF!,"AAAAAB/07Wc=")</f>
        <v>#REF!</v>
      </c>
      <c r="DA16" t="e">
        <f>AND(#REF!,"AAAAAB/07Wg=")</f>
        <v>#REF!</v>
      </c>
      <c r="DB16" t="e">
        <f>AND(#REF!,"AAAAAB/07Wk=")</f>
        <v>#REF!</v>
      </c>
      <c r="DC16" t="e">
        <f>AND(#REF!,"AAAAAB/07Wo=")</f>
        <v>#REF!</v>
      </c>
      <c r="DD16" t="e">
        <f>AND(#REF!,"AAAAAB/07Ws=")</f>
        <v>#REF!</v>
      </c>
      <c r="DE16" t="e">
        <f>AND(#REF!,"AAAAAB/07Ww=")</f>
        <v>#REF!</v>
      </c>
      <c r="DF16" t="e">
        <f>AND(#REF!,"AAAAAB/07W0=")</f>
        <v>#REF!</v>
      </c>
      <c r="DG16" t="e">
        <f>AND(#REF!,"AAAAAB/07W4=")</f>
        <v>#REF!</v>
      </c>
      <c r="DH16" t="e">
        <f>AND(#REF!,"AAAAAB/07W8=")</f>
        <v>#REF!</v>
      </c>
      <c r="DI16" t="e">
        <f>AND(#REF!,"AAAAAB/07XA=")</f>
        <v>#REF!</v>
      </c>
      <c r="DJ16" t="e">
        <f>AND(#REF!,"AAAAAB/07XE=")</f>
        <v>#REF!</v>
      </c>
      <c r="DK16" t="e">
        <f>AND(#REF!,"AAAAAB/07XI=")</f>
        <v>#REF!</v>
      </c>
      <c r="DL16" t="e">
        <f>AND(#REF!,"AAAAAB/07XM=")</f>
        <v>#REF!</v>
      </c>
      <c r="DM16" t="e">
        <f>AND(#REF!,"AAAAAB/07XQ=")</f>
        <v>#REF!</v>
      </c>
      <c r="DN16" t="e">
        <f>AND(#REF!,"AAAAAB/07XU=")</f>
        <v>#REF!</v>
      </c>
      <c r="DO16" t="e">
        <f>AND(#REF!,"AAAAAB/07XY=")</f>
        <v>#REF!</v>
      </c>
      <c r="DP16" t="e">
        <f>AND(#REF!,"AAAAAB/07Xc=")</f>
        <v>#REF!</v>
      </c>
      <c r="DQ16" t="e">
        <f>AND(#REF!,"AAAAAB/07Xg=")</f>
        <v>#REF!</v>
      </c>
      <c r="DR16" t="e">
        <f>AND(#REF!,"AAAAAB/07Xk=")</f>
        <v>#REF!</v>
      </c>
      <c r="DS16" t="e">
        <f>AND(#REF!,"AAAAAB/07Xo=")</f>
        <v>#REF!</v>
      </c>
      <c r="DT16" t="e">
        <f>AND(#REF!,"AAAAAB/07Xs=")</f>
        <v>#REF!</v>
      </c>
      <c r="DU16" t="e">
        <f>AND(#REF!,"AAAAAB/07Xw=")</f>
        <v>#REF!</v>
      </c>
      <c r="DV16" t="e">
        <f>AND(#REF!,"AAAAAB/07X0=")</f>
        <v>#REF!</v>
      </c>
      <c r="DW16" t="e">
        <f>AND(#REF!,"AAAAAB/07X4=")</f>
        <v>#REF!</v>
      </c>
      <c r="DX16" t="e">
        <f>AND(#REF!,"AAAAAB/07X8=")</f>
        <v>#REF!</v>
      </c>
      <c r="DY16" t="e">
        <f>AND(#REF!,"AAAAAB/07YA=")</f>
        <v>#REF!</v>
      </c>
      <c r="DZ16" t="e">
        <f>AND(#REF!,"AAAAAB/07YE=")</f>
        <v>#REF!</v>
      </c>
      <c r="EA16" t="e">
        <f>AND(#REF!,"AAAAAB/07YI=")</f>
        <v>#REF!</v>
      </c>
      <c r="EB16" t="e">
        <f>AND(#REF!,"AAAAAB/07YM=")</f>
        <v>#REF!</v>
      </c>
      <c r="EC16" t="e">
        <f>AND(#REF!,"AAAAAB/07YQ=")</f>
        <v>#REF!</v>
      </c>
      <c r="ED16" t="e">
        <f>AND(#REF!,"AAAAAB/07YU=")</f>
        <v>#REF!</v>
      </c>
      <c r="EE16" t="e">
        <f>AND(#REF!,"AAAAAB/07YY=")</f>
        <v>#REF!</v>
      </c>
      <c r="EF16" t="e">
        <f>AND(#REF!,"AAAAAB/07Yc=")</f>
        <v>#REF!</v>
      </c>
      <c r="EG16" t="e">
        <f>AND(#REF!,"AAAAAB/07Yg=")</f>
        <v>#REF!</v>
      </c>
      <c r="EH16" t="e">
        <f>AND(#REF!,"AAAAAB/07Yk=")</f>
        <v>#REF!</v>
      </c>
      <c r="EI16" t="e">
        <f>AND(#REF!,"AAAAAB/07Yo=")</f>
        <v>#REF!</v>
      </c>
      <c r="EJ16" t="e">
        <f>IF(#REF!,"AAAAAB/07Ys=",0)</f>
        <v>#REF!</v>
      </c>
      <c r="EK16" t="e">
        <f>AND(#REF!,"AAAAAB/07Yw=")</f>
        <v>#REF!</v>
      </c>
      <c r="EL16" t="e">
        <f>AND(#REF!,"AAAAAB/07Y0=")</f>
        <v>#REF!</v>
      </c>
      <c r="EM16" t="e">
        <f>AND(#REF!,"AAAAAB/07Y4=")</f>
        <v>#REF!</v>
      </c>
      <c r="EN16" t="e">
        <f>AND(#REF!,"AAAAAB/07Y8=")</f>
        <v>#REF!</v>
      </c>
      <c r="EO16" t="e">
        <f>AND(#REF!,"AAAAAB/07ZA=")</f>
        <v>#REF!</v>
      </c>
      <c r="EP16" t="e">
        <f>AND(#REF!,"AAAAAB/07ZE=")</f>
        <v>#REF!</v>
      </c>
      <c r="EQ16" t="e">
        <f>AND(#REF!,"AAAAAB/07ZI=")</f>
        <v>#REF!</v>
      </c>
      <c r="ER16" t="e">
        <f>AND(#REF!,"AAAAAB/07ZM=")</f>
        <v>#REF!</v>
      </c>
      <c r="ES16" t="e">
        <f>AND(#REF!,"AAAAAB/07ZQ=")</f>
        <v>#REF!</v>
      </c>
      <c r="ET16" t="e">
        <f>AND(#REF!,"AAAAAB/07ZU=")</f>
        <v>#REF!</v>
      </c>
      <c r="EU16" t="e">
        <f>AND(#REF!,"AAAAAB/07ZY=")</f>
        <v>#REF!</v>
      </c>
      <c r="EV16" t="e">
        <f>AND(#REF!,"AAAAAB/07Zc=")</f>
        <v>#REF!</v>
      </c>
      <c r="EW16" t="e">
        <f>AND(#REF!,"AAAAAB/07Zg=")</f>
        <v>#REF!</v>
      </c>
      <c r="EX16" t="e">
        <f>AND(#REF!,"AAAAAB/07Zk=")</f>
        <v>#REF!</v>
      </c>
      <c r="EY16" t="e">
        <f>AND(#REF!,"AAAAAB/07Zo=")</f>
        <v>#REF!</v>
      </c>
      <c r="EZ16" t="e">
        <f>AND(#REF!,"AAAAAB/07Zs=")</f>
        <v>#REF!</v>
      </c>
      <c r="FA16" t="e">
        <f>AND(#REF!,"AAAAAB/07Zw=")</f>
        <v>#REF!</v>
      </c>
      <c r="FB16" t="e">
        <f>AND(#REF!,"AAAAAB/07Z0=")</f>
        <v>#REF!</v>
      </c>
      <c r="FC16" t="e">
        <f>AND(#REF!,"AAAAAB/07Z4=")</f>
        <v>#REF!</v>
      </c>
      <c r="FD16" t="e">
        <f>AND(#REF!,"AAAAAB/07Z8=")</f>
        <v>#REF!</v>
      </c>
      <c r="FE16" t="e">
        <f>AND(#REF!,"AAAAAB/07aA=")</f>
        <v>#REF!</v>
      </c>
      <c r="FF16" t="e">
        <f>AND(#REF!,"AAAAAB/07aE=")</f>
        <v>#REF!</v>
      </c>
      <c r="FG16" t="e">
        <f>AND(#REF!,"AAAAAB/07aI=")</f>
        <v>#REF!</v>
      </c>
      <c r="FH16" t="e">
        <f>AND(#REF!,"AAAAAB/07aM=")</f>
        <v>#REF!</v>
      </c>
      <c r="FI16" t="e">
        <f>AND(#REF!,"AAAAAB/07aQ=")</f>
        <v>#REF!</v>
      </c>
      <c r="FJ16" t="e">
        <f>AND(#REF!,"AAAAAB/07aU=")</f>
        <v>#REF!</v>
      </c>
      <c r="FK16" t="e">
        <f>AND(#REF!,"AAAAAB/07aY=")</f>
        <v>#REF!</v>
      </c>
      <c r="FL16" t="e">
        <f>AND(#REF!,"AAAAAB/07ac=")</f>
        <v>#REF!</v>
      </c>
      <c r="FM16" t="e">
        <f>AND(#REF!,"AAAAAB/07ag=")</f>
        <v>#REF!</v>
      </c>
      <c r="FN16" t="e">
        <f>AND(#REF!,"AAAAAB/07ak=")</f>
        <v>#REF!</v>
      </c>
      <c r="FO16" t="e">
        <f>AND(#REF!,"AAAAAB/07ao=")</f>
        <v>#REF!</v>
      </c>
      <c r="FP16" t="e">
        <f>AND(#REF!,"AAAAAB/07as=")</f>
        <v>#REF!</v>
      </c>
      <c r="FQ16" t="e">
        <f>AND(#REF!,"AAAAAB/07aw=")</f>
        <v>#REF!</v>
      </c>
      <c r="FR16" t="e">
        <f>AND(#REF!,"AAAAAB/07a0=")</f>
        <v>#REF!</v>
      </c>
      <c r="FS16" t="e">
        <f>AND(#REF!,"AAAAAB/07a4=")</f>
        <v>#REF!</v>
      </c>
      <c r="FT16" t="e">
        <f>AND(#REF!,"AAAAAB/07a8=")</f>
        <v>#REF!</v>
      </c>
      <c r="FU16" t="e">
        <f>AND(#REF!,"AAAAAB/07bA=")</f>
        <v>#REF!</v>
      </c>
      <c r="FV16" t="e">
        <f>AND(#REF!,"AAAAAB/07bE=")</f>
        <v>#REF!</v>
      </c>
      <c r="FW16" t="e">
        <f>AND(#REF!,"AAAAAB/07bI=")</f>
        <v>#REF!</v>
      </c>
      <c r="FX16" t="e">
        <f>AND(#REF!,"AAAAAB/07bM=")</f>
        <v>#REF!</v>
      </c>
      <c r="FY16" t="e">
        <f>IF(#REF!,"AAAAAB/07bQ=",0)</f>
        <v>#REF!</v>
      </c>
      <c r="FZ16" t="e">
        <f>AND(#REF!,"AAAAAB/07bU=")</f>
        <v>#REF!</v>
      </c>
      <c r="GA16" t="e">
        <f>AND(#REF!,"AAAAAB/07bY=")</f>
        <v>#REF!</v>
      </c>
      <c r="GB16" t="e">
        <f>AND(#REF!,"AAAAAB/07bc=")</f>
        <v>#REF!</v>
      </c>
      <c r="GC16" t="e">
        <f>AND(#REF!,"AAAAAB/07bg=")</f>
        <v>#REF!</v>
      </c>
      <c r="GD16" t="e">
        <f>AND(#REF!,"AAAAAB/07bk=")</f>
        <v>#REF!</v>
      </c>
      <c r="GE16" t="e">
        <f>AND(#REF!,"AAAAAB/07bo=")</f>
        <v>#REF!</v>
      </c>
      <c r="GF16" t="e">
        <f>AND(#REF!,"AAAAAB/07bs=")</f>
        <v>#REF!</v>
      </c>
      <c r="GG16" t="e">
        <f>AND(#REF!,"AAAAAB/07bw=")</f>
        <v>#REF!</v>
      </c>
      <c r="GH16" t="e">
        <f>AND(#REF!,"AAAAAB/07b0=")</f>
        <v>#REF!</v>
      </c>
      <c r="GI16" t="e">
        <f>AND(#REF!,"AAAAAB/07b4=")</f>
        <v>#REF!</v>
      </c>
      <c r="GJ16" t="e">
        <f>AND(#REF!,"AAAAAB/07b8=")</f>
        <v>#REF!</v>
      </c>
      <c r="GK16" t="e">
        <f>AND(#REF!,"AAAAAB/07cA=")</f>
        <v>#REF!</v>
      </c>
      <c r="GL16" t="e">
        <f>AND(#REF!,"AAAAAB/07cE=")</f>
        <v>#REF!</v>
      </c>
      <c r="GM16" t="e">
        <f>AND(#REF!,"AAAAAB/07cI=")</f>
        <v>#REF!</v>
      </c>
      <c r="GN16" t="e">
        <f>AND(#REF!,"AAAAAB/07cM=")</f>
        <v>#REF!</v>
      </c>
      <c r="GO16" t="e">
        <f>AND(#REF!,"AAAAAB/07cQ=")</f>
        <v>#REF!</v>
      </c>
      <c r="GP16" t="e">
        <f>AND(#REF!,"AAAAAB/07cU=")</f>
        <v>#REF!</v>
      </c>
      <c r="GQ16" t="e">
        <f>AND(#REF!,"AAAAAB/07cY=")</f>
        <v>#REF!</v>
      </c>
      <c r="GR16" t="e">
        <f>AND(#REF!,"AAAAAB/07cc=")</f>
        <v>#REF!</v>
      </c>
      <c r="GS16" t="e">
        <f>AND(#REF!,"AAAAAB/07cg=")</f>
        <v>#REF!</v>
      </c>
      <c r="GT16" t="e">
        <f>AND(#REF!,"AAAAAB/07ck=")</f>
        <v>#REF!</v>
      </c>
      <c r="GU16" t="e">
        <f>AND(#REF!,"AAAAAB/07co=")</f>
        <v>#REF!</v>
      </c>
      <c r="GV16" t="e">
        <f>AND(#REF!,"AAAAAB/07cs=")</f>
        <v>#REF!</v>
      </c>
      <c r="GW16" t="e">
        <f>AND(#REF!,"AAAAAB/07cw=")</f>
        <v>#REF!</v>
      </c>
      <c r="GX16" t="e">
        <f>AND(#REF!,"AAAAAB/07c0=")</f>
        <v>#REF!</v>
      </c>
      <c r="GY16" t="e">
        <f>AND(#REF!,"AAAAAB/07c4=")</f>
        <v>#REF!</v>
      </c>
      <c r="GZ16" t="e">
        <f>AND(#REF!,"AAAAAB/07c8=")</f>
        <v>#REF!</v>
      </c>
      <c r="HA16" t="e">
        <f>AND(#REF!,"AAAAAB/07dA=")</f>
        <v>#REF!</v>
      </c>
      <c r="HB16" t="e">
        <f>AND(#REF!,"AAAAAB/07dE=")</f>
        <v>#REF!</v>
      </c>
      <c r="HC16" t="e">
        <f>AND(#REF!,"AAAAAB/07dI=")</f>
        <v>#REF!</v>
      </c>
      <c r="HD16" t="e">
        <f>AND(#REF!,"AAAAAB/07dM=")</f>
        <v>#REF!</v>
      </c>
      <c r="HE16" t="e">
        <f>AND(#REF!,"AAAAAB/07dQ=")</f>
        <v>#REF!</v>
      </c>
      <c r="HF16" t="e">
        <f>AND(#REF!,"AAAAAB/07dU=")</f>
        <v>#REF!</v>
      </c>
      <c r="HG16" t="e">
        <f>AND(#REF!,"AAAAAB/07dY=")</f>
        <v>#REF!</v>
      </c>
      <c r="HH16" t="e">
        <f>AND(#REF!,"AAAAAB/07dc=")</f>
        <v>#REF!</v>
      </c>
      <c r="HI16" t="e">
        <f>AND(#REF!,"AAAAAB/07dg=")</f>
        <v>#REF!</v>
      </c>
      <c r="HJ16" t="e">
        <f>AND(#REF!,"AAAAAB/07dk=")</f>
        <v>#REF!</v>
      </c>
      <c r="HK16" t="e">
        <f>AND(#REF!,"AAAAAB/07do=")</f>
        <v>#REF!</v>
      </c>
      <c r="HL16" t="e">
        <f>AND(#REF!,"AAAAAB/07ds=")</f>
        <v>#REF!</v>
      </c>
      <c r="HM16" t="e">
        <f>AND(#REF!,"AAAAAB/07dw=")</f>
        <v>#REF!</v>
      </c>
      <c r="HN16" t="e">
        <f>IF(#REF!,"AAAAAB/07d0=",0)</f>
        <v>#REF!</v>
      </c>
      <c r="HO16" t="e">
        <f>IF(#REF!,"AAAAAB/07d4=",0)</f>
        <v>#REF!</v>
      </c>
      <c r="HP16" t="e">
        <f>IF(#REF!,"AAAAAB/07d8=",0)</f>
        <v>#REF!</v>
      </c>
      <c r="HQ16" t="e">
        <f>IF(#REF!,"AAAAAB/07eA=",0)</f>
        <v>#REF!</v>
      </c>
      <c r="HR16" t="e">
        <f>IF(#REF!,"AAAAAB/07eE=",0)</f>
        <v>#REF!</v>
      </c>
      <c r="HS16" t="e">
        <f>IF(#REF!,"AAAAAB/07eI=",0)</f>
        <v>#REF!</v>
      </c>
      <c r="HT16" t="e">
        <f>IF(#REF!,"AAAAAB/07eM=",0)</f>
        <v>#REF!</v>
      </c>
      <c r="HU16" t="e">
        <f>IF(#REF!,"AAAAAB/07eQ=",0)</f>
        <v>#REF!</v>
      </c>
      <c r="HV16" t="e">
        <f>IF(#REF!,"AAAAAB/07eU=",0)</f>
        <v>#REF!</v>
      </c>
      <c r="HW16" t="e">
        <f>IF(#REF!,"AAAAAB/07eY=",0)</f>
        <v>#REF!</v>
      </c>
      <c r="HX16" t="e">
        <f>IF(#REF!,"AAAAAB/07ec=",0)</f>
        <v>#REF!</v>
      </c>
      <c r="HY16" t="e">
        <f>IF(#REF!,"AAAAAB/07eg=",0)</f>
        <v>#REF!</v>
      </c>
      <c r="HZ16" t="e">
        <f>IF(#REF!,"AAAAAB/07ek=",0)</f>
        <v>#REF!</v>
      </c>
      <c r="IA16" t="e">
        <f>IF(#REF!,"AAAAAB/07eo=",0)</f>
        <v>#REF!</v>
      </c>
      <c r="IB16" t="e">
        <f>IF(#REF!,"AAAAAB/07es=",0)</f>
        <v>#REF!</v>
      </c>
      <c r="IC16" t="e">
        <f>IF(#REF!,"AAAAAB/07ew=",0)</f>
        <v>#REF!</v>
      </c>
      <c r="ID16" t="e">
        <f>IF(#REF!,"AAAAAB/07e0=",0)</f>
        <v>#REF!</v>
      </c>
      <c r="IE16" t="e">
        <f>IF(#REF!,"AAAAAB/07e4=",0)</f>
        <v>#REF!</v>
      </c>
      <c r="IF16" t="e">
        <f>IF(#REF!,"AAAAAB/07e8=",0)</f>
        <v>#REF!</v>
      </c>
      <c r="IG16" t="e">
        <f>IF(#REF!,"AAAAAB/07fA=",0)</f>
        <v>#REF!</v>
      </c>
      <c r="IH16" t="e">
        <f>IF(#REF!,"AAAAAB/07fE=",0)</f>
        <v>#REF!</v>
      </c>
      <c r="II16" t="e">
        <f>IF(#REF!,"AAAAAB/07fI=",0)</f>
        <v>#REF!</v>
      </c>
      <c r="IJ16" t="e">
        <f>IF(#REF!,"AAAAAB/07fM=",0)</f>
        <v>#REF!</v>
      </c>
      <c r="IK16" t="e">
        <f>IF(#REF!,"AAAAAB/07fQ=",0)</f>
        <v>#REF!</v>
      </c>
      <c r="IL16" t="e">
        <f>IF(#REF!,"AAAAAB/07fU=",0)</f>
        <v>#REF!</v>
      </c>
      <c r="IM16" t="e">
        <f>IF(#REF!,"AAAAAB/07fY=",0)</f>
        <v>#REF!</v>
      </c>
      <c r="IN16" t="e">
        <f>IF(#REF!,"AAAAAB/07fc=",0)</f>
        <v>#REF!</v>
      </c>
      <c r="IO16" t="e">
        <f>IF(#REF!,"AAAAAB/07fg=",0)</f>
        <v>#REF!</v>
      </c>
      <c r="IP16" t="e">
        <f>IF(#REF!,"AAAAAB/07fk=",0)</f>
        <v>#REF!</v>
      </c>
      <c r="IQ16" t="e">
        <f>IF(#REF!,"AAAAAB/07fo=",0)</f>
        <v>#REF!</v>
      </c>
      <c r="IR16" t="e">
        <f>IF(#REF!,"AAAAAB/07fs=",0)</f>
        <v>#REF!</v>
      </c>
      <c r="IS16" t="e">
        <f>IF(#REF!,"AAAAAB/07fw=",0)</f>
        <v>#REF!</v>
      </c>
      <c r="IT16" t="e">
        <f>IF(#REF!,"AAAAAB/07f0=",0)</f>
        <v>#REF!</v>
      </c>
      <c r="IU16" t="e">
        <f>IF(#REF!,"AAAAAB/07f4=",0)</f>
        <v>#REF!</v>
      </c>
      <c r="IV16" t="e">
        <f>IF(#REF!,"AAAAAB/07f8=",0)</f>
        <v>#REF!</v>
      </c>
    </row>
    <row r="17" spans="1:157" x14ac:dyDescent="0.2">
      <c r="A17" t="e">
        <f>IF(#REF!,"AAAAADb9/wA=",0)</f>
        <v>#REF!</v>
      </c>
      <c r="B17" t="e">
        <f>IF(#REF!,"AAAAADb9/wE=",0)</f>
        <v>#REF!</v>
      </c>
      <c r="C17" t="e">
        <f>IF(#REF!,"AAAAADb9/wI=",0)</f>
        <v>#REF!</v>
      </c>
      <c r="D17" t="e">
        <f>IF(#REF!,"AAAAADb9/wM=",0)</f>
        <v>#REF!</v>
      </c>
      <c r="E17" t="e">
        <f>IF(#REF!,"AAAAADb9/wQ=",0)</f>
        <v>#REF!</v>
      </c>
      <c r="F17" t="s">
        <v>17</v>
      </c>
      <c r="G17" t="e">
        <f>IF("N",Conciliación!_xlnm._FilterDatabase,"AAAAADb9/wY=")</f>
        <v>#VALUE!</v>
      </c>
      <c r="H17" t="e">
        <f>IF("N",Conciliación!_xlnm.Print_Area,"AAAAADb9/wc=")</f>
        <v>#VALUE!</v>
      </c>
      <c r="I17" t="e">
        <f>IF("N",Imprimir,"AAAAADb9/wg=")</f>
        <v>#VALUE!</v>
      </c>
      <c r="J17" t="e">
        <f>IF("N",Conciliación!_xlnm.Print_Titles,"AAAAADb9/wk=")</f>
        <v>#VALUE!</v>
      </c>
    </row>
    <row r="18" spans="1:157" x14ac:dyDescent="0.2">
      <c r="A18">
        <f>IF(Conciliación!1:1,"AAAAAGf/XgA=",0)</f>
        <v>0</v>
      </c>
      <c r="B18" t="e">
        <f>AND(Conciliación!A1,"AAAAAGf/XgE=")</f>
        <v>#VALUE!</v>
      </c>
      <c r="C18" t="e">
        <f>AND(Conciliación!B1,"AAAAAGf/XgI=")</f>
        <v>#VALUE!</v>
      </c>
      <c r="D18" t="e">
        <f>AND(Conciliación!C1,"AAAAAGf/XgM=")</f>
        <v>#VALUE!</v>
      </c>
      <c r="E18" t="e">
        <f>AND(Conciliación!D1,"AAAAAGf/XgQ=")</f>
        <v>#VALUE!</v>
      </c>
      <c r="F18" t="e">
        <f>AND(Conciliación!E1,"AAAAAGf/XgU=")</f>
        <v>#VALUE!</v>
      </c>
      <c r="G18" t="e">
        <f>AND(Conciliación!F1,"AAAAAGf/XgY=")</f>
        <v>#VALUE!</v>
      </c>
      <c r="H18" t="e">
        <f>AND(Conciliación!G1,"AAAAAGf/Xgc=")</f>
        <v>#VALUE!</v>
      </c>
      <c r="I18" t="e">
        <f>AND(Conciliación!H1,"AAAAAGf/Xgg=")</f>
        <v>#VALUE!</v>
      </c>
      <c r="J18" t="e">
        <f>AND(Conciliación!I1,"AAAAAGf/Xgk=")</f>
        <v>#VALUE!</v>
      </c>
      <c r="K18" t="e">
        <f>AND(Conciliación!J1,"AAAAAGf/Xgo=")</f>
        <v>#VALUE!</v>
      </c>
      <c r="L18" t="e">
        <f>AND(Conciliación!K1,"AAAAAGf/Xgs=")</f>
        <v>#VALUE!</v>
      </c>
      <c r="M18" t="e">
        <f>AND(Conciliación!L1,"AAAAAGf/Xgw=")</f>
        <v>#VALUE!</v>
      </c>
      <c r="N18" t="e">
        <f>AND(Conciliación!M1,"AAAAAGf/Xg0=")</f>
        <v>#VALUE!</v>
      </c>
      <c r="O18" t="e">
        <f>AND(Conciliación!N1,"AAAAAGf/Xg4=")</f>
        <v>#VALUE!</v>
      </c>
      <c r="P18" t="e">
        <f>AND(Conciliación!A2,"AAAAAGf/Xg8=")</f>
        <v>#VALUE!</v>
      </c>
      <c r="Q18" t="e">
        <f>AND(Conciliación!A3,"AAAAAGf/XhA=")</f>
        <v>#VALUE!</v>
      </c>
      <c r="R18" t="e">
        <f>AND(Conciliación!A4,"AAAAAGf/XhE=")</f>
        <v>#VALUE!</v>
      </c>
      <c r="S18" t="e">
        <f>AND(Conciliación!A5,"AAAAAGf/XhI=")</f>
        <v>#VALUE!</v>
      </c>
      <c r="T18">
        <f>IF(Conciliación!6:6,"AAAAAGf/XhM=",0)</f>
        <v>0</v>
      </c>
      <c r="U18" t="e">
        <f>AND(Conciliación!A6,"AAAAAGf/XhQ=")</f>
        <v>#VALUE!</v>
      </c>
      <c r="V18" t="e">
        <f>AND(Conciliación!B6,"AAAAAGf/XhU=")</f>
        <v>#VALUE!</v>
      </c>
      <c r="W18" t="e">
        <f>AND(Conciliación!C6,"AAAAAGf/XhY=")</f>
        <v>#VALUE!</v>
      </c>
      <c r="X18" t="e">
        <f>AND(Conciliación!D6,"AAAAAGf/Xhc=")</f>
        <v>#VALUE!</v>
      </c>
      <c r="Y18" t="e">
        <f>AND(Conciliación!G6,"AAAAAGf/Xhg=")</f>
        <v>#VALUE!</v>
      </c>
      <c r="Z18" t="e">
        <f>AND(Conciliación!H6,"AAAAAGf/Xhk=")</f>
        <v>#VALUE!</v>
      </c>
      <c r="AA18" t="e">
        <f>AND(Conciliación!I6,"AAAAAGf/Xho=")</f>
        <v>#VALUE!</v>
      </c>
      <c r="AB18" t="e">
        <f>AND(Conciliación!J6,"AAAAAGf/Xhs=")</f>
        <v>#VALUE!</v>
      </c>
      <c r="AC18" t="e">
        <f>AND(Conciliación!K6,"AAAAAGf/Xhw=")</f>
        <v>#VALUE!</v>
      </c>
      <c r="AD18" t="e">
        <f>AND(Conciliación!L6,"AAAAAGf/Xh0=")</f>
        <v>#VALUE!</v>
      </c>
      <c r="AE18" t="e">
        <f>AND(Conciliación!M6,"AAAAAGf/Xh4=")</f>
        <v>#VALUE!</v>
      </c>
      <c r="AF18" t="e">
        <f>AND(Conciliación!N6,"AAAAAGf/Xh8=")</f>
        <v>#VALUE!</v>
      </c>
      <c r="AG18" t="e">
        <f>AND(Conciliación!A7,"AAAAAGf/XiA=")</f>
        <v>#VALUE!</v>
      </c>
      <c r="AH18" t="e">
        <f>AND(Conciliación!E7,"AAAAAGf/XiE=")</f>
        <v>#VALUE!</v>
      </c>
      <c r="AI18" t="e">
        <f>AND(Conciliación!F7,"AAAAAGf/XiI=")</f>
        <v>#VALUE!</v>
      </c>
      <c r="AJ18" t="e">
        <f>AND(Conciliación!A8,"AAAAAGf/XiM=")</f>
        <v>#VALUE!</v>
      </c>
      <c r="AK18" t="e">
        <f>AND(Conciliación!A9,"AAAAAGf/XiQ=")</f>
        <v>#VALUE!</v>
      </c>
      <c r="AL18" t="e">
        <f>AND(Conciliación!A10,"AAAAAGf/XiU=")</f>
        <v>#VALUE!</v>
      </c>
      <c r="AM18" t="e">
        <f>AND(Conciliación!A11,"AAAAAGf/XiY=")</f>
        <v>#VALUE!</v>
      </c>
      <c r="AN18" t="e">
        <f>AND(Conciliación!A12,"AAAAAGf/Xic=")</f>
        <v>#VALUE!</v>
      </c>
      <c r="AO18" t="e">
        <f>AND(Conciliación!A13,"AAAAAGf/Xig=")</f>
        <v>#VALUE!</v>
      </c>
      <c r="AP18" t="e">
        <f>AND(Conciliación!A14,"AAAAAGf/Xik=")</f>
        <v>#VALUE!</v>
      </c>
      <c r="AQ18" t="e">
        <f>AND(Conciliación!A15,"AAAAAGf/Xio=")</f>
        <v>#VALUE!</v>
      </c>
      <c r="AR18" t="e">
        <f>AND(Conciliación!A16,"AAAAAGf/Xis=")</f>
        <v>#VALUE!</v>
      </c>
      <c r="AS18" t="e">
        <f>AND(Conciliación!A17,"AAAAAGf/Xiw=")</f>
        <v>#VALUE!</v>
      </c>
      <c r="AT18" t="e">
        <f>AND(Conciliación!A18,"AAAAAGf/Xi0=")</f>
        <v>#VALUE!</v>
      </c>
      <c r="AU18" t="e">
        <f>AND(Conciliación!A19,"AAAAAGf/Xi4=")</f>
        <v>#VALUE!</v>
      </c>
      <c r="AV18" t="e">
        <f>AND(Conciliación!A20,"AAAAAGf/Xi8=")</f>
        <v>#VALUE!</v>
      </c>
      <c r="AW18" t="e">
        <f>AND(Conciliación!A21,"AAAAAGf/XjA=")</f>
        <v>#VALUE!</v>
      </c>
      <c r="AX18" t="e">
        <f>AND(Conciliación!A22,"AAAAAGf/XjE=")</f>
        <v>#VALUE!</v>
      </c>
      <c r="AY18" t="e">
        <f>AND(Conciliación!A23,"AAAAAGf/XjI=")</f>
        <v>#VALUE!</v>
      </c>
      <c r="AZ18" t="e">
        <f>AND(Conciliación!A24,"AAAAAGf/XjM=")</f>
        <v>#VALUE!</v>
      </c>
      <c r="BA18" t="e">
        <f>AND(Conciliación!A25,"AAAAAGf/XjQ=")</f>
        <v>#VALUE!</v>
      </c>
      <c r="BB18" t="e">
        <f>AND(Conciliación!A26,"AAAAAGf/XjU=")</f>
        <v>#VALUE!</v>
      </c>
      <c r="BC18" t="e">
        <f>AND(Conciliación!A27,"AAAAAGf/XjY=")</f>
        <v>#VALUE!</v>
      </c>
      <c r="BD18" t="e">
        <f>AND(Conciliación!A28,"AAAAAGf/Xjc=")</f>
        <v>#VALUE!</v>
      </c>
      <c r="BE18" t="e">
        <f>AND(Conciliación!A29,"AAAAAGf/Xjg=")</f>
        <v>#VALUE!</v>
      </c>
      <c r="BF18" t="e">
        <f>AND(Conciliación!A30,"AAAAAGf/Xjk=")</f>
        <v>#VALUE!</v>
      </c>
      <c r="BG18" t="e">
        <f>AND(Conciliación!A31,"AAAAAGf/Xjo=")</f>
        <v>#VALUE!</v>
      </c>
      <c r="BH18" t="e">
        <f>AND(Conciliación!A32,"AAAAAGf/Xjs=")</f>
        <v>#VALUE!</v>
      </c>
      <c r="BI18" t="e">
        <f>AND(Conciliación!A33,"AAAAAGf/Xjw=")</f>
        <v>#VALUE!</v>
      </c>
      <c r="BJ18" t="e">
        <f>AND(Conciliación!A34,"AAAAAGf/Xj0=")</f>
        <v>#VALUE!</v>
      </c>
      <c r="BK18" t="e">
        <f>AND(Conciliación!A35,"AAAAAGf/Xj4=")</f>
        <v>#VALUE!</v>
      </c>
      <c r="BL18" t="e">
        <f>AND(Conciliación!A36,"AAAAAGf/Xj8=")</f>
        <v>#VALUE!</v>
      </c>
      <c r="BM18" t="e">
        <f>AND(Conciliación!A37,"AAAAAGf/XkA=")</f>
        <v>#VALUE!</v>
      </c>
      <c r="BN18" t="e">
        <f>AND(Conciliación!A38,"AAAAAGf/XkE=")</f>
        <v>#VALUE!</v>
      </c>
      <c r="BO18" t="e">
        <f>AND(Conciliación!A39,"AAAAAGf/XkI=")</f>
        <v>#VALUE!</v>
      </c>
      <c r="BP18" t="e">
        <f>AND(Conciliación!A40,"AAAAAGf/XkM=")</f>
        <v>#VALUE!</v>
      </c>
      <c r="BQ18" t="e">
        <f>AND(Conciliación!A41,"AAAAAGf/XkQ=")</f>
        <v>#VALUE!</v>
      </c>
      <c r="BR18" t="e">
        <f>AND(Conciliación!A42,"AAAAAGf/XkU=")</f>
        <v>#VALUE!</v>
      </c>
      <c r="BS18" t="e">
        <f>AND(Conciliación!A43,"AAAAAGf/XkY=")</f>
        <v>#VALUE!</v>
      </c>
      <c r="BT18" t="e">
        <f>AND(Conciliación!A44,"AAAAAGf/Xkc=")</f>
        <v>#VALUE!</v>
      </c>
      <c r="BU18" t="e">
        <f>AND(Conciliación!A45,"AAAAAGf/Xkg=")</f>
        <v>#VALUE!</v>
      </c>
      <c r="BV18" t="e">
        <f>AND(Conciliación!A46,"AAAAAGf/Xkk=")</f>
        <v>#VALUE!</v>
      </c>
      <c r="BW18" t="e">
        <f>AND(Conciliación!A47,"AAAAAGf/Xko=")</f>
        <v>#VALUE!</v>
      </c>
      <c r="BX18" t="e">
        <f>AND(Conciliación!A48,"AAAAAGf/Xks=")</f>
        <v>#VALUE!</v>
      </c>
      <c r="BY18" t="e">
        <f>AND(Conciliación!A49,"AAAAAGf/Xkw=")</f>
        <v>#VALUE!</v>
      </c>
      <c r="BZ18" t="e">
        <f>AND(Conciliación!A50,"AAAAAGf/Xk0=")</f>
        <v>#VALUE!</v>
      </c>
      <c r="CA18" t="e">
        <f>AND(Conciliación!A51,"AAAAAGf/Xk4=")</f>
        <v>#VALUE!</v>
      </c>
      <c r="CB18" t="e">
        <f>AND(Conciliación!A52,"AAAAAGf/Xk8=")</f>
        <v>#VALUE!</v>
      </c>
      <c r="CC18" t="e">
        <f>AND(Conciliación!A53,"AAAAAGf/XlA=")</f>
        <v>#VALUE!</v>
      </c>
      <c r="CD18" t="e">
        <f>AND(Conciliación!A54,"AAAAAGf/XlE=")</f>
        <v>#VALUE!</v>
      </c>
      <c r="CE18" t="e">
        <f>AND(Conciliación!A55,"AAAAAGf/XlI=")</f>
        <v>#VALUE!</v>
      </c>
      <c r="CF18" t="e">
        <f>AND(Conciliación!A56,"AAAAAGf/XlM=")</f>
        <v>#VALUE!</v>
      </c>
      <c r="CG18" t="e">
        <f>AND(Conciliación!A57,"AAAAAGf/XlQ=")</f>
        <v>#VALUE!</v>
      </c>
      <c r="CH18" t="e">
        <f>AND(Conciliación!A58,"AAAAAGf/XlU=")</f>
        <v>#VALUE!</v>
      </c>
      <c r="CI18" t="e">
        <f>AND(Conciliación!A59,"AAAAAGf/XlY=")</f>
        <v>#VALUE!</v>
      </c>
      <c r="CJ18" t="e">
        <f>AND(Conciliación!A60,"AAAAAGf/Xlc=")</f>
        <v>#VALUE!</v>
      </c>
      <c r="CK18" t="e">
        <f>AND(Conciliación!A61,"AAAAAGf/Xlg=")</f>
        <v>#VALUE!</v>
      </c>
      <c r="CL18" t="e">
        <f>AND(Conciliación!A62,"AAAAAGf/Xlk=")</f>
        <v>#VALUE!</v>
      </c>
      <c r="CM18" t="e">
        <f>AND(Conciliación!A63,"AAAAAGf/Xlo=")</f>
        <v>#VALUE!</v>
      </c>
      <c r="CN18" t="e">
        <f>AND(Conciliación!A64,"AAAAAGf/Xls=")</f>
        <v>#VALUE!</v>
      </c>
      <c r="CO18" t="e">
        <f>AND(Conciliación!A65,"AAAAAGf/Xlw=")</f>
        <v>#VALUE!</v>
      </c>
      <c r="CP18" t="e">
        <f>AND(Conciliación!A66,"AAAAAGf/Xl0=")</f>
        <v>#VALUE!</v>
      </c>
      <c r="CQ18" t="e">
        <f>AND(Conciliación!A67,"AAAAAGf/Xl4=")</f>
        <v>#VALUE!</v>
      </c>
      <c r="CR18" t="e">
        <f>AND(Conciliación!A68,"AAAAAGf/Xl8=")</f>
        <v>#VALUE!</v>
      </c>
      <c r="CS18" t="e">
        <f>AND(Conciliación!A69,"AAAAAGf/XmA=")</f>
        <v>#VALUE!</v>
      </c>
      <c r="CT18" t="e">
        <f>AND(Conciliación!A70,"AAAAAGf/XmE=")</f>
        <v>#VALUE!</v>
      </c>
      <c r="CU18" t="e">
        <f>AND(Conciliación!A71,"AAAAAGf/XmI=")</f>
        <v>#VALUE!</v>
      </c>
      <c r="CV18" t="e">
        <f>AND(Conciliación!A72,"AAAAAGf/XmM=")</f>
        <v>#VALUE!</v>
      </c>
      <c r="CW18" t="e">
        <f>AND(Conciliación!A73,"AAAAAGf/XmQ=")</f>
        <v>#VALUE!</v>
      </c>
      <c r="CX18" t="e">
        <f>AND(Conciliación!A74,"AAAAAGf/XmU=")</f>
        <v>#VALUE!</v>
      </c>
      <c r="CY18" t="e">
        <f>AND(Conciliación!A75,"AAAAAGf/XmY=")</f>
        <v>#VALUE!</v>
      </c>
      <c r="CZ18" t="e">
        <f>AND(Conciliación!A76,"AAAAAGf/Xmc=")</f>
        <v>#VALUE!</v>
      </c>
      <c r="DA18" t="e">
        <f>AND(Conciliación!A77,"AAAAAGf/Xmg=")</f>
        <v>#VALUE!</v>
      </c>
      <c r="DB18" t="e">
        <f>AND(Conciliación!A78,"AAAAAGf/Xmk=")</f>
        <v>#VALUE!</v>
      </c>
      <c r="DC18" t="e">
        <f>AND(Conciliación!A79,"AAAAAGf/Xmo=")</f>
        <v>#VALUE!</v>
      </c>
      <c r="DD18" t="e">
        <f>AND(Conciliación!A80,"AAAAAGf/Xms=")</f>
        <v>#VALUE!</v>
      </c>
      <c r="DE18" t="e">
        <f>AND(Conciliación!A81,"AAAAAGf/Xmw=")</f>
        <v>#VALUE!</v>
      </c>
      <c r="DF18" t="e">
        <f>AND(Conciliación!A82,"AAAAAGf/Xm0=")</f>
        <v>#VALUE!</v>
      </c>
      <c r="DG18" t="e">
        <f>AND(Conciliación!A83,"AAAAAGf/Xm4=")</f>
        <v>#VALUE!</v>
      </c>
      <c r="DH18" t="e">
        <f>AND(Conciliación!A84,"AAAAAGf/Xm8=")</f>
        <v>#VALUE!</v>
      </c>
      <c r="DI18" t="e">
        <f>AND(Conciliación!A85,"AAAAAGf/XnA=")</f>
        <v>#VALUE!</v>
      </c>
      <c r="DJ18" t="e">
        <f>AND(Conciliación!A86,"AAAAAGf/XnE=")</f>
        <v>#VALUE!</v>
      </c>
      <c r="DK18" t="e">
        <f>AND(Conciliación!A87,"AAAAAGf/XnI=")</f>
        <v>#VALUE!</v>
      </c>
      <c r="DL18" t="e">
        <f>AND(Conciliación!A88,"AAAAAGf/XnM=")</f>
        <v>#VALUE!</v>
      </c>
      <c r="DM18" t="e">
        <f>AND(Conciliación!A89,"AAAAAGf/XnQ=")</f>
        <v>#VALUE!</v>
      </c>
      <c r="DN18" t="e">
        <f>AND(Conciliación!A90,"AAAAAGf/XnU=")</f>
        <v>#VALUE!</v>
      </c>
      <c r="DO18" t="e">
        <f>AND(Conciliación!A91,"AAAAAGf/XnY=")</f>
        <v>#VALUE!</v>
      </c>
      <c r="DP18" t="e">
        <f>AND(Conciliación!A92,"AAAAAGf/Xnc=")</f>
        <v>#VALUE!</v>
      </c>
      <c r="DQ18" t="e">
        <f>AND(Conciliación!A93,"AAAAAGf/Xng=")</f>
        <v>#VALUE!</v>
      </c>
      <c r="DR18" t="e">
        <f>AND(Conciliación!A94,"AAAAAGf/Xnk=")</f>
        <v>#VALUE!</v>
      </c>
      <c r="DS18" t="e">
        <f>AND(Conciliación!A95,"AAAAAGf/Xno=")</f>
        <v>#VALUE!</v>
      </c>
      <c r="DT18" t="e">
        <f>AND(Conciliación!A96,"AAAAAGf/Xns=")</f>
        <v>#VALUE!</v>
      </c>
      <c r="DU18" t="e">
        <f>AND(Conciliación!A97,"AAAAAGf/Xnw=")</f>
        <v>#VALUE!</v>
      </c>
      <c r="DV18" t="e">
        <f>AND(Conciliación!A98,"AAAAAGf/Xn0=")</f>
        <v>#VALUE!</v>
      </c>
      <c r="DW18" t="e">
        <f>AND(Conciliación!A99,"AAAAAGf/Xn4=")</f>
        <v>#VALUE!</v>
      </c>
      <c r="DX18" t="e">
        <f>AND(Conciliación!A100,"AAAAAGf/Xn8=")</f>
        <v>#VALUE!</v>
      </c>
      <c r="DY18" t="e">
        <f>AND(Conciliación!A101,"AAAAAGf/XoA=")</f>
        <v>#VALUE!</v>
      </c>
      <c r="DZ18" t="e">
        <f>AND(Conciliación!A102,"AAAAAGf/XoE=")</f>
        <v>#VALUE!</v>
      </c>
      <c r="EA18" t="e">
        <f>AND(Conciliación!A103,"AAAAAGf/XoI=")</f>
        <v>#VALUE!</v>
      </c>
      <c r="EB18" t="e">
        <f>AND(Conciliación!A104,"AAAAAGf/XoM=")</f>
        <v>#VALUE!</v>
      </c>
      <c r="EC18" t="e">
        <f>AND(Conciliación!A105,"AAAAAGf/XoQ=")</f>
        <v>#VALUE!</v>
      </c>
      <c r="ED18" t="e">
        <f>AND(Conciliación!A106,"AAAAAGf/XoU=")</f>
        <v>#VALUE!</v>
      </c>
      <c r="EE18" t="e">
        <f>AND(Conciliación!A107,"AAAAAGf/XoY=")</f>
        <v>#VALUE!</v>
      </c>
      <c r="EF18" t="e">
        <f>AND(Conciliación!A108,"AAAAAGf/Xoc=")</f>
        <v>#VALUE!</v>
      </c>
      <c r="EG18" t="e">
        <f>AND(Conciliación!A109,"AAAAAGf/Xog=")</f>
        <v>#VALUE!</v>
      </c>
      <c r="EH18" t="e">
        <f>AND(Conciliación!A110,"AAAAAGf/Xok=")</f>
        <v>#VALUE!</v>
      </c>
      <c r="EI18" t="e">
        <f>AND(Conciliación!A111,"AAAAAGf/Xoo=")</f>
        <v>#VALUE!</v>
      </c>
      <c r="EJ18" t="e">
        <f>AND(Conciliación!A112,"AAAAAGf/Xos=")</f>
        <v>#VALUE!</v>
      </c>
      <c r="EK18" t="e">
        <f>AND(Conciliación!A113,"AAAAAGf/Xow=")</f>
        <v>#VALUE!</v>
      </c>
      <c r="EL18" t="e">
        <f>AND(Conciliación!A114,"AAAAAGf/Xo0=")</f>
        <v>#VALUE!</v>
      </c>
      <c r="EM18" t="e">
        <f>AND(Conciliación!A115,"AAAAAGf/Xo4=")</f>
        <v>#VALUE!</v>
      </c>
      <c r="EN18" t="e">
        <f>AND(Conciliación!A116,"AAAAAGf/Xo8=")</f>
        <v>#VALUE!</v>
      </c>
      <c r="EO18" t="e">
        <f>AND(Conciliación!E116,"AAAAAGf/XpA=")</f>
        <v>#VALUE!</v>
      </c>
      <c r="EP18" t="e">
        <f>AND(Conciliación!F116,"AAAAAGf/XpE=")</f>
        <v>#VALUE!</v>
      </c>
      <c r="EQ18" t="e">
        <f>AND(Conciliación!G116,"AAAAAGf/XpI=")</f>
        <v>#VALUE!</v>
      </c>
      <c r="ER18" t="e">
        <f>AND(Conciliación!H116,"AAAAAGf/XpM=")</f>
        <v>#VALUE!</v>
      </c>
      <c r="ES18" t="e">
        <f>AND(Conciliación!I116,"AAAAAGf/XpQ=")</f>
        <v>#VALUE!</v>
      </c>
      <c r="ET18" t="e">
        <f>AND(Conciliación!J116,"AAAAAGf/XpU=")</f>
        <v>#VALUE!</v>
      </c>
      <c r="EU18" t="e">
        <f>AND(Conciliación!K116,"AAAAAGf/XpY=")</f>
        <v>#VALUE!</v>
      </c>
      <c r="EV18" t="e">
        <f>AND(Conciliación!L116,"AAAAAGf/Xpc=")</f>
        <v>#VALUE!</v>
      </c>
      <c r="EW18" t="e">
        <f>AND(Conciliación!M116,"AAAAAGf/Xpg=")</f>
        <v>#VALUE!</v>
      </c>
      <c r="EX18" t="e">
        <f>AND(Conciliación!N116,"AAAAAGf/Xpk=")</f>
        <v>#VALUE!</v>
      </c>
      <c r="EY18">
        <f>IF(Conciliación!117:117,"AAAAAGf/Xpo=",0)</f>
        <v>0</v>
      </c>
      <c r="EZ18">
        <f>IF(Conciliación!118:118,"AAAAAGf/Xps=",0)</f>
        <v>0</v>
      </c>
      <c r="FA18" t="e">
        <f>IF("N",Conciliación!_xlnm.Print_Titles,"AAAAAGf/Xpw=")</f>
        <v>#VALUE!</v>
      </c>
    </row>
    <row r="19" spans="1:157" x14ac:dyDescent="0.2">
      <c r="A19" t="e">
        <f>IF("N",Conciliación!_xlnm.Print_Titles,"AAAAAGv+lgA=")</f>
        <v>#VALUE!</v>
      </c>
    </row>
    <row r="20" spans="1:157" x14ac:dyDescent="0.2">
      <c r="A20" t="e">
        <f>IF("N",Conciliación!_xlnm.Print_Titles,"AAAAAHvfvQA=")</f>
        <v>#VALUE!</v>
      </c>
    </row>
  </sheetData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Conciliación</vt:lpstr>
      <vt:lpstr>Imprimir</vt:lpstr>
      <vt:lpstr>Conciliación!Print_Titles</vt:lpstr>
    </vt:vector>
  </TitlesOfParts>
  <Manager>ABACO BPO</Manager>
  <Company>ABCO BPO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Conciliacion Bancaria</dc:title>
  <dc:creator>Daniel;dbt@abaco200.es</dc:creator>
  <cp:keywords>conciliacion bancarai</cp:keywords>
  <dc:description>Plantilla para conciliaciones bancarias</dc:description>
  <cp:lastModifiedBy>Benetrix, Cecilia</cp:lastModifiedBy>
  <cp:lastPrinted>2011-10-15T11:03:26Z</cp:lastPrinted>
  <dcterms:created xsi:type="dcterms:W3CDTF">2010-03-23T19:53:48Z</dcterms:created>
  <dcterms:modified xsi:type="dcterms:W3CDTF">2013-06-06T18:46:08Z</dcterms:modified>
  <cp:category>contabilidad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1I53kI20tt7RcFzAl4ZhzSxNpXc5Zv1man0xjwoXSsjw</vt:lpwstr>
  </property>
  <property fmtid="{D5CDD505-2E9C-101B-9397-08002B2CF9AE}" pid="4" name="Google.Documents.RevisionId">
    <vt:lpwstr>11767205710481911471</vt:lpwstr>
  </property>
  <property fmtid="{D5CDD505-2E9C-101B-9397-08002B2CF9AE}" pid="5" name="Google.Documents.PreviousRevisionId">
    <vt:lpwstr>01787042306279263892</vt:lpwstr>
  </property>
  <property fmtid="{D5CDD505-2E9C-101B-9397-08002B2CF9AE}" pid="6" name="Google.Documents.PluginVersion">
    <vt:lpwstr>2.0.2424.7283</vt:lpwstr>
  </property>
  <property fmtid="{D5CDD505-2E9C-101B-9397-08002B2CF9AE}" pid="7" name="Google.Documents.MergeIncapabilityFlags">
    <vt:i4>0</vt:i4>
  </property>
</Properties>
</file>